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924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стоим'!$A$1:$J$45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'Прил.3'!$A$1:$H$1032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ОБ'!$A$1:$J$1018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8">
    <numFmt numFmtId="164" formatCode="_-* #,##0\ _₽_-;\-* #,##0\ _₽_-;_-* &quot;-&quot;??\ _₽_-;_-@_-"/>
    <numFmt numFmtId="165" formatCode="_-* #,##0.00_-;\-* #,##0.00_-;_-* &quot;-&quot;??_-;_-@_-"/>
    <numFmt numFmtId="166" formatCode="#,##0.0"/>
    <numFmt numFmtId="167" formatCode="#,##0.000"/>
    <numFmt numFmtId="168" formatCode="0.0000"/>
    <numFmt numFmtId="169" formatCode="#,##0.0000"/>
    <numFmt numFmtId="170" formatCode="0.000000"/>
    <numFmt numFmtId="171" formatCode="0.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4"/>
    </font>
    <font>
      <name val="Times New Roman"/>
      <color rgb="FFFF0000"/>
      <sz val="12"/>
    </font>
    <font>
      <name val="Times New Roman"/>
      <color rgb="FF000000"/>
      <sz val="10"/>
    </font>
    <font>
      <name val="Times New Roman"/>
      <b val="1"/>
      <color rgb="FF000000"/>
      <sz val="14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27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165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7" fillId="0" borderId="0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166" fontId="16" fillId="0" borderId="1" applyAlignment="1" pivotButton="0" quotePrefix="0" xfId="0">
      <alignment horizontal="center" vertical="center"/>
    </xf>
    <xf numFmtId="167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8" fontId="16" fillId="4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0" fontId="18" fillId="0" borderId="1" applyAlignment="1" pivotButton="0" quotePrefix="0" xfId="0">
      <alignment vertical="center" wrapText="1"/>
    </xf>
    <xf numFmtId="4" fontId="18" fillId="0" borderId="1" applyAlignment="1" pivotButton="0" quotePrefix="0" xfId="0">
      <alignment horizontal="center" vertical="center"/>
    </xf>
    <xf numFmtId="0" fontId="19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0" fontId="0" fillId="0" borderId="0" applyAlignment="1" pivotButton="0" quotePrefix="0" xfId="0">
      <alignment horizontal="center"/>
    </xf>
    <xf numFmtId="4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20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20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165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4" fontId="20" fillId="0" borderId="0" applyAlignment="1" pivotButton="0" quotePrefix="0" xfId="0">
      <alignment wrapText="1"/>
    </xf>
    <xf numFmtId="0" fontId="19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165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6" fillId="4" borderId="1" applyAlignment="1" pivotButton="0" quotePrefix="0" xfId="0">
      <alignment horizontal="center" vertical="center" wrapText="1"/>
    </xf>
    <xf numFmtId="0" fontId="16" fillId="4" borderId="4" applyAlignment="1" pivotButton="0" quotePrefix="0" xfId="0">
      <alignment horizontal="center" vertical="center" wrapText="1"/>
    </xf>
    <xf numFmtId="0" fontId="16" fillId="4" borderId="4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4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0" fillId="0" borderId="0" pivotButton="0" quotePrefix="0" xfId="0"/>
    <xf numFmtId="0" fontId="3" fillId="0" borderId="0" applyAlignment="1" pivotButton="0" quotePrefix="0" xfId="0">
      <alignment vertical="center"/>
    </xf>
    <xf numFmtId="0" fontId="4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left" vertical="center" wrapText="1"/>
    </xf>
    <xf numFmtId="0" fontId="4" fillId="0" borderId="0" pivotButton="0" quotePrefix="0" xfId="0"/>
    <xf numFmtId="0" fontId="1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/>
    </xf>
    <xf numFmtId="4" fontId="1" fillId="0" borderId="0" applyAlignment="1" pivotButton="0" quotePrefix="0" xfId="0">
      <alignment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4" fillId="0" borderId="1" pivotButton="0" quotePrefix="0" xfId="0"/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169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10" fontId="1" fillId="0" borderId="2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8" fontId="1" fillId="0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vertical="center"/>
    </xf>
    <xf numFmtId="0" fontId="4" fillId="0" borderId="5" pivotButton="0" quotePrefix="0" xfId="0"/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169" fontId="1" fillId="0" borderId="4" applyAlignment="1" pivotButton="0" quotePrefix="0" xfId="0">
      <alignment horizontal="center" vertical="center" wrapText="1"/>
    </xf>
    <xf numFmtId="10" fontId="21" fillId="0" borderId="1" applyAlignment="1" pivotButton="0" quotePrefix="0" xfId="0">
      <alignment horizontal="center" vertical="top" wrapText="1"/>
    </xf>
    <xf numFmtId="0" fontId="3" fillId="0" borderId="0" applyAlignment="1" pivotButton="0" quotePrefix="0" xfId="0">
      <alignment vertical="center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0" fontId="16" fillId="0" borderId="0" pivotButton="0" quotePrefix="0" xfId="0"/>
    <xf numFmtId="0" fontId="22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165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8" fillId="0" borderId="0" pivotButton="0" quotePrefix="0" xfId="0"/>
    <xf numFmtId="1" fontId="1" fillId="0" borderId="1" applyAlignment="1" pivotButton="0" quotePrefix="0" xfId="0">
      <alignment horizontal="center" vertical="top" wrapText="1"/>
    </xf>
    <xf numFmtId="14" fontId="16" fillId="0" borderId="1" applyAlignment="1" pivotButton="0" quotePrefix="0" xfId="0">
      <alignment vertical="top"/>
    </xf>
    <xf numFmtId="4" fontId="1" fillId="0" borderId="1" applyAlignment="1" pivotButton="0" quotePrefix="0" xfId="0">
      <alignment horizontal="right" vertical="top" wrapText="1"/>
    </xf>
    <xf numFmtId="0" fontId="18" fillId="0" borderId="1" applyAlignment="1" pivotButton="0" quotePrefix="0" xfId="0">
      <alignment vertical="top"/>
    </xf>
    <xf numFmtId="4" fontId="18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170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2" fontId="16" fillId="0" borderId="0" pivotButton="0" quotePrefix="0" xfId="0"/>
    <xf numFmtId="171" fontId="16" fillId="0" borderId="0" pivotButton="0" quotePrefix="0" xfId="0"/>
    <xf numFmtId="165" fontId="1" fillId="0" borderId="1" applyAlignment="1" pivotButton="0" quotePrefix="0" xfId="0">
      <alignment horizontal="right" vertical="top" wrapText="1"/>
    </xf>
    <xf numFmtId="10" fontId="0" fillId="0" borderId="0" applyAlignment="1" pivotButton="0" quotePrefix="0" xfId="0">
      <alignment vertical="center"/>
    </xf>
    <xf numFmtId="165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top"/>
    </xf>
    <xf numFmtId="10" fontId="0" fillId="0" borderId="0" pivotButton="0" quotePrefix="0" xfId="0"/>
    <xf numFmtId="0" fontId="16" fillId="0" borderId="0" applyAlignment="1" pivotButton="0" quotePrefix="0" xfId="0">
      <alignment vertical="center"/>
    </xf>
    <xf numFmtId="4" fontId="16" fillId="0" borderId="1" applyAlignment="1" pivotButton="0" quotePrefix="0" xfId="0">
      <alignment horizontal="center" vertical="center" wrapText="1"/>
    </xf>
    <xf numFmtId="2" fontId="16" fillId="0" borderId="1" applyAlignment="1" pivotButton="0" quotePrefix="0" xfId="0">
      <alignment vertical="center" wrapText="1"/>
    </xf>
    <xf numFmtId="14" fontId="16" fillId="0" borderId="1" applyAlignment="1" pivotButton="0" quotePrefix="0" xfId="0">
      <alignment horizontal="center" vertical="center" wrapText="1"/>
    </xf>
    <xf numFmtId="49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165" fontId="16" fillId="0" borderId="1" applyAlignment="1" pivotButton="0" quotePrefix="0" xfId="0">
      <alignment vertical="center" wrapText="1"/>
    </xf>
    <xf numFmtId="165" fontId="18" fillId="0" borderId="4" applyAlignment="1" pivotButton="0" quotePrefix="0" xfId="0">
      <alignment vertical="center" wrapText="1"/>
    </xf>
    <xf numFmtId="165" fontId="18" fillId="0" borderId="1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9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0" fontId="18" fillId="0" borderId="1" applyAlignment="1" pivotButton="0" quotePrefix="0" xfId="0">
      <alignment horizontal="right" vertical="center" wrapText="1"/>
    </xf>
    <xf numFmtId="0" fontId="16" fillId="0" borderId="5" applyAlignment="1" pivotButton="0" quotePrefix="0" xfId="0">
      <alignment horizontal="center" vertical="center" wrapText="1"/>
    </xf>
    <xf numFmtId="0" fontId="18" fillId="0" borderId="4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8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4" pivotButton="0" quotePrefix="0" xfId="0"/>
    <xf numFmtId="0" fontId="0" fillId="0" borderId="15" pivotButton="0" quotePrefix="0" xfId="0"/>
    <xf numFmtId="0" fontId="0" fillId="0" borderId="11" pivotButton="0" quotePrefix="0" xfId="0"/>
    <xf numFmtId="0" fontId="0" fillId="0" borderId="12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22" zoomScale="85" zoomScaleNormal="55" workbookViewId="0">
      <selection activeCell="D27" sqref="D27"/>
    </sheetView>
  </sheetViews>
  <sheetFormatPr baseColWidth="8" defaultColWidth="9.140625" defaultRowHeight="15.75"/>
  <cols>
    <col width="9.140625" customWidth="1" style="291" min="1" max="2"/>
    <col width="51.7109375" customWidth="1" style="291" min="3" max="3"/>
    <col width="49.85546875" customWidth="1" style="291" min="4" max="4"/>
    <col width="37.42578125" customWidth="1" style="291" min="5" max="5"/>
    <col width="9.140625" customWidth="1" style="291" min="6" max="6"/>
  </cols>
  <sheetData>
    <row r="3">
      <c r="B3" s="331" t="inlineStr">
        <is>
          <t>Приложение № 1</t>
        </is>
      </c>
    </row>
    <row r="4">
      <c r="B4" s="332" t="inlineStr">
        <is>
          <t>Сравнительная таблица отбора объекта-представителя</t>
        </is>
      </c>
    </row>
    <row r="5" ht="84.2" customHeight="1" s="248">
      <c r="B5" s="336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48">
      <c r="B6" s="222" t="n"/>
      <c r="C6" s="222" t="n"/>
      <c r="D6" s="222" t="n"/>
    </row>
    <row r="7" ht="64.5" customHeight="1" s="248">
      <c r="B7" s="333" t="inlineStr">
        <is>
          <t>Наименование разрабатываемого показателя УНЦ - Здание ЗПС 110 кВ</t>
        </is>
      </c>
    </row>
    <row r="8" ht="31.7" customHeight="1" s="248">
      <c r="B8" s="335" t="inlineStr">
        <is>
          <t>Сопоставимый уровень цен: 1 кв. 2017</t>
        </is>
      </c>
    </row>
    <row r="9" ht="15.75" customHeight="1" s="248">
      <c r="B9" s="334" t="inlineStr">
        <is>
          <t>Единица измерения  — 1 ед</t>
        </is>
      </c>
    </row>
    <row r="10">
      <c r="B10" s="334" t="n"/>
    </row>
    <row r="11">
      <c r="B11" s="340" t="inlineStr">
        <is>
          <t>№ п/п</t>
        </is>
      </c>
      <c r="C11" s="340" t="inlineStr">
        <is>
          <t>Параметр</t>
        </is>
      </c>
      <c r="D11" s="340" t="inlineStr">
        <is>
          <t xml:space="preserve">Объект-представитель </t>
        </is>
      </c>
      <c r="E11" s="207" t="n"/>
    </row>
    <row r="12" ht="96.75" customHeight="1" s="248">
      <c r="B12" s="340" t="n">
        <v>1</v>
      </c>
      <c r="C12" s="320" t="inlineStr">
        <is>
          <t>Наименование объекта-представителя</t>
        </is>
      </c>
      <c r="D12" s="230" t="inlineStr">
        <is>
          <t>Строительство ПС 110/10 кВ Причал с двухцепной ЛЭП 110 кВ</t>
        </is>
      </c>
    </row>
    <row r="13">
      <c r="B13" s="340" t="n">
        <v>2</v>
      </c>
      <c r="C13" s="320" t="inlineStr">
        <is>
          <t>Наименование субъекта Российской Федерации</t>
        </is>
      </c>
      <c r="D13" s="230" t="inlineStr">
        <is>
          <t>Тюменская область</t>
        </is>
      </c>
    </row>
    <row r="14">
      <c r="B14" s="340" t="n">
        <v>3</v>
      </c>
      <c r="C14" s="320" t="inlineStr">
        <is>
          <t>Климатический район и подрайон</t>
        </is>
      </c>
      <c r="D14" s="228" t="inlineStr">
        <is>
          <t>IВ</t>
        </is>
      </c>
    </row>
    <row r="15">
      <c r="B15" s="340" t="n">
        <v>4</v>
      </c>
      <c r="C15" s="320" t="inlineStr">
        <is>
          <t>Мощность объекта</t>
        </is>
      </c>
      <c r="D15" s="340" t="n">
        <v>1</v>
      </c>
    </row>
    <row r="16" ht="227.25" customHeight="1" s="248">
      <c r="B16" s="340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40" t="inlineStr">
        <is>
          <t>Здание ЗПС - двухэтажное - 1884,5 м2</t>
        </is>
      </c>
    </row>
    <row r="17" ht="79.5" customHeight="1" s="248">
      <c r="B17" s="340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16">
        <f>SUM(D18:D21)</f>
        <v/>
      </c>
      <c r="E17" s="221" t="n"/>
    </row>
    <row r="18">
      <c r="B18" s="319" t="inlineStr">
        <is>
          <t>6.1</t>
        </is>
      </c>
      <c r="C18" s="320" t="inlineStr">
        <is>
          <t>строительно-монтажные работы</t>
        </is>
      </c>
      <c r="D18" s="316" t="n">
        <v>131925.49168</v>
      </c>
    </row>
    <row r="19" ht="15.75" customHeight="1" s="248">
      <c r="B19" s="319" t="inlineStr">
        <is>
          <t>6.2</t>
        </is>
      </c>
      <c r="C19" s="320" t="inlineStr">
        <is>
          <t>оборудование и инвентарь</t>
        </is>
      </c>
      <c r="D19" s="316" t="n">
        <v>264689.67496</v>
      </c>
    </row>
    <row r="20" ht="16.5" customHeight="1" s="248">
      <c r="B20" s="319" t="inlineStr">
        <is>
          <t>6.3</t>
        </is>
      </c>
      <c r="C20" s="320" t="inlineStr">
        <is>
          <t>пусконаладочные работы</t>
        </is>
      </c>
      <c r="D20" s="316" t="n"/>
    </row>
    <row r="21" ht="35.45" customHeight="1" s="248">
      <c r="B21" s="319" t="inlineStr">
        <is>
          <t>6.4</t>
        </is>
      </c>
      <c r="C21" s="205" t="inlineStr">
        <is>
          <t>прочие и лимитированные затраты</t>
        </is>
      </c>
      <c r="D21" s="316">
        <f>D18*3.9%+(D18+D18*3.9%)*4.3%</f>
        <v/>
      </c>
    </row>
    <row r="22">
      <c r="B22" s="340" t="n">
        <v>7</v>
      </c>
      <c r="C22" s="205" t="inlineStr">
        <is>
          <t>Сопоставимый уровень цен</t>
        </is>
      </c>
      <c r="D22" s="318" t="inlineStr">
        <is>
          <t>1 кв. 2017</t>
        </is>
      </c>
      <c r="E22" s="203" t="n"/>
    </row>
    <row r="23" ht="123" customHeight="1" s="248">
      <c r="B23" s="340" t="n">
        <v>8</v>
      </c>
      <c r="C23" s="204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16">
        <f>D17</f>
        <v/>
      </c>
      <c r="E23" s="221" t="n"/>
    </row>
    <row r="24" ht="60.75" customHeight="1" s="248">
      <c r="B24" s="340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316">
        <f>D23/D15</f>
        <v/>
      </c>
      <c r="E24" s="203" t="n"/>
    </row>
    <row r="25" ht="48.2" customHeight="1" s="248">
      <c r="B25" s="340" t="n">
        <v>10</v>
      </c>
      <c r="C25" s="320" t="inlineStr">
        <is>
          <t>Примечание</t>
        </is>
      </c>
      <c r="D25" s="340" t="n"/>
    </row>
    <row r="26">
      <c r="B26" s="201" t="n"/>
      <c r="C26" s="200" t="n"/>
      <c r="D26" s="200" t="n"/>
    </row>
    <row r="27" ht="37.5" customHeight="1" s="248">
      <c r="B27" s="335" t="n"/>
    </row>
    <row r="28">
      <c r="B28" s="291" t="inlineStr">
        <is>
          <t>Составил ______________________    Д.Ю. Нефедова</t>
        </is>
      </c>
    </row>
    <row r="29">
      <c r="B29" s="335" t="inlineStr">
        <is>
          <t xml:space="preserve">                         (подпись, инициалы, фамилия)</t>
        </is>
      </c>
    </row>
    <row r="31">
      <c r="B31" s="291" t="inlineStr">
        <is>
          <t>Проверил ______________________        А.В. Костянецкая</t>
        </is>
      </c>
    </row>
    <row r="32">
      <c r="B32" s="335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2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3:L39"/>
  <sheetViews>
    <sheetView view="pageBreakPreview" topLeftCell="A7" zoomScale="55" zoomScaleNormal="70" zoomScaleSheetLayoutView="55" workbookViewId="0">
      <selection activeCell="F33" sqref="F33"/>
    </sheetView>
  </sheetViews>
  <sheetFormatPr baseColWidth="8" defaultColWidth="9.140625" defaultRowHeight="15.75"/>
  <cols>
    <col width="5.5703125" customWidth="1" style="291" min="1" max="1"/>
    <col width="9.140625" customWidth="1" style="291" min="2" max="2"/>
    <col width="35.28515625" customWidth="1" style="291" min="3" max="3"/>
    <col width="13.85546875" customWidth="1" style="291" min="4" max="4"/>
    <col width="24.85546875" customWidth="1" style="291" min="5" max="5"/>
    <col width="15.5703125" customWidth="1" style="291" min="6" max="6"/>
    <col width="14.85546875" customWidth="1" style="291" min="7" max="7"/>
    <col width="16.7109375" customWidth="1" style="291" min="8" max="8"/>
    <col width="13" customWidth="1" style="291" min="9" max="10"/>
    <col width="18" customWidth="1" style="291" min="11" max="11"/>
    <col width="9.140625" customWidth="1" style="291" min="12" max="12"/>
  </cols>
  <sheetData>
    <row r="3">
      <c r="B3" s="331" t="inlineStr">
        <is>
          <t>Приложение № 2</t>
        </is>
      </c>
      <c r="K3" s="335" t="n"/>
    </row>
    <row r="4">
      <c r="B4" s="332" t="inlineStr">
        <is>
          <t>Расчет стоимости основных видов работ для выбора объекта-представителя</t>
        </is>
      </c>
    </row>
    <row r="5">
      <c r="B5" s="208" t="n"/>
      <c r="C5" s="208" t="n"/>
      <c r="D5" s="208" t="n"/>
      <c r="E5" s="208" t="n"/>
      <c r="F5" s="208" t="n"/>
      <c r="G5" s="208" t="n"/>
      <c r="H5" s="208" t="n"/>
      <c r="I5" s="208" t="n"/>
      <c r="J5" s="208" t="n"/>
      <c r="K5" s="208" t="n"/>
    </row>
    <row r="6" ht="29.25" customHeight="1" s="248">
      <c r="B6" s="334">
        <f>'Прил.1 Сравнит табл'!B7:D7</f>
        <v/>
      </c>
    </row>
    <row r="7">
      <c r="B7" s="334">
        <f>'Прил.1 Сравнит табл'!B9:D9</f>
        <v/>
      </c>
    </row>
    <row r="8" ht="18.75" customHeight="1" s="248">
      <c r="B8" s="223" t="n"/>
    </row>
    <row r="9" ht="15.75" customHeight="1" s="248">
      <c r="B9" s="340" t="inlineStr">
        <is>
          <t>№ п/п</t>
        </is>
      </c>
      <c r="C9" s="340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40" t="inlineStr">
        <is>
          <t>Объект-представитель 1</t>
        </is>
      </c>
      <c r="E9" s="419" t="n"/>
      <c r="F9" s="419" t="n"/>
      <c r="G9" s="419" t="n"/>
      <c r="H9" s="419" t="n"/>
      <c r="I9" s="419" t="n"/>
      <c r="J9" s="420" t="n"/>
    </row>
    <row r="10" ht="15.75" customHeight="1" s="248">
      <c r="B10" s="421" t="n"/>
      <c r="C10" s="421" t="n"/>
      <c r="D10" s="340" t="inlineStr">
        <is>
          <t>Номер сметы</t>
        </is>
      </c>
      <c r="E10" s="340" t="inlineStr">
        <is>
          <t>Наименование сметы</t>
        </is>
      </c>
      <c r="F10" s="340" t="inlineStr">
        <is>
          <t>Сметная стоимость в уровне цен 1 кв. 2017 г., тыс. руб.</t>
        </is>
      </c>
      <c r="G10" s="419" t="n"/>
      <c r="H10" s="419" t="n"/>
      <c r="I10" s="419" t="n"/>
      <c r="J10" s="420" t="n"/>
    </row>
    <row r="11" ht="31.7" customHeight="1" s="248">
      <c r="B11" s="422" t="n"/>
      <c r="C11" s="422" t="n"/>
      <c r="D11" s="422" t="n"/>
      <c r="E11" s="422" t="n"/>
      <c r="F11" s="340" t="inlineStr">
        <is>
          <t>Строительные работы</t>
        </is>
      </c>
      <c r="G11" s="340" t="inlineStr">
        <is>
          <t>Монтажные работы</t>
        </is>
      </c>
      <c r="H11" s="340" t="inlineStr">
        <is>
          <t>Оборудование</t>
        </is>
      </c>
      <c r="I11" s="340" t="inlineStr">
        <is>
          <t>Прочее</t>
        </is>
      </c>
      <c r="J11" s="340" t="inlineStr">
        <is>
          <t>Всего</t>
        </is>
      </c>
    </row>
    <row r="12" ht="31.35" customHeight="1" s="248">
      <c r="B12" s="340" t="n">
        <v>1</v>
      </c>
      <c r="C12" s="340" t="inlineStr">
        <is>
          <t>Здание ЗПС - двухэтажное - 1884,5 м2</t>
        </is>
      </c>
      <c r="D12" s="319" t="inlineStr">
        <is>
          <t>02-01-01</t>
        </is>
      </c>
      <c r="E12" s="320" t="inlineStr">
        <is>
          <t>Архитектурно-строительные решения</t>
        </is>
      </c>
      <c r="F12" s="321">
        <f>11505.35*7.16</f>
        <v/>
      </c>
      <c r="G12" s="321">
        <f>172.494*7.16</f>
        <v/>
      </c>
      <c r="H12" s="321">
        <f>317.469*4.28</f>
        <v/>
      </c>
      <c r="I12" s="317" t="n"/>
      <c r="J12" s="317">
        <f>SUM(F12:I12)</f>
        <v/>
      </c>
    </row>
    <row r="13" ht="46.9" customHeight="1" s="248">
      <c r="B13" s="421" t="n"/>
      <c r="C13" s="421" t="n"/>
      <c r="D13" s="319" t="inlineStr">
        <is>
          <t>02-01-02</t>
        </is>
      </c>
      <c r="E13" s="320" t="inlineStr">
        <is>
          <t>Электротехнические решения. ПС 110 кВ Причал.</t>
        </is>
      </c>
      <c r="F13" s="321">
        <f>802.492*7.16</f>
        <v/>
      </c>
      <c r="G13" s="321">
        <f>1021.175*7.16</f>
        <v/>
      </c>
      <c r="H13" s="321">
        <f>48229.941*4.28</f>
        <v/>
      </c>
      <c r="I13" s="317" t="n"/>
      <c r="J13" s="317">
        <f>SUM(F13:I13)</f>
        <v/>
      </c>
    </row>
    <row r="14" ht="46.9" customHeight="1" s="248">
      <c r="A14" s="291" t="n"/>
      <c r="B14" s="421" t="n"/>
      <c r="C14" s="421" t="n"/>
      <c r="D14" s="319" t="inlineStr">
        <is>
          <t>02-01-03</t>
        </is>
      </c>
      <c r="E14" s="320" t="inlineStr">
        <is>
          <t>Схемы электрических соединений. ПС 110 кВ Причал.</t>
        </is>
      </c>
      <c r="F14" s="321">
        <f>0.486*7.16</f>
        <v/>
      </c>
      <c r="G14" s="321">
        <f>73.676*7.16</f>
        <v/>
      </c>
      <c r="H14" s="321">
        <f>1879.143*4.28</f>
        <v/>
      </c>
      <c r="I14" s="317" t="n"/>
      <c r="J14" s="317">
        <f>SUM(F14:I14)</f>
        <v/>
      </c>
      <c r="K14" s="291" t="n"/>
      <c r="L14" s="291" t="n"/>
    </row>
    <row r="15" ht="46.9" customHeight="1" s="248">
      <c r="A15" s="291" t="n"/>
      <c r="B15" s="421" t="n"/>
      <c r="C15" s="421" t="n"/>
      <c r="D15" s="319" t="inlineStr">
        <is>
          <t>02-01-04</t>
        </is>
      </c>
      <c r="E15" s="320" t="inlineStr">
        <is>
          <t>Телемеханизация подстанции. ПС 110 кВ Причал.</t>
        </is>
      </c>
      <c r="F15" s="321" t="n"/>
      <c r="G15" s="321">
        <f>10.691*7.16</f>
        <v/>
      </c>
      <c r="H15" s="321">
        <f>2951.829*4.28</f>
        <v/>
      </c>
      <c r="I15" s="317" t="n"/>
      <c r="J15" s="317">
        <f>SUM(F15:I15)</f>
        <v/>
      </c>
      <c r="K15" s="291" t="n"/>
      <c r="L15" s="291" t="n"/>
    </row>
    <row r="16" ht="31.35" customHeight="1" s="248">
      <c r="A16" s="291" t="n"/>
      <c r="B16" s="421" t="n"/>
      <c r="C16" s="421" t="n"/>
      <c r="D16" s="319" t="inlineStr">
        <is>
          <t>02-01-05</t>
        </is>
      </c>
      <c r="E16" s="320" t="inlineStr">
        <is>
          <t>Релейная защита. ПС 110 кВ Причал.</t>
        </is>
      </c>
      <c r="F16" s="321" t="n"/>
      <c r="G16" s="321">
        <f>13.485*7.16</f>
        <v/>
      </c>
      <c r="H16" s="321">
        <f>2746.003*4.28</f>
        <v/>
      </c>
      <c r="I16" s="317" t="n"/>
      <c r="J16" s="317">
        <f>SUM(F16:I16)</f>
        <v/>
      </c>
      <c r="K16" s="291" t="n"/>
      <c r="L16" s="291" t="n"/>
    </row>
    <row r="17" ht="46.9" customHeight="1" s="248">
      <c r="A17" s="291" t="n"/>
      <c r="B17" s="421" t="n"/>
      <c r="C17" s="421" t="n"/>
      <c r="D17" s="319" t="inlineStr">
        <is>
          <t>02-01-06</t>
        </is>
      </c>
      <c r="E17" s="320" t="inlineStr">
        <is>
          <t>Освещение, заземление и молниезащита. ПС 110 кВ Причал.</t>
        </is>
      </c>
      <c r="F17" s="321">
        <f>8.745*7.16</f>
        <v/>
      </c>
      <c r="G17" s="321">
        <f>550.542*7.16</f>
        <v/>
      </c>
      <c r="H17" s="321">
        <f>1391.147*4.28</f>
        <v/>
      </c>
      <c r="I17" s="317" t="n"/>
      <c r="J17" s="317">
        <f>SUM(F17:I17)</f>
        <v/>
      </c>
      <c r="K17" s="291" t="n"/>
      <c r="L17" s="291" t="n"/>
    </row>
    <row r="18" ht="46.9" customHeight="1" s="248">
      <c r="A18" s="291" t="n"/>
      <c r="B18" s="421" t="n"/>
      <c r="C18" s="421" t="n"/>
      <c r="D18" s="319" t="inlineStr">
        <is>
          <t>02-01-07</t>
        </is>
      </c>
      <c r="E18" s="320" t="inlineStr">
        <is>
          <t>Отопление, вентиляция и кондиционирование. ПС 110 кВ Причал.</t>
        </is>
      </c>
      <c r="F18" s="321">
        <f>710.913*7.16</f>
        <v/>
      </c>
      <c r="G18" s="321">
        <f>215.469*7.16</f>
        <v/>
      </c>
      <c r="H18" s="321">
        <f>1660.609*4.28</f>
        <v/>
      </c>
      <c r="I18" s="317" t="n"/>
      <c r="J18" s="317">
        <f>SUM(F18:I18)</f>
        <v/>
      </c>
      <c r="K18" s="291" t="n"/>
      <c r="L18" s="291" t="n"/>
    </row>
    <row r="19" ht="46.9" customHeight="1" s="248">
      <c r="A19" s="291" t="n"/>
      <c r="B19" s="421" t="n"/>
      <c r="C19" s="421" t="n"/>
      <c r="D19" s="319" t="inlineStr">
        <is>
          <t>02-01-08</t>
        </is>
      </c>
      <c r="E19" s="320" t="inlineStr">
        <is>
          <t>Охранно-пожарная сигнализация. ПС 110 кВ Причал.</t>
        </is>
      </c>
      <c r="F19" s="321">
        <f>0.777*7.16</f>
        <v/>
      </c>
      <c r="G19" s="321">
        <f>117.941*7.16</f>
        <v/>
      </c>
      <c r="H19" s="321">
        <f>172.019*4.28</f>
        <v/>
      </c>
      <c r="I19" s="317" t="n"/>
      <c r="J19" s="317">
        <f>SUM(F19:I19)</f>
        <v/>
      </c>
      <c r="K19" s="291" t="n"/>
      <c r="L19" s="291" t="n"/>
    </row>
    <row r="20" ht="62.45" customHeight="1" s="248">
      <c r="A20" s="291" t="n"/>
      <c r="B20" s="421" t="n"/>
      <c r="C20" s="421" t="n"/>
      <c r="D20" s="319" t="inlineStr">
        <is>
          <t>02-01-09</t>
        </is>
      </c>
      <c r="E20" s="320" t="inlineStr">
        <is>
          <t>Автоматизированная система учета электроэнергии. ПС 110 кВ Причал.</t>
        </is>
      </c>
      <c r="F20" s="321" t="n"/>
      <c r="G20" s="321">
        <f>4.459*7.16</f>
        <v/>
      </c>
      <c r="H20" s="321">
        <f>174.643*4.28</f>
        <v/>
      </c>
      <c r="I20" s="317" t="n"/>
      <c r="J20" s="317">
        <f>SUM(F20:I20)</f>
        <v/>
      </c>
      <c r="K20" s="291" t="n"/>
      <c r="L20" s="291" t="n"/>
    </row>
    <row r="21" ht="31.35" customHeight="1" s="248">
      <c r="A21" s="291" t="n"/>
      <c r="B21" s="421" t="n"/>
      <c r="C21" s="421" t="n"/>
      <c r="D21" s="319" t="inlineStr">
        <is>
          <t>02-01-10</t>
        </is>
      </c>
      <c r="E21" s="320" t="inlineStr">
        <is>
          <t>Кабельное хозяйство. ПС 110 кв Причал.</t>
        </is>
      </c>
      <c r="F21" s="321">
        <f>29.944*7.16</f>
        <v/>
      </c>
      <c r="G21" s="321">
        <f>2490.919*7.16</f>
        <v/>
      </c>
      <c r="H21" s="321" t="n"/>
      <c r="I21" s="317" t="n"/>
      <c r="J21" s="317">
        <f>SUM(F21:I21)</f>
        <v/>
      </c>
      <c r="K21" s="291" t="n"/>
      <c r="L21" s="291" t="n"/>
    </row>
    <row r="22" ht="46.9" customHeight="1" s="248">
      <c r="A22" s="291" t="n"/>
      <c r="B22" s="421" t="n"/>
      <c r="C22" s="421" t="n"/>
      <c r="D22" s="319" t="inlineStr">
        <is>
          <t>02-01-11</t>
        </is>
      </c>
      <c r="E22" s="320" t="inlineStr">
        <is>
          <t>Мониторинг высоковольтного оборудования</t>
        </is>
      </c>
      <c r="F22" s="321" t="n"/>
      <c r="G22" s="321">
        <f>75.175*7.16</f>
        <v/>
      </c>
      <c r="H22" s="321">
        <f>1185.463*4.28</f>
        <v/>
      </c>
      <c r="I22" s="317" t="n"/>
      <c r="J22" s="317">
        <f>SUM(F22:I22)</f>
        <v/>
      </c>
      <c r="K22" s="291" t="n"/>
      <c r="L22" s="291" t="n"/>
    </row>
    <row r="23" ht="31.35" customHeight="1" s="248">
      <c r="A23" s="291" t="n"/>
      <c r="B23" s="421" t="n"/>
      <c r="C23" s="421" t="n"/>
      <c r="D23" s="319" t="inlineStr">
        <is>
          <t>02-01-12</t>
        </is>
      </c>
      <c r="E23" s="320" t="inlineStr">
        <is>
          <t>Волопровод и канализация</t>
        </is>
      </c>
      <c r="F23" s="321">
        <f>64.386*7.16</f>
        <v/>
      </c>
      <c r="G23" s="321">
        <f>4.172*7.16</f>
        <v/>
      </c>
      <c r="H23" s="321">
        <f>159.628*4.28</f>
        <v/>
      </c>
      <c r="I23" s="317" t="n"/>
      <c r="J23" s="317">
        <f>SUM(F23:I23)</f>
        <v/>
      </c>
      <c r="K23" s="291" t="n"/>
      <c r="L23" s="291" t="n"/>
    </row>
    <row r="24" ht="31.35" customHeight="1" s="248">
      <c r="A24" s="291" t="n"/>
      <c r="B24" s="421" t="n"/>
      <c r="C24" s="421" t="n"/>
      <c r="D24" s="319" t="inlineStr">
        <is>
          <t>02-01-13</t>
        </is>
      </c>
      <c r="E24" s="320" t="inlineStr">
        <is>
          <t>Система аварийного маслоотведения.</t>
        </is>
      </c>
      <c r="F24" s="321">
        <f>90.84*7.16</f>
        <v/>
      </c>
      <c r="G24" s="321" t="n"/>
      <c r="H24" s="321" t="n"/>
      <c r="I24" s="317" t="n"/>
      <c r="J24" s="317">
        <f>SUM(F24:I24)</f>
        <v/>
      </c>
      <c r="K24" s="291" t="n"/>
      <c r="L24" s="291" t="n"/>
    </row>
    <row r="25" ht="46.9" customHeight="1" s="248">
      <c r="A25" s="291" t="n"/>
      <c r="B25" s="421" t="n"/>
      <c r="C25" s="421" t="n"/>
      <c r="D25" s="319" t="inlineStr">
        <is>
          <t>02-01-14</t>
        </is>
      </c>
      <c r="E25" s="320" t="inlineStr">
        <is>
          <t>Маслосборник. Конструктивно-строительные решения.</t>
        </is>
      </c>
      <c r="F25" s="321">
        <f>231.651*7.16</f>
        <v/>
      </c>
      <c r="G25" s="321">
        <f>0.056*7.16</f>
        <v/>
      </c>
      <c r="H25" s="321" t="n"/>
      <c r="I25" s="317" t="n"/>
      <c r="J25" s="317">
        <f>SUM(F25:I25)</f>
        <v/>
      </c>
      <c r="K25" s="291" t="n"/>
      <c r="L25" s="291" t="n"/>
    </row>
    <row r="26" ht="31.35" customHeight="1" s="248">
      <c r="A26" s="291" t="n"/>
      <c r="B26" s="421" t="n"/>
      <c r="C26" s="421" t="n"/>
      <c r="D26" s="319" t="inlineStr">
        <is>
          <t>02-01-15</t>
        </is>
      </c>
      <c r="E26" s="320" t="inlineStr">
        <is>
          <t>Выгреб. Конструктивно-строительные решения.</t>
        </is>
      </c>
      <c r="F26" s="321">
        <f>69.914*7.16</f>
        <v/>
      </c>
      <c r="G26" s="321">
        <f>0.056*7.16</f>
        <v/>
      </c>
      <c r="H26" s="321" t="n"/>
      <c r="I26" s="317" t="n"/>
      <c r="J26" s="317">
        <f>SUM(F26:I26)</f>
        <v/>
      </c>
      <c r="K26" s="291" t="n"/>
      <c r="L26" s="291" t="n"/>
    </row>
    <row r="27" ht="31.35" customHeight="1" s="248">
      <c r="A27" s="291" t="n"/>
      <c r="B27" s="421" t="n"/>
      <c r="C27" s="421" t="n"/>
      <c r="D27" s="319" t="inlineStr">
        <is>
          <t>05-01-01</t>
        </is>
      </c>
      <c r="E27" s="320" t="inlineStr">
        <is>
          <t>Средства связи. ПС 110 кВ Причал.</t>
        </is>
      </c>
      <c r="F27" s="321">
        <f>0.412*7.16</f>
        <v/>
      </c>
      <c r="G27" s="321">
        <f>70.525*7.16</f>
        <v/>
      </c>
      <c r="H27" s="321">
        <f>975.488*4.28</f>
        <v/>
      </c>
      <c r="I27" s="317" t="n"/>
      <c r="J27" s="317">
        <f>SUM(F27:I27)</f>
        <v/>
      </c>
      <c r="K27" s="291" t="n"/>
      <c r="L27" s="291" t="n"/>
    </row>
    <row r="28" ht="46.9" customHeight="1" s="248">
      <c r="A28" s="291" t="n"/>
      <c r="B28" s="421" t="n"/>
      <c r="C28" s="421" t="n"/>
      <c r="D28" s="319" t="inlineStr">
        <is>
          <t>06-01-01</t>
        </is>
      </c>
      <c r="E28" s="320" t="inlineStr">
        <is>
          <t>Наружные сети водопровода и канализации</t>
        </is>
      </c>
      <c r="F28" s="321">
        <f>48.705*7.16</f>
        <v/>
      </c>
      <c r="G28" s="321" t="n"/>
      <c r="H28" s="321" t="n"/>
      <c r="I28" s="317" t="n"/>
      <c r="J28" s="317">
        <f>SUM(F28:I28)</f>
        <v/>
      </c>
      <c r="K28" s="291" t="n"/>
      <c r="L28" s="291" t="n"/>
    </row>
    <row r="29" ht="31.35" customHeight="1" s="248">
      <c r="A29" s="291" t="n"/>
      <c r="B29" s="422" t="n"/>
      <c r="C29" s="422" t="n"/>
      <c r="D29" s="319" t="inlineStr">
        <is>
          <t>07-01-01</t>
        </is>
      </c>
      <c r="E29" s="320" t="inlineStr">
        <is>
          <t>Благоустройство территории ПС</t>
        </is>
      </c>
      <c r="F29" s="321">
        <f>39.898*7.16</f>
        <v/>
      </c>
      <c r="G29" s="321" t="n"/>
      <c r="H29" s="321" t="n"/>
      <c r="I29" s="317" t="n"/>
      <c r="J29" s="317">
        <f>SUM(F29:I29)</f>
        <v/>
      </c>
      <c r="K29" s="291" t="n"/>
      <c r="L29" s="291" t="n"/>
    </row>
    <row r="30" ht="15.75" customHeight="1" s="248">
      <c r="B30" s="343" t="inlineStr">
        <is>
          <t>Всего по объекту:</t>
        </is>
      </c>
      <c r="C30" s="423" t="n"/>
      <c r="D30" s="423" t="n"/>
      <c r="E30" s="424" t="n"/>
      <c r="F30" s="322">
        <f>SUM(F12:F29)</f>
        <v/>
      </c>
      <c r="G30" s="322">
        <f>SUM(G12:G29)</f>
        <v/>
      </c>
      <c r="H30" s="322">
        <f>SUM(H12:H29)</f>
        <v/>
      </c>
      <c r="I30" s="322">
        <f>SUM(I12:I29)</f>
        <v/>
      </c>
      <c r="J30" s="322">
        <f>SUM(F30:I30)</f>
        <v/>
      </c>
    </row>
    <row r="31" ht="15.75" customHeight="1" s="248">
      <c r="B31" s="341" t="inlineStr">
        <is>
          <t>Всего по объекту в сопоставимом уровне цен 1 кв. 2017 г:</t>
        </is>
      </c>
      <c r="C31" s="419" t="n"/>
      <c r="D31" s="419" t="n"/>
      <c r="E31" s="420" t="n"/>
      <c r="F31" s="323">
        <f>F30</f>
        <v/>
      </c>
      <c r="G31" s="323">
        <f>G30</f>
        <v/>
      </c>
      <c r="H31" s="323">
        <f>H30</f>
        <v/>
      </c>
      <c r="I31" s="323">
        <f>I30</f>
        <v/>
      </c>
      <c r="J31" s="323">
        <f>SUM(F31:I31)</f>
        <v/>
      </c>
    </row>
    <row r="32" ht="15" customHeight="1" s="248"/>
    <row r="33" ht="15" customHeight="1" s="248"/>
    <row r="34" ht="15" customHeight="1" s="248"/>
    <row r="35" ht="15" customHeight="1" s="248">
      <c r="C35" s="256" t="inlineStr">
        <is>
          <t>Составил ______________________     Д.Ю. Нефедова</t>
        </is>
      </c>
      <c r="D35" s="255" t="n"/>
      <c r="E35" s="255" t="n"/>
    </row>
    <row r="36" ht="15" customHeight="1" s="248">
      <c r="C36" s="286" t="inlineStr">
        <is>
          <t xml:space="preserve">                         (подпись, инициалы, фамилия)</t>
        </is>
      </c>
      <c r="D36" s="255" t="n"/>
      <c r="E36" s="255" t="n"/>
    </row>
    <row r="37" ht="15" customHeight="1" s="248">
      <c r="C37" s="256" t="n"/>
      <c r="D37" s="255" t="n"/>
      <c r="E37" s="255" t="n"/>
    </row>
    <row r="38" ht="15" customHeight="1" s="248">
      <c r="C38" s="256" t="inlineStr">
        <is>
          <t>Проверил ______________________        А.В. Костянецкая</t>
        </is>
      </c>
      <c r="D38" s="255" t="n"/>
      <c r="E38" s="255" t="n"/>
    </row>
    <row r="39" ht="15" customHeight="1" s="248">
      <c r="C39" s="286" t="inlineStr">
        <is>
          <t xml:space="preserve">                        (подпись, инициалы, фамилия)</t>
        </is>
      </c>
      <c r="D39" s="255" t="n"/>
      <c r="E39" s="255" t="n"/>
    </row>
    <row r="40" ht="15" customHeight="1" s="248"/>
    <row r="41" ht="15" customHeight="1" s="248"/>
    <row r="42" ht="15" customHeight="1" s="248"/>
    <row r="43" ht="15" customHeight="1" s="248"/>
    <row r="44" ht="15" customHeight="1" s="248"/>
    <row r="45" ht="15" customHeight="1" s="248"/>
  </sheetData>
  <mergeCells count="14">
    <mergeCell ref="B31:E31"/>
    <mergeCell ref="B3:J3"/>
    <mergeCell ref="D10:D11"/>
    <mergeCell ref="B12:B29"/>
    <mergeCell ref="B4:K4"/>
    <mergeCell ref="D9:J9"/>
    <mergeCell ref="C12:C29"/>
    <mergeCell ref="F10:J10"/>
    <mergeCell ref="B30:E30"/>
    <mergeCell ref="B7:K7"/>
    <mergeCell ref="B9:B11"/>
    <mergeCell ref="B6:K6"/>
    <mergeCell ref="E10:E11"/>
    <mergeCell ref="C9:C11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1027"/>
  <sheetViews>
    <sheetView view="pageBreakPreview" topLeftCell="A985" zoomScale="55" zoomScaleSheetLayoutView="55" workbookViewId="0">
      <selection activeCell="G843" sqref="G843"/>
    </sheetView>
  </sheetViews>
  <sheetFormatPr baseColWidth="8" defaultColWidth="9.140625" defaultRowHeight="15.75"/>
  <cols>
    <col width="9.140625" customWidth="1" style="291" min="1" max="1"/>
    <col width="12.5703125" customWidth="1" style="291" min="2" max="2"/>
    <col width="22.42578125" customWidth="1" style="291" min="3" max="3"/>
    <col width="49.7109375" customWidth="1" style="291" min="4" max="4"/>
    <col width="10.140625" customWidth="1" style="291" min="5" max="5"/>
    <col width="20.7109375" customWidth="1" style="291" min="6" max="6"/>
    <col width="20" customWidth="1" style="291" min="7" max="7"/>
    <col width="15.5703125" customWidth="1" style="291" min="8" max="8"/>
    <col hidden="1" width="9.140625" customWidth="1" style="291" min="9" max="9"/>
    <col hidden="1" width="15.85546875" customWidth="1" style="291" min="10" max="10"/>
    <col width="15" customWidth="1" style="291" min="11" max="11"/>
    <col width="9.140625" customWidth="1" style="291" min="12" max="12"/>
    <col width="9.140625" customWidth="1" style="248" min="13" max="13"/>
  </cols>
  <sheetData>
    <row r="2" s="248">
      <c r="A2" s="291" t="n"/>
      <c r="B2" s="291" t="n"/>
      <c r="C2" s="291" t="n"/>
      <c r="D2" s="291" t="n"/>
      <c r="E2" s="291" t="n"/>
      <c r="F2" s="291" t="n"/>
      <c r="G2" s="291" t="n"/>
      <c r="H2" s="291" t="n"/>
      <c r="I2" s="291" t="n"/>
      <c r="J2" s="291" t="n"/>
      <c r="K2" s="291" t="n"/>
      <c r="L2" s="291" t="n"/>
    </row>
    <row r="3">
      <c r="A3" s="331" t="inlineStr">
        <is>
          <t xml:space="preserve">Приложение № 3 </t>
        </is>
      </c>
    </row>
    <row r="4">
      <c r="A4" s="332" t="inlineStr">
        <is>
          <t>Объектная ресурсная ведомость</t>
        </is>
      </c>
    </row>
    <row r="5" ht="18.75" customHeight="1" s="248">
      <c r="A5" s="292" t="n"/>
      <c r="B5" s="292" t="n"/>
      <c r="C5" s="349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6">
      <c r="A6" s="334" t="n"/>
    </row>
    <row r="7">
      <c r="A7" s="348" t="inlineStr">
        <is>
          <t>Наименование разрабатываемого показателя УНЦ -  Здание ЗПС 110 кВ</t>
        </is>
      </c>
    </row>
    <row r="8">
      <c r="A8" s="348" t="n"/>
      <c r="B8" s="348" t="n"/>
      <c r="C8" s="348" t="n"/>
      <c r="D8" s="348" t="n"/>
      <c r="E8" s="348" t="n"/>
      <c r="F8" s="348" t="n"/>
      <c r="G8" s="348" t="n"/>
      <c r="H8" s="348" t="n"/>
    </row>
    <row r="9">
      <c r="A9" s="340" t="inlineStr">
        <is>
          <t>п/п</t>
        </is>
      </c>
      <c r="B9" s="340" t="inlineStr">
        <is>
          <t>№ЛСР</t>
        </is>
      </c>
      <c r="C9" s="340" t="inlineStr">
        <is>
          <t>Код ресурса</t>
        </is>
      </c>
      <c r="D9" s="340" t="inlineStr">
        <is>
          <t>Наименование ресурса</t>
        </is>
      </c>
      <c r="E9" s="340" t="inlineStr">
        <is>
          <t>Ед. изм.</t>
        </is>
      </c>
      <c r="F9" s="340" t="inlineStr">
        <is>
          <t>Кол-во единиц по данным объекта-представителя</t>
        </is>
      </c>
      <c r="G9" s="340" t="inlineStr">
        <is>
          <t>Сметная стоимость в ценах на 01.01.2000 (руб.)</t>
        </is>
      </c>
      <c r="H9" s="420" t="n"/>
    </row>
    <row r="10">
      <c r="A10" s="422" t="n"/>
      <c r="B10" s="422" t="n"/>
      <c r="C10" s="422" t="n"/>
      <c r="D10" s="422" t="n"/>
      <c r="E10" s="422" t="n"/>
      <c r="F10" s="422" t="n"/>
      <c r="G10" s="340" t="inlineStr">
        <is>
          <t>на ед.изм.</t>
        </is>
      </c>
      <c r="H10" s="340" t="inlineStr">
        <is>
          <t>общая</t>
        </is>
      </c>
    </row>
    <row r="11">
      <c r="A11" s="342" t="n">
        <v>1</v>
      </c>
      <c r="B11" s="342" t="n"/>
      <c r="C11" s="342" t="n">
        <v>2</v>
      </c>
      <c r="D11" s="342" t="inlineStr">
        <is>
          <t>З</t>
        </is>
      </c>
      <c r="E11" s="342" t="n">
        <v>4</v>
      </c>
      <c r="F11" s="342" t="n">
        <v>5</v>
      </c>
      <c r="G11" s="342" t="n">
        <v>6</v>
      </c>
      <c r="H11" s="342" t="n">
        <v>7</v>
      </c>
    </row>
    <row r="12" customFormat="1" s="299">
      <c r="A12" s="345" t="inlineStr">
        <is>
          <t>Затраты труда рабочих</t>
        </is>
      </c>
      <c r="B12" s="419" t="n"/>
      <c r="C12" s="419" t="n"/>
      <c r="D12" s="419" t="n"/>
      <c r="E12" s="420" t="n"/>
      <c r="F12" s="297">
        <f>SUM(F13:F43)</f>
        <v/>
      </c>
      <c r="G12" s="298" t="n"/>
      <c r="H12" s="297">
        <f>SUM(H13:H43)</f>
        <v/>
      </c>
    </row>
    <row r="13">
      <c r="A13" s="300" t="n">
        <v>1</v>
      </c>
      <c r="B13" s="301" t="n"/>
      <c r="C13" s="287" t="inlineStr">
        <is>
          <t>1-4-8</t>
        </is>
      </c>
      <c r="D13" s="288" t="inlineStr">
        <is>
          <t>Затраты труда рабочих (ср 4,8)</t>
        </is>
      </c>
      <c r="E13" s="374" t="inlineStr">
        <is>
          <t>чел.-ч</t>
        </is>
      </c>
      <c r="F13" s="374" t="n">
        <v>12801.19</v>
      </c>
      <c r="G13" s="290" t="n">
        <v>10.79</v>
      </c>
      <c r="H13" s="302">
        <f>ROUND(F13*G13,2)</f>
        <v/>
      </c>
      <c r="I13" s="291" t="n">
        <v>4.8</v>
      </c>
      <c r="J13" s="291">
        <f>I13*F13</f>
        <v/>
      </c>
    </row>
    <row r="14">
      <c r="A14" s="300" t="n">
        <v>2</v>
      </c>
      <c r="B14" s="301" t="n"/>
      <c r="C14" s="287" t="inlineStr">
        <is>
          <t>1-3-8</t>
        </is>
      </c>
      <c r="D14" s="288" t="inlineStr">
        <is>
          <t>Затраты труда рабочих (ср 3,8)</t>
        </is>
      </c>
      <c r="E14" s="374" t="inlineStr">
        <is>
          <t>чел.-ч</t>
        </is>
      </c>
      <c r="F14" s="374" t="n">
        <v>11062.41</v>
      </c>
      <c r="G14" s="290" t="n">
        <v>9.4</v>
      </c>
      <c r="H14" s="302">
        <f>ROUND(F14*G14,2)</f>
        <v/>
      </c>
      <c r="I14" s="291" t="n">
        <v>3.8</v>
      </c>
      <c r="J14" s="291">
        <f>I14*F14</f>
        <v/>
      </c>
    </row>
    <row r="15">
      <c r="A15" s="300" t="n">
        <v>3</v>
      </c>
      <c r="B15" s="301" t="n"/>
      <c r="C15" s="287" t="inlineStr">
        <is>
          <t>1-3-0</t>
        </is>
      </c>
      <c r="D15" s="288" t="inlineStr">
        <is>
          <t>Затраты труда рабочих (ср 3)</t>
        </is>
      </c>
      <c r="E15" s="374" t="inlineStr">
        <is>
          <t>чел.-ч</t>
        </is>
      </c>
      <c r="F15" s="374" t="n">
        <v>10490.66</v>
      </c>
      <c r="G15" s="290" t="n">
        <v>8.529999999999999</v>
      </c>
      <c r="H15" s="302">
        <f>ROUND(F15*G15,2)</f>
        <v/>
      </c>
      <c r="I15" s="291" t="n">
        <v>3</v>
      </c>
      <c r="J15" s="291">
        <f>I15*F15</f>
        <v/>
      </c>
    </row>
    <row r="16">
      <c r="A16" s="300" t="n">
        <v>4</v>
      </c>
      <c r="B16" s="301" t="n"/>
      <c r="C16" s="287" t="inlineStr">
        <is>
          <t>1-3-1</t>
        </is>
      </c>
      <c r="D16" s="288" t="inlineStr">
        <is>
          <t>Затраты труда рабочих (ср 3,1)</t>
        </is>
      </c>
      <c r="E16" s="374" t="inlineStr">
        <is>
          <t>чел.-ч</t>
        </is>
      </c>
      <c r="F16" s="374" t="n">
        <v>4921.9</v>
      </c>
      <c r="G16" s="290" t="n">
        <v>8.640000000000001</v>
      </c>
      <c r="H16" s="302">
        <f>ROUND(F16*G16,2)</f>
        <v/>
      </c>
      <c r="I16" s="291" t="n">
        <v>3.1</v>
      </c>
      <c r="J16" s="291">
        <f>I16*F16</f>
        <v/>
      </c>
    </row>
    <row r="17">
      <c r="A17" s="300" t="n">
        <v>5</v>
      </c>
      <c r="B17" s="301" t="n"/>
      <c r="C17" s="287" t="inlineStr">
        <is>
          <t>1-3-2</t>
        </is>
      </c>
      <c r="D17" s="288" t="inlineStr">
        <is>
          <t>Затраты труда рабочих (ср 3,2)</t>
        </is>
      </c>
      <c r="E17" s="374" t="inlineStr">
        <is>
          <t>чел.-ч</t>
        </is>
      </c>
      <c r="F17" s="374" t="n">
        <v>4308.92</v>
      </c>
      <c r="G17" s="290" t="n">
        <v>8.74</v>
      </c>
      <c r="H17" s="302">
        <f>ROUND(F17*G17,2)</f>
        <v/>
      </c>
      <c r="I17" s="291" t="n">
        <v>3.2</v>
      </c>
      <c r="J17" s="291">
        <f>I17*F17</f>
        <v/>
      </c>
    </row>
    <row r="18">
      <c r="A18" s="300" t="n">
        <v>6</v>
      </c>
      <c r="B18" s="301" t="n"/>
      <c r="C18" s="287" t="inlineStr">
        <is>
          <t>1-4-1</t>
        </is>
      </c>
      <c r="D18" s="288" t="inlineStr">
        <is>
          <t>Затраты труда рабочих (ср 4,1)</t>
        </is>
      </c>
      <c r="E18" s="374" t="inlineStr">
        <is>
          <t>чел.-ч</t>
        </is>
      </c>
      <c r="F18" s="374" t="n">
        <v>3286.5</v>
      </c>
      <c r="G18" s="290" t="n">
        <v>9.76</v>
      </c>
      <c r="H18" s="302">
        <f>ROUND(F18*G18,2)</f>
        <v/>
      </c>
      <c r="I18" s="291" t="n">
        <v>4.1</v>
      </c>
      <c r="J18" s="291">
        <f>I18*F18</f>
        <v/>
      </c>
    </row>
    <row r="19">
      <c r="A19" s="300" t="n">
        <v>7</v>
      </c>
      <c r="B19" s="301" t="n"/>
      <c r="C19" s="287" t="inlineStr">
        <is>
          <t>1-4-6</t>
        </is>
      </c>
      <c r="D19" s="288" t="inlineStr">
        <is>
          <t>Затраты труда рабочих (ср 4,6)</t>
        </is>
      </c>
      <c r="E19" s="374" t="inlineStr">
        <is>
          <t>чел.-ч</t>
        </is>
      </c>
      <c r="F19" s="374" t="n">
        <v>3043.11</v>
      </c>
      <c r="G19" s="290" t="n">
        <v>10.5</v>
      </c>
      <c r="H19" s="302">
        <f>ROUND(F19*G19,2)</f>
        <v/>
      </c>
      <c r="I19" s="291" t="n">
        <v>4.6</v>
      </c>
      <c r="J19" s="291">
        <f>I19*F19</f>
        <v/>
      </c>
    </row>
    <row r="20">
      <c r="A20" s="300" t="n">
        <v>8</v>
      </c>
      <c r="B20" s="301" t="n"/>
      <c r="C20" s="287" t="inlineStr">
        <is>
          <t>1-3-4</t>
        </is>
      </c>
      <c r="D20" s="288" t="inlineStr">
        <is>
          <t>Затраты труда рабочих (ср 3,4)</t>
        </is>
      </c>
      <c r="E20" s="374" t="inlineStr">
        <is>
          <t>чел.-ч</t>
        </is>
      </c>
      <c r="F20" s="374" t="n">
        <v>3501.37</v>
      </c>
      <c r="G20" s="290" t="n">
        <v>8.970000000000001</v>
      </c>
      <c r="H20" s="302">
        <f>ROUND(F20*G20,2)</f>
        <v/>
      </c>
      <c r="I20" s="291" t="n">
        <v>3.4</v>
      </c>
      <c r="J20" s="291">
        <f>I20*F20</f>
        <v/>
      </c>
    </row>
    <row r="21">
      <c r="A21" s="300" t="n">
        <v>9</v>
      </c>
      <c r="B21" s="301" t="n"/>
      <c r="C21" s="287" t="inlineStr">
        <is>
          <t>1-3-5</t>
        </is>
      </c>
      <c r="D21" s="288" t="inlineStr">
        <is>
          <t>Затраты труда рабочих (ср 3,5)</t>
        </is>
      </c>
      <c r="E21" s="374" t="inlineStr">
        <is>
          <t>чел.-ч</t>
        </is>
      </c>
      <c r="F21" s="374" t="n">
        <v>3034.05</v>
      </c>
      <c r="G21" s="290" t="n">
        <v>9.07</v>
      </c>
      <c r="H21" s="302">
        <f>ROUND(F21*G21,2)</f>
        <v/>
      </c>
      <c r="I21" s="291" t="n">
        <v>3.5</v>
      </c>
      <c r="J21" s="291">
        <f>I21*F21</f>
        <v/>
      </c>
    </row>
    <row r="22">
      <c r="A22" s="300" t="n">
        <v>10</v>
      </c>
      <c r="B22" s="301" t="n"/>
      <c r="C22" s="287" t="inlineStr">
        <is>
          <t>1-3-7</t>
        </is>
      </c>
      <c r="D22" s="288" t="inlineStr">
        <is>
          <t>Затраты труда рабочих (ср 3,7)</t>
        </is>
      </c>
      <c r="E22" s="374" t="inlineStr">
        <is>
          <t>чел.-ч</t>
        </is>
      </c>
      <c r="F22" s="374" t="n">
        <v>2627.97</v>
      </c>
      <c r="G22" s="290" t="n">
        <v>9.289999999999999</v>
      </c>
      <c r="H22" s="302">
        <f>ROUND(F22*G22,2)</f>
        <v/>
      </c>
      <c r="I22" s="291" t="n">
        <v>3.7</v>
      </c>
      <c r="J22" s="291">
        <f>I22*F22</f>
        <v/>
      </c>
    </row>
    <row r="23">
      <c r="A23" s="300" t="n">
        <v>11</v>
      </c>
      <c r="B23" s="301" t="n"/>
      <c r="C23" s="287" t="inlineStr">
        <is>
          <t>1-3-9</t>
        </is>
      </c>
      <c r="D23" s="288" t="inlineStr">
        <is>
          <t>Затраты труда рабочих (ср 3,9)</t>
        </is>
      </c>
      <c r="E23" s="374" t="inlineStr">
        <is>
          <t>чел.-ч</t>
        </is>
      </c>
      <c r="F23" s="374" t="n">
        <v>2534.97</v>
      </c>
      <c r="G23" s="290" t="n">
        <v>9.51</v>
      </c>
      <c r="H23" s="302">
        <f>ROUND(F23*G23,2)</f>
        <v/>
      </c>
      <c r="I23" s="291" t="n">
        <v>3.9</v>
      </c>
      <c r="J23" s="291">
        <f>I23*F23</f>
        <v/>
      </c>
    </row>
    <row r="24">
      <c r="A24" s="300" t="n">
        <v>12</v>
      </c>
      <c r="B24" s="301" t="n"/>
      <c r="C24" s="287" t="inlineStr">
        <is>
          <t>1-4-0</t>
        </is>
      </c>
      <c r="D24" s="288" t="inlineStr">
        <is>
          <t>Затраты труда рабочих (ср 4)</t>
        </is>
      </c>
      <c r="E24" s="374" t="inlineStr">
        <is>
          <t>чел.-ч</t>
        </is>
      </c>
      <c r="F24" s="374" t="n">
        <v>2101.18</v>
      </c>
      <c r="G24" s="290" t="n">
        <v>9.619999999999999</v>
      </c>
      <c r="H24" s="302">
        <f>ROUND(F24*G24,2)</f>
        <v/>
      </c>
      <c r="I24" s="291" t="n">
        <v>4</v>
      </c>
      <c r="J24" s="291">
        <f>I24*F24</f>
        <v/>
      </c>
    </row>
    <row r="25">
      <c r="A25" s="300" t="n">
        <v>13</v>
      </c>
      <c r="B25" s="301" t="n"/>
      <c r="C25" s="287" t="inlineStr">
        <is>
          <t>1-4-4</t>
        </is>
      </c>
      <c r="D25" s="288" t="inlineStr">
        <is>
          <t>Затраты труда рабочих (ср 4,4)</t>
        </is>
      </c>
      <c r="E25" s="374" t="inlineStr">
        <is>
          <t>чел.-ч</t>
        </is>
      </c>
      <c r="F25" s="374" t="n">
        <v>1771.9</v>
      </c>
      <c r="G25" s="290" t="n">
        <v>10.21</v>
      </c>
      <c r="H25" s="302">
        <f>ROUND(F25*G25,2)</f>
        <v/>
      </c>
      <c r="I25" s="291" t="n">
        <v>4.4</v>
      </c>
      <c r="J25" s="291">
        <f>I25*F25</f>
        <v/>
      </c>
    </row>
    <row r="26">
      <c r="A26" s="300" t="n">
        <v>14</v>
      </c>
      <c r="B26" s="301" t="n"/>
      <c r="C26" s="287" t="inlineStr">
        <is>
          <t>1-3-6</t>
        </is>
      </c>
      <c r="D26" s="288" t="inlineStr">
        <is>
          <t>Затраты труда рабочих (ср 3,6)</t>
        </is>
      </c>
      <c r="E26" s="374" t="inlineStr">
        <is>
          <t>чел.-ч</t>
        </is>
      </c>
      <c r="F26" s="374" t="n">
        <v>1825.96</v>
      </c>
      <c r="G26" s="290" t="n">
        <v>9.18</v>
      </c>
      <c r="H26" s="302">
        <f>ROUND(F26*G26,2)</f>
        <v/>
      </c>
      <c r="I26" s="291" t="n">
        <v>3.6</v>
      </c>
      <c r="J26" s="291">
        <f>I26*F26</f>
        <v/>
      </c>
    </row>
    <row r="27">
      <c r="A27" s="300" t="n">
        <v>15</v>
      </c>
      <c r="B27" s="301" t="n"/>
      <c r="C27" s="287" t="inlineStr">
        <is>
          <t>1-2-7</t>
        </is>
      </c>
      <c r="D27" s="288" t="inlineStr">
        <is>
          <t>Затраты труда рабочих (ср 2,7)</t>
        </is>
      </c>
      <c r="E27" s="374" t="inlineStr">
        <is>
          <t>чел.-ч</t>
        </is>
      </c>
      <c r="F27" s="374" t="n">
        <v>1901.3</v>
      </c>
      <c r="G27" s="290" t="n">
        <v>8.31</v>
      </c>
      <c r="H27" s="302">
        <f>ROUND(F27*G27,2)</f>
        <v/>
      </c>
      <c r="I27" s="291" t="n">
        <v>2.7</v>
      </c>
      <c r="J27" s="291">
        <f>I27*F27</f>
        <v/>
      </c>
    </row>
    <row r="28">
      <c r="A28" s="300" t="n">
        <v>16</v>
      </c>
      <c r="B28" s="301" t="n"/>
      <c r="C28" s="287" t="inlineStr">
        <is>
          <t>1-4-3</t>
        </is>
      </c>
      <c r="D28" s="288" t="inlineStr">
        <is>
          <t>Затраты труда рабочих (ср 4,3)</t>
        </is>
      </c>
      <c r="E28" s="374" t="inlineStr">
        <is>
          <t>чел.-ч</t>
        </is>
      </c>
      <c r="F28" s="374" t="n">
        <v>1549.51</v>
      </c>
      <c r="G28" s="290" t="n">
        <v>10.06</v>
      </c>
      <c r="H28" s="302">
        <f>ROUND(F28*G28,2)</f>
        <v/>
      </c>
      <c r="I28" s="291" t="n">
        <v>4.3</v>
      </c>
      <c r="J28" s="291">
        <f>I28*F28</f>
        <v/>
      </c>
    </row>
    <row r="29">
      <c r="A29" s="300" t="n">
        <v>17</v>
      </c>
      <c r="B29" s="301" t="n"/>
      <c r="C29" s="287" t="inlineStr">
        <is>
          <t>1-5-3</t>
        </is>
      </c>
      <c r="D29" s="288" t="inlineStr">
        <is>
          <t>Затраты труда рабочих (ср 5,3)</t>
        </is>
      </c>
      <c r="E29" s="374" t="inlineStr">
        <is>
          <t>чел.-ч</t>
        </is>
      </c>
      <c r="F29" s="374" t="n">
        <v>1267.29</v>
      </c>
      <c r="G29" s="290" t="n">
        <v>11.64</v>
      </c>
      <c r="H29" s="302">
        <f>ROUND(F29*G29,2)</f>
        <v/>
      </c>
      <c r="I29" s="291" t="n">
        <v>5.3</v>
      </c>
      <c r="J29" s="291">
        <f>I29*F29</f>
        <v/>
      </c>
    </row>
    <row r="30">
      <c r="A30" s="300" t="n">
        <v>18</v>
      </c>
      <c r="B30" s="301" t="n"/>
      <c r="C30" s="287" t="inlineStr">
        <is>
          <t>1-4-2</t>
        </is>
      </c>
      <c r="D30" s="288" t="inlineStr">
        <is>
          <t>Затраты труда рабочих (ср 4,2)</t>
        </is>
      </c>
      <c r="E30" s="374" t="inlineStr">
        <is>
          <t>чел.-ч</t>
        </is>
      </c>
      <c r="F30" s="374" t="n">
        <v>1130.99</v>
      </c>
      <c r="G30" s="290" t="n">
        <v>9.92</v>
      </c>
      <c r="H30" s="302">
        <f>ROUND(F30*G30,2)</f>
        <v/>
      </c>
      <c r="I30" s="291" t="n">
        <v>4.2</v>
      </c>
      <c r="J30" s="291">
        <f>I30*F30</f>
        <v/>
      </c>
    </row>
    <row r="31">
      <c r="A31" s="300" t="n">
        <v>19</v>
      </c>
      <c r="B31" s="301" t="n"/>
      <c r="C31" s="287" t="inlineStr">
        <is>
          <t>1-2-4</t>
        </is>
      </c>
      <c r="D31" s="288" t="inlineStr">
        <is>
          <t>Затраты труда рабочих (ср 2,4)</t>
        </is>
      </c>
      <c r="E31" s="374" t="inlineStr">
        <is>
          <t>чел.-ч</t>
        </is>
      </c>
      <c r="F31" s="374" t="n">
        <v>964.66</v>
      </c>
      <c r="G31" s="290" t="n">
        <v>8.09</v>
      </c>
      <c r="H31" s="302">
        <f>ROUND(F31*G31,2)</f>
        <v/>
      </c>
      <c r="I31" s="291" t="n">
        <v>2.4</v>
      </c>
      <c r="J31" s="291">
        <f>I31*F31</f>
        <v/>
      </c>
    </row>
    <row r="32">
      <c r="A32" s="300" t="n">
        <v>20</v>
      </c>
      <c r="B32" s="301" t="n"/>
      <c r="C32" s="287" t="inlineStr">
        <is>
          <t>1-2-0</t>
        </is>
      </c>
      <c r="D32" s="288" t="inlineStr">
        <is>
          <t>Затраты труда рабочих (ср 2)</t>
        </is>
      </c>
      <c r="E32" s="374" t="inlineStr">
        <is>
          <t>чел.-ч</t>
        </is>
      </c>
      <c r="F32" s="374" t="n">
        <v>840.28</v>
      </c>
      <c r="G32" s="290" t="n">
        <v>7.8</v>
      </c>
      <c r="H32" s="302">
        <f>ROUND(F32*G32,2)</f>
        <v/>
      </c>
      <c r="I32" s="291" t="n">
        <v>2</v>
      </c>
      <c r="J32" s="291">
        <f>I32*F32</f>
        <v/>
      </c>
    </row>
    <row r="33">
      <c r="A33" s="300" t="n">
        <v>21</v>
      </c>
      <c r="B33" s="301" t="n"/>
      <c r="C33" s="287" t="inlineStr">
        <is>
          <t>1-3-3</t>
        </is>
      </c>
      <c r="D33" s="288" t="inlineStr">
        <is>
          <t>Затраты труда рабочих (ср 3,3)</t>
        </is>
      </c>
      <c r="E33" s="374" t="inlineStr">
        <is>
          <t>чел.-ч</t>
        </is>
      </c>
      <c r="F33" s="374" t="n">
        <v>701.17</v>
      </c>
      <c r="G33" s="290" t="n">
        <v>8.859999999999999</v>
      </c>
      <c r="H33" s="302">
        <f>ROUND(F33*G33,2)</f>
        <v/>
      </c>
      <c r="I33" s="291" t="n">
        <v>3.3</v>
      </c>
      <c r="J33" s="291">
        <f>I33*F33</f>
        <v/>
      </c>
    </row>
    <row r="34">
      <c r="A34" s="300" t="n">
        <v>22</v>
      </c>
      <c r="B34" s="301" t="n"/>
      <c r="C34" s="287" t="inlineStr">
        <is>
          <t>1-4-7</t>
        </is>
      </c>
      <c r="D34" s="288" t="inlineStr">
        <is>
          <t>Затраты труда рабочих (ср 4,7)</t>
        </is>
      </c>
      <c r="E34" s="374" t="inlineStr">
        <is>
          <t>чел.-ч</t>
        </is>
      </c>
      <c r="F34" s="374" t="n">
        <v>439.68</v>
      </c>
      <c r="G34" s="290" t="n">
        <v>10.65</v>
      </c>
      <c r="H34" s="302">
        <f>ROUND(F34*G34,2)</f>
        <v/>
      </c>
      <c r="I34" s="291" t="n">
        <v>4.7</v>
      </c>
      <c r="J34" s="291">
        <f>I34*F34</f>
        <v/>
      </c>
    </row>
    <row r="35">
      <c r="A35" s="300" t="n">
        <v>23</v>
      </c>
      <c r="B35" s="301" t="n"/>
      <c r="C35" s="287" t="inlineStr">
        <is>
          <t>1-2-8</t>
        </is>
      </c>
      <c r="D35" s="288" t="inlineStr">
        <is>
          <t>Затраты труда рабочих (ср 2,8)</t>
        </is>
      </c>
      <c r="E35" s="374" t="inlineStr">
        <is>
          <t>чел.-ч</t>
        </is>
      </c>
      <c r="F35" s="374" t="n">
        <v>547.61</v>
      </c>
      <c r="G35" s="290" t="n">
        <v>8.380000000000001</v>
      </c>
      <c r="H35" s="302">
        <f>ROUND(F35*G35,2)</f>
        <v/>
      </c>
      <c r="I35" s="291" t="n">
        <v>2.8</v>
      </c>
      <c r="J35" s="291">
        <f>I35*F35</f>
        <v/>
      </c>
    </row>
    <row r="36">
      <c r="A36" s="300" t="n">
        <v>24</v>
      </c>
      <c r="B36" s="301" t="n"/>
      <c r="C36" s="287" t="inlineStr">
        <is>
          <t>1-2-2</t>
        </is>
      </c>
      <c r="D36" s="288" t="inlineStr">
        <is>
          <t>Затраты труда рабочих (ср 2,2)</t>
        </is>
      </c>
      <c r="E36" s="374" t="inlineStr">
        <is>
          <t>чел.-ч</t>
        </is>
      </c>
      <c r="F36" s="374" t="n">
        <v>514.29</v>
      </c>
      <c r="G36" s="290" t="n">
        <v>7.94</v>
      </c>
      <c r="H36" s="302">
        <f>ROUND(F36*G36,2)</f>
        <v/>
      </c>
      <c r="I36" s="291" t="n">
        <v>2.2</v>
      </c>
      <c r="J36" s="291">
        <f>I36*F36</f>
        <v/>
      </c>
    </row>
    <row r="37">
      <c r="A37" s="300" t="n">
        <v>25</v>
      </c>
      <c r="B37" s="301" t="n"/>
      <c r="C37" s="287" t="inlineStr">
        <is>
          <t>1-2-3</t>
        </is>
      </c>
      <c r="D37" s="288" t="inlineStr">
        <is>
          <t>Затраты труда рабочих (ср 2,3)</t>
        </is>
      </c>
      <c r="E37" s="374" t="inlineStr">
        <is>
          <t>чел.-ч</t>
        </is>
      </c>
      <c r="F37" s="374" t="n">
        <v>120.34</v>
      </c>
      <c r="G37" s="290" t="n">
        <v>8.02</v>
      </c>
      <c r="H37" s="302">
        <f>ROUND(F37*G37,2)</f>
        <v/>
      </c>
      <c r="I37" s="291" t="n">
        <v>2.3</v>
      </c>
      <c r="J37" s="291">
        <f>I37*F37</f>
        <v/>
      </c>
    </row>
    <row r="38">
      <c r="A38" s="300" t="n">
        <v>26</v>
      </c>
      <c r="B38" s="301" t="n"/>
      <c r="C38" s="287" t="inlineStr">
        <is>
          <t>1-2-6</t>
        </is>
      </c>
      <c r="D38" s="288" t="inlineStr">
        <is>
          <t>Затраты труда рабочих (ср 2,6)</t>
        </is>
      </c>
      <c r="E38" s="374" t="inlineStr">
        <is>
          <t>чел.-ч</t>
        </is>
      </c>
      <c r="F38" s="374" t="n">
        <v>114.02</v>
      </c>
      <c r="G38" s="290" t="n">
        <v>8.24</v>
      </c>
      <c r="H38" s="302">
        <f>ROUND(F38*G38,2)</f>
        <v/>
      </c>
      <c r="I38" s="291" t="n">
        <v>2.6</v>
      </c>
      <c r="J38" s="291">
        <f>I38*F38</f>
        <v/>
      </c>
    </row>
    <row r="39">
      <c r="A39" s="300" t="n">
        <v>27</v>
      </c>
      <c r="B39" s="301" t="n"/>
      <c r="C39" s="287" t="inlineStr">
        <is>
          <t>1-5-0</t>
        </is>
      </c>
      <c r="D39" s="288" t="inlineStr">
        <is>
          <t>Затраты труда рабочих (ср 5)</t>
        </is>
      </c>
      <c r="E39" s="374" t="inlineStr">
        <is>
          <t>чел.-ч</t>
        </is>
      </c>
      <c r="F39" s="374" t="n">
        <v>66.59999999999999</v>
      </c>
      <c r="G39" s="290" t="n">
        <v>11.09</v>
      </c>
      <c r="H39" s="302">
        <f>ROUND(F39*G39,2)</f>
        <v/>
      </c>
      <c r="I39" s="291" t="n">
        <v>5</v>
      </c>
      <c r="J39" s="291">
        <f>I39*F39</f>
        <v/>
      </c>
    </row>
    <row r="40">
      <c r="A40" s="300" t="n">
        <v>28</v>
      </c>
      <c r="B40" s="301" t="n"/>
      <c r="C40" s="287" t="inlineStr">
        <is>
          <t>1-4-9</t>
        </is>
      </c>
      <c r="D40" s="288" t="inlineStr">
        <is>
          <t>Затраты труда рабочих (ср 4,9)</t>
        </is>
      </c>
      <c r="E40" s="374" t="inlineStr">
        <is>
          <t>чел.-ч</t>
        </is>
      </c>
      <c r="F40" s="374" t="n">
        <v>42.5</v>
      </c>
      <c r="G40" s="290" t="n">
        <v>10.94</v>
      </c>
      <c r="H40" s="302">
        <f>ROUND(F40*G40,2)</f>
        <v/>
      </c>
      <c r="I40" s="291" t="n">
        <v>4.9</v>
      </c>
      <c r="J40" s="291">
        <f>I40*F40</f>
        <v/>
      </c>
    </row>
    <row r="41">
      <c r="A41" s="300" t="n">
        <v>29</v>
      </c>
      <c r="B41" s="301" t="n"/>
      <c r="C41" s="287" t="inlineStr">
        <is>
          <t>1-1-5</t>
        </is>
      </c>
      <c r="D41" s="288" t="inlineStr">
        <is>
          <t>Затраты труда рабочих (ср 1,5)</t>
        </is>
      </c>
      <c r="E41" s="374" t="inlineStr">
        <is>
          <t>чел.-ч</t>
        </is>
      </c>
      <c r="F41" s="374" t="n">
        <v>34.52</v>
      </c>
      <c r="G41" s="290" t="n">
        <v>7.5</v>
      </c>
      <c r="H41" s="302">
        <f>ROUND(F41*G41,2)</f>
        <v/>
      </c>
      <c r="I41" s="291" t="n">
        <v>1.5</v>
      </c>
      <c r="J41" s="291">
        <f>I41*F41</f>
        <v/>
      </c>
    </row>
    <row r="42">
      <c r="A42" s="300" t="n">
        <v>30</v>
      </c>
      <c r="B42" s="301" t="n"/>
      <c r="C42" s="287" t="inlineStr">
        <is>
          <t>1-2-9</t>
        </is>
      </c>
      <c r="D42" s="288" t="inlineStr">
        <is>
          <t>Затраты труда рабочих (ср 2,9)</t>
        </is>
      </c>
      <c r="E42" s="374" t="inlineStr">
        <is>
          <t>чел.-ч</t>
        </is>
      </c>
      <c r="F42" s="374" t="n">
        <v>23.45</v>
      </c>
      <c r="G42" s="290" t="n">
        <v>8.460000000000001</v>
      </c>
      <c r="H42" s="302">
        <f>ROUND(F42*G42,2)</f>
        <v/>
      </c>
      <c r="I42" s="291" t="n">
        <v>2.9</v>
      </c>
      <c r="J42" s="291">
        <f>I42*F42</f>
        <v/>
      </c>
    </row>
    <row r="43">
      <c r="A43" s="300" t="n">
        <v>31</v>
      </c>
      <c r="B43" s="301" t="n"/>
      <c r="C43" s="287" t="inlineStr">
        <is>
          <t>1-4-5</t>
        </is>
      </c>
      <c r="D43" s="288" t="inlineStr">
        <is>
          <t>Затраты труда рабочих (ср 4,5)</t>
        </is>
      </c>
      <c r="E43" s="374" t="inlineStr">
        <is>
          <t>чел.-ч</t>
        </is>
      </c>
      <c r="F43" s="374" t="n">
        <v>11.9</v>
      </c>
      <c r="G43" s="290" t="n">
        <v>10.35</v>
      </c>
      <c r="H43" s="302">
        <f>ROUND(F43*G43,2)</f>
        <v/>
      </c>
      <c r="I43" s="291" t="n">
        <v>4.5</v>
      </c>
      <c r="J43" s="291">
        <f>I43*F43</f>
        <v/>
      </c>
    </row>
    <row r="44">
      <c r="A44" s="344" t="inlineStr">
        <is>
          <t>Затраты труда машинистов</t>
        </is>
      </c>
      <c r="B44" s="419" t="n"/>
      <c r="C44" s="419" t="n"/>
      <c r="D44" s="419" t="n"/>
      <c r="E44" s="420" t="n"/>
      <c r="F44" s="345" t="n"/>
      <c r="G44" s="304" t="n"/>
      <c r="H44" s="297">
        <f>H45</f>
        <v/>
      </c>
    </row>
    <row r="45">
      <c r="A45" s="374" t="n">
        <v>32</v>
      </c>
      <c r="B45" s="346" t="n"/>
      <c r="C45" s="287" t="n">
        <v>2</v>
      </c>
      <c r="D45" s="288" t="inlineStr">
        <is>
          <t>Затраты труда машинистов</t>
        </is>
      </c>
      <c r="E45" s="374" t="inlineStr">
        <is>
          <t>чел.-ч</t>
        </is>
      </c>
      <c r="F45" s="306" t="n">
        <v>4836.81</v>
      </c>
      <c r="G45" s="302" t="n">
        <v>0</v>
      </c>
      <c r="H45" s="290" t="n">
        <v>64139.84</v>
      </c>
      <c r="J45" s="291">
        <f>SUM(J13:J43)</f>
        <v/>
      </c>
    </row>
    <row r="46" customFormat="1" s="299">
      <c r="A46" s="345" t="inlineStr">
        <is>
          <t>Машины и механизмы</t>
        </is>
      </c>
      <c r="B46" s="419" t="n"/>
      <c r="C46" s="419" t="n"/>
      <c r="D46" s="419" t="n"/>
      <c r="E46" s="420" t="n"/>
      <c r="F46" s="345" t="n"/>
      <c r="G46" s="304" t="n"/>
      <c r="H46" s="297">
        <f>SUM(H47:H122)</f>
        <v/>
      </c>
    </row>
    <row r="47">
      <c r="A47" s="374" t="n">
        <v>33</v>
      </c>
      <c r="B47" s="346" t="n"/>
      <c r="C47" s="287" t="inlineStr">
        <is>
          <t>91.02.02-011</t>
        </is>
      </c>
      <c r="D47" s="288" t="inlineStr">
        <is>
          <t>Копры гусеничные для свай длиной до 12 м</t>
        </is>
      </c>
      <c r="E47" s="374" t="inlineStr">
        <is>
          <t>маш.час</t>
        </is>
      </c>
      <c r="F47" s="374" t="n">
        <v>691.17</v>
      </c>
      <c r="G47" s="290" t="n">
        <v>185.55</v>
      </c>
      <c r="H47" s="302">
        <f>ROUND(F47*G47,2)</f>
        <v/>
      </c>
      <c r="I47" s="307">
        <f>H47/$H$46</f>
        <v/>
      </c>
      <c r="J47" s="308">
        <f>J45/F12</f>
        <v/>
      </c>
      <c r="L47" s="307" t="n"/>
    </row>
    <row r="48" customFormat="1" s="299">
      <c r="A48" s="374" t="n">
        <v>34</v>
      </c>
      <c r="B48" s="346" t="n"/>
      <c r="C48" s="287" t="inlineStr">
        <is>
          <t>91.05.06-009</t>
        </is>
      </c>
      <c r="D48" s="288" t="inlineStr">
        <is>
          <t>Краны на гусеничном ходу, грузоподъемность 50-63 т</t>
        </is>
      </c>
      <c r="E48" s="374" t="inlineStr">
        <is>
          <t>маш.час</t>
        </is>
      </c>
      <c r="F48" s="374" t="n">
        <v>405.2</v>
      </c>
      <c r="G48" s="290" t="n">
        <v>290.01</v>
      </c>
      <c r="H48" s="302">
        <f>ROUND(F48*G48,2)</f>
        <v/>
      </c>
      <c r="I48" s="307">
        <f>H48/$H$46</f>
        <v/>
      </c>
      <c r="L48" s="307" t="n"/>
    </row>
    <row r="49">
      <c r="A49" s="374" t="n">
        <v>35</v>
      </c>
      <c r="B49" s="346" t="n"/>
      <c r="C49" s="287" t="inlineStr">
        <is>
          <t>91.05.06-007</t>
        </is>
      </c>
      <c r="D49" s="288" t="inlineStr">
        <is>
          <t>Краны на гусеничном ходу, грузоподъемность 25 т</t>
        </is>
      </c>
      <c r="E49" s="374" t="inlineStr">
        <is>
          <t>маш.час</t>
        </is>
      </c>
      <c r="F49" s="374" t="n">
        <v>590.04</v>
      </c>
      <c r="G49" s="290" t="n">
        <v>120.04</v>
      </c>
      <c r="H49" s="302">
        <f>ROUND(F49*G49,2)</f>
        <v/>
      </c>
      <c r="I49" s="307">
        <f>H49/$H$46</f>
        <v/>
      </c>
      <c r="L49" s="307" t="n"/>
    </row>
    <row r="50">
      <c r="A50" s="374" t="n">
        <v>36</v>
      </c>
      <c r="B50" s="346" t="n"/>
      <c r="C50" s="287" t="inlineStr">
        <is>
          <t>91.02.03-024</t>
        </is>
      </c>
      <c r="D50" s="288" t="inlineStr">
        <is>
          <t>Дизель-молоты 2,5 т</t>
        </is>
      </c>
      <c r="E50" s="374" t="inlineStr">
        <is>
          <t>маш.час</t>
        </is>
      </c>
      <c r="F50" s="374" t="n">
        <v>691.17</v>
      </c>
      <c r="G50" s="290" t="n">
        <v>70.67</v>
      </c>
      <c r="H50" s="302">
        <f>ROUND(F50*G50,2)</f>
        <v/>
      </c>
      <c r="I50" s="307">
        <f>H50/$H$46</f>
        <v/>
      </c>
      <c r="L50" s="307" t="n"/>
    </row>
    <row r="51">
      <c r="A51" s="374" t="n">
        <v>37</v>
      </c>
      <c r="B51" s="346" t="n"/>
      <c r="C51" s="287" t="inlineStr">
        <is>
          <t>91.05.01-025</t>
        </is>
      </c>
      <c r="D51" s="288" t="inlineStr">
        <is>
          <t>Краны башенные, грузоподъемность 25-75 т</t>
        </is>
      </c>
      <c r="E51" s="374" t="inlineStr">
        <is>
          <t>маш.час</t>
        </is>
      </c>
      <c r="F51" s="374" t="n">
        <v>128.82</v>
      </c>
      <c r="G51" s="290" t="n">
        <v>312.21</v>
      </c>
      <c r="H51" s="302">
        <f>ROUND(F51*G51,2)</f>
        <v/>
      </c>
      <c r="I51" s="307">
        <f>H51/$H$46</f>
        <v/>
      </c>
      <c r="L51" s="307" t="n"/>
    </row>
    <row r="52">
      <c r="A52" s="374" t="n">
        <v>38</v>
      </c>
      <c r="B52" s="346" t="n"/>
      <c r="C52" s="287" t="inlineStr">
        <is>
          <t>91.14.02-001</t>
        </is>
      </c>
      <c r="D52" s="288" t="inlineStr">
        <is>
          <t>Автомобили бортовые, грузоподъемность до 5 т</t>
        </is>
      </c>
      <c r="E52" s="374" t="inlineStr">
        <is>
          <t>маш.час</t>
        </is>
      </c>
      <c r="F52" s="374" t="n">
        <v>541.85</v>
      </c>
      <c r="G52" s="290" t="n">
        <v>65.70999999999999</v>
      </c>
      <c r="H52" s="302">
        <f>ROUND(F52*G52,2)</f>
        <v/>
      </c>
      <c r="I52" s="307">
        <f>H52/$H$46</f>
        <v/>
      </c>
      <c r="L52" s="307" t="n"/>
    </row>
    <row r="53">
      <c r="A53" s="374" t="n">
        <v>39</v>
      </c>
      <c r="B53" s="346" t="n"/>
      <c r="C53" s="287" t="inlineStr">
        <is>
          <t>91.05.01-017</t>
        </is>
      </c>
      <c r="D53" s="288" t="inlineStr">
        <is>
          <t>Краны башенные, грузоподъемность 8 т</t>
        </is>
      </c>
      <c r="E53" s="374" t="inlineStr">
        <is>
          <t>маш.час</t>
        </is>
      </c>
      <c r="F53" s="374" t="n">
        <v>341.41</v>
      </c>
      <c r="G53" s="290" t="n">
        <v>86.40000000000001</v>
      </c>
      <c r="H53" s="302">
        <f>ROUND(F53*G53,2)</f>
        <v/>
      </c>
      <c r="I53" s="307">
        <f>H53/$H$46</f>
        <v/>
      </c>
    </row>
    <row r="54" ht="25.5" customHeight="1" s="248">
      <c r="A54" s="374" t="n">
        <v>40</v>
      </c>
      <c r="B54" s="346" t="n"/>
      <c r="C54" s="287" t="inlineStr">
        <is>
          <t>91.05.06-012</t>
        </is>
      </c>
      <c r="D54" s="288" t="inlineStr">
        <is>
          <t>Краны на гусеничном ходу, грузоподъемность до 16 т</t>
        </is>
      </c>
      <c r="E54" s="374" t="inlineStr">
        <is>
          <t>маш.час</t>
        </is>
      </c>
      <c r="F54" s="374" t="n">
        <v>302.75</v>
      </c>
      <c r="G54" s="290" t="n">
        <v>96.89</v>
      </c>
      <c r="H54" s="302">
        <f>ROUND(F54*G54,2)</f>
        <v/>
      </c>
      <c r="I54" s="307">
        <f>H54/$H$46</f>
        <v/>
      </c>
    </row>
    <row r="55" ht="25.5" customHeight="1" s="248">
      <c r="A55" s="374" t="n">
        <v>41</v>
      </c>
      <c r="B55" s="346" t="n"/>
      <c r="C55" s="287" t="inlineStr">
        <is>
          <t>91.05.05-015</t>
        </is>
      </c>
      <c r="D55" s="288" t="inlineStr">
        <is>
          <t>Краны на автомобильном ходу, грузоподъемность 16 т</t>
        </is>
      </c>
      <c r="E55" s="374" t="inlineStr">
        <is>
          <t>маш.час</t>
        </is>
      </c>
      <c r="F55" s="374" t="n">
        <v>232.98</v>
      </c>
      <c r="G55" s="290" t="n">
        <v>115.4</v>
      </c>
      <c r="H55" s="302">
        <f>ROUND(F55*G55,2)</f>
        <v/>
      </c>
      <c r="I55" s="307">
        <f>H55/$H$46</f>
        <v/>
      </c>
    </row>
    <row r="56" ht="38.25" customHeight="1" s="248">
      <c r="A56" s="374" t="n">
        <v>42</v>
      </c>
      <c r="B56" s="346" t="n"/>
      <c r="C56" s="287" t="inlineStr">
        <is>
          <t>91.18.01-007</t>
        </is>
      </c>
      <c r="D56" s="288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56" s="374" t="inlineStr">
        <is>
          <t>маш.час</t>
        </is>
      </c>
      <c r="F56" s="374" t="n">
        <v>268.56</v>
      </c>
      <c r="G56" s="290" t="n">
        <v>90</v>
      </c>
      <c r="H56" s="302">
        <f>ROUND(F56*G56,2)</f>
        <v/>
      </c>
      <c r="I56" s="307">
        <f>H56/$H$46</f>
        <v/>
      </c>
    </row>
    <row r="57" ht="25.5" customHeight="1" s="248">
      <c r="A57" s="374" t="n">
        <v>43</v>
      </c>
      <c r="B57" s="346" t="n"/>
      <c r="C57" s="287" t="inlineStr">
        <is>
          <t>91.10.05-001</t>
        </is>
      </c>
      <c r="D57" s="288" t="inlineStr">
        <is>
          <t>Трубоукладчики для труб диаметром 800-1000 мм, грузоподъемность 35 т</t>
        </is>
      </c>
      <c r="E57" s="374" t="inlineStr">
        <is>
          <t>маш.час</t>
        </is>
      </c>
      <c r="F57" s="374" t="n">
        <v>104.59</v>
      </c>
      <c r="G57" s="290" t="n">
        <v>175.35</v>
      </c>
      <c r="H57" s="302">
        <f>ROUND(F57*G57,2)</f>
        <v/>
      </c>
      <c r="I57" s="307">
        <f>H57/$H$46</f>
        <v/>
      </c>
    </row>
    <row r="58">
      <c r="A58" s="374" t="n">
        <v>44</v>
      </c>
      <c r="B58" s="346" t="n"/>
      <c r="C58" s="287" t="inlineStr">
        <is>
          <t>91.05.02-005</t>
        </is>
      </c>
      <c r="D58" s="288" t="inlineStr">
        <is>
          <t>Краны козловые, грузоподъемность 32 т</t>
        </is>
      </c>
      <c r="E58" s="374" t="inlineStr">
        <is>
          <t>маш.час</t>
        </is>
      </c>
      <c r="F58" s="374" t="n">
        <v>151.74</v>
      </c>
      <c r="G58" s="290" t="n">
        <v>120.24</v>
      </c>
      <c r="H58" s="302">
        <f>ROUND(F58*G58,2)</f>
        <v/>
      </c>
      <c r="I58" s="307">
        <f>H58/$H$46</f>
        <v/>
      </c>
    </row>
    <row r="59" ht="25.5" customHeight="1" s="248">
      <c r="A59" s="374" t="n">
        <v>45</v>
      </c>
      <c r="B59" s="346" t="n"/>
      <c r="C59" s="287" t="inlineStr">
        <is>
          <t>91.17.04-171</t>
        </is>
      </c>
      <c r="D59" s="288" t="inlineStr">
        <is>
          <t>Преобразователи сварочные номинальным сварочным током 315-500 А</t>
        </is>
      </c>
      <c r="E59" s="374" t="inlineStr">
        <is>
          <t>маш.час</t>
        </is>
      </c>
      <c r="F59" s="374" t="n">
        <v>1355.5</v>
      </c>
      <c r="G59" s="290" t="n">
        <v>12.31</v>
      </c>
      <c r="H59" s="302">
        <f>ROUND(F59*G59,2)</f>
        <v/>
      </c>
    </row>
    <row r="60" ht="25.5" customHeight="1" s="248">
      <c r="A60" s="374" t="n">
        <v>46</v>
      </c>
      <c r="B60" s="346" t="n"/>
      <c r="C60" s="287" t="inlineStr">
        <is>
          <t>91.17.04-233</t>
        </is>
      </c>
      <c r="D60" s="288" t="inlineStr">
        <is>
          <t>Установки для сварки ручной дуговой (постоянного тока)</t>
        </is>
      </c>
      <c r="E60" s="374" t="inlineStr">
        <is>
          <t>маш.час</t>
        </is>
      </c>
      <c r="F60" s="374" t="n">
        <v>1311.44</v>
      </c>
      <c r="G60" s="290" t="n">
        <v>8.1</v>
      </c>
      <c r="H60" s="302">
        <f>ROUND(F60*G60,2)</f>
        <v/>
      </c>
    </row>
    <row r="61">
      <c r="A61" s="374" t="n">
        <v>47</v>
      </c>
      <c r="B61" s="346" t="n"/>
      <c r="C61" s="287" t="inlineStr">
        <is>
          <t>91.05.06-008</t>
        </is>
      </c>
      <c r="D61" s="288" t="inlineStr">
        <is>
          <t>Краны на гусеничном ходу, грузоподъемность 40 т</t>
        </is>
      </c>
      <c r="E61" s="374" t="inlineStr">
        <is>
          <t>маш.час</t>
        </is>
      </c>
      <c r="F61" s="374" t="n">
        <v>54.94</v>
      </c>
      <c r="G61" s="290" t="n">
        <v>175.56</v>
      </c>
      <c r="H61" s="302">
        <f>ROUND(F61*G61,2)</f>
        <v/>
      </c>
    </row>
    <row r="62" ht="25.5" customHeight="1" s="248">
      <c r="A62" s="374" t="n">
        <v>48</v>
      </c>
      <c r="B62" s="346" t="n"/>
      <c r="C62" s="287" t="inlineStr">
        <is>
          <t>91.21.22-021</t>
        </is>
      </c>
      <c r="D62" s="288" t="inlineStr">
        <is>
          <t>Агрегаты для нанесения составов методом торкретирования, 3,2 м3/ч</t>
        </is>
      </c>
      <c r="E62" s="374" t="inlineStr">
        <is>
          <t>маш.час</t>
        </is>
      </c>
      <c r="F62" s="374" t="n">
        <v>49.62</v>
      </c>
      <c r="G62" s="290" t="n">
        <v>155.8</v>
      </c>
      <c r="H62" s="302">
        <f>ROUND(F62*G62,2)</f>
        <v/>
      </c>
      <c r="J62" s="309" t="n"/>
      <c r="L62" s="307" t="n"/>
    </row>
    <row r="63" customFormat="1" s="299">
      <c r="A63" s="374" t="n">
        <v>49</v>
      </c>
      <c r="B63" s="346" t="n"/>
      <c r="C63" s="287" t="inlineStr">
        <is>
          <t>91.02.02-012</t>
        </is>
      </c>
      <c r="D63" s="288" t="inlineStr">
        <is>
          <t>Копры гусеничные для свай длиной до 20 м</t>
        </is>
      </c>
      <c r="E63" s="374" t="inlineStr">
        <is>
          <t>маш.час</t>
        </is>
      </c>
      <c r="F63" s="374" t="n">
        <v>21.32</v>
      </c>
      <c r="G63" s="290" t="n">
        <v>254.85</v>
      </c>
      <c r="H63" s="302">
        <f>ROUND(F63*G63,2)</f>
        <v/>
      </c>
      <c r="L63" s="307" t="n"/>
    </row>
    <row r="64">
      <c r="A64" s="374" t="n">
        <v>50</v>
      </c>
      <c r="B64" s="346" t="n"/>
      <c r="C64" s="287" t="inlineStr">
        <is>
          <t>91.05.06-010</t>
        </is>
      </c>
      <c r="D64" s="288" t="inlineStr">
        <is>
          <t>Краны на гусеничном ходу, грузоподъемность 100 т</t>
        </is>
      </c>
      <c r="E64" s="374" t="inlineStr">
        <is>
          <t>маш.час</t>
        </is>
      </c>
      <c r="F64" s="374" t="n">
        <v>8.9</v>
      </c>
      <c r="G64" s="290" t="n">
        <v>533.27</v>
      </c>
      <c r="H64" s="302">
        <f>ROUND(F64*G64,2)</f>
        <v/>
      </c>
      <c r="L64" s="307" t="n"/>
    </row>
    <row r="65" ht="25.5" customHeight="1" s="248">
      <c r="A65" s="374" t="n">
        <v>51</v>
      </c>
      <c r="B65" s="346" t="n"/>
      <c r="C65" s="287" t="inlineStr">
        <is>
          <t>91.06.06-048</t>
        </is>
      </c>
      <c r="D65" s="288" t="inlineStr">
        <is>
          <t>Подъемники одномачтовые, грузоподъемность до 500 кг, высота подъема 45 м</t>
        </is>
      </c>
      <c r="E65" s="374" t="inlineStr">
        <is>
          <t>маш.час</t>
        </is>
      </c>
      <c r="F65" s="374" t="n">
        <v>150.47</v>
      </c>
      <c r="G65" s="290" t="n">
        <v>31.26</v>
      </c>
      <c r="H65" s="302">
        <f>ROUND(F65*G65,2)</f>
        <v/>
      </c>
      <c r="L65" s="307" t="n"/>
    </row>
    <row r="66" ht="25.5" customHeight="1" s="248">
      <c r="A66" s="374" t="n">
        <v>52</v>
      </c>
      <c r="B66" s="346" t="n"/>
      <c r="C66" s="287" t="inlineStr">
        <is>
          <t>91.05.07-002</t>
        </is>
      </c>
      <c r="D66" s="288" t="inlineStr">
        <is>
          <t>Краны на железнодорожном ходу, грузоподъемность 16 т</t>
        </is>
      </c>
      <c r="E66" s="374" t="inlineStr">
        <is>
          <t>маш.час</t>
        </is>
      </c>
      <c r="F66" s="374" t="n">
        <v>24.52</v>
      </c>
      <c r="G66" s="290" t="n">
        <v>187.02</v>
      </c>
      <c r="H66" s="302">
        <f>ROUND(F66*G66,2)</f>
        <v/>
      </c>
      <c r="I66" s="307" t="n"/>
      <c r="L66" s="307" t="n"/>
    </row>
    <row r="67">
      <c r="A67" s="374" t="n">
        <v>53</v>
      </c>
      <c r="B67" s="346" t="n"/>
      <c r="C67" s="287" t="inlineStr">
        <is>
          <t>91.06.05-011</t>
        </is>
      </c>
      <c r="D67" s="288" t="inlineStr">
        <is>
          <t>Погрузчики, грузоподъемность 5 т</t>
        </is>
      </c>
      <c r="E67" s="374" t="inlineStr">
        <is>
          <t>маш.час</t>
        </is>
      </c>
      <c r="F67" s="374" t="n">
        <v>32.82</v>
      </c>
      <c r="G67" s="290" t="n">
        <v>89.98999999999999</v>
      </c>
      <c r="H67" s="302">
        <f>ROUND(F67*G67,2)</f>
        <v/>
      </c>
      <c r="I67" s="307" t="n"/>
      <c r="L67" s="307" t="n"/>
    </row>
    <row r="68">
      <c r="A68" s="374" t="n">
        <v>54</v>
      </c>
      <c r="B68" s="346" t="n"/>
      <c r="C68" s="287" t="inlineStr">
        <is>
          <t>91.06.09-001</t>
        </is>
      </c>
      <c r="D68" s="288" t="inlineStr">
        <is>
          <t>Вышки телескопические 25 м</t>
        </is>
      </c>
      <c r="E68" s="374" t="inlineStr">
        <is>
          <t>маш.час</t>
        </is>
      </c>
      <c r="F68" s="374" t="n">
        <v>18.91</v>
      </c>
      <c r="G68" s="290" t="n">
        <v>142.7</v>
      </c>
      <c r="H68" s="302">
        <f>ROUND(F68*G68,2)</f>
        <v/>
      </c>
      <c r="I68" s="307" t="n"/>
      <c r="L68" s="307" t="n"/>
    </row>
    <row r="69">
      <c r="A69" s="374" t="n">
        <v>55</v>
      </c>
      <c r="B69" s="346" t="n"/>
      <c r="C69" s="287" t="inlineStr">
        <is>
          <t>91.07.07-041</t>
        </is>
      </c>
      <c r="D69" s="288" t="inlineStr">
        <is>
          <t>Растворонасосы, производительность 1 м3/ч</t>
        </is>
      </c>
      <c r="E69" s="374" t="inlineStr">
        <is>
          <t>маш.час</t>
        </is>
      </c>
      <c r="F69" s="374" t="n">
        <v>157.18</v>
      </c>
      <c r="G69" s="290" t="n">
        <v>14.15</v>
      </c>
      <c r="H69" s="302">
        <f>ROUND(F69*G69,2)</f>
        <v/>
      </c>
      <c r="I69" s="307" t="n"/>
      <c r="L69" s="307" t="n"/>
    </row>
    <row r="70" ht="25.5" customHeight="1" s="248">
      <c r="A70" s="374" t="n">
        <v>56</v>
      </c>
      <c r="B70" s="346" t="n"/>
      <c r="C70" s="287" t="inlineStr">
        <is>
          <t>91.10.05-002</t>
        </is>
      </c>
      <c r="D70" s="288" t="inlineStr">
        <is>
          <t>Трубоукладчики для труб диаметром 1200 мм, грузоподъемность 50 т</t>
        </is>
      </c>
      <c r="E70" s="374" t="inlineStr">
        <is>
          <t>маш.час</t>
        </is>
      </c>
      <c r="F70" s="374" t="n">
        <v>2.82</v>
      </c>
      <c r="G70" s="290" t="n">
        <v>729.08</v>
      </c>
      <c r="H70" s="302">
        <f>ROUND(F70*G70,2)</f>
        <v/>
      </c>
      <c r="I70" s="307" t="n"/>
    </row>
    <row r="71">
      <c r="A71" s="374" t="n">
        <v>57</v>
      </c>
      <c r="B71" s="346" t="n"/>
      <c r="C71" s="287" t="inlineStr">
        <is>
          <t>91.02.03-025</t>
        </is>
      </c>
      <c r="D71" s="288" t="inlineStr">
        <is>
          <t>Дизель-молоты 3,5 т</t>
        </is>
      </c>
      <c r="E71" s="374" t="inlineStr">
        <is>
          <t>маш.час</t>
        </is>
      </c>
      <c r="F71" s="374" t="n">
        <v>21.32</v>
      </c>
      <c r="G71" s="290" t="n">
        <v>88.05</v>
      </c>
      <c r="H71" s="302">
        <f>ROUND(F71*G71,2)</f>
        <v/>
      </c>
    </row>
    <row r="72" ht="25.5" customHeight="1" s="248">
      <c r="A72" s="374" t="n">
        <v>58</v>
      </c>
      <c r="B72" s="346" t="n"/>
      <c r="C72" s="287" t="inlineStr">
        <is>
          <t>91.06.03-055</t>
        </is>
      </c>
      <c r="D72" s="288" t="inlineStr">
        <is>
          <t>Лебедки электрические тяговым усилием 19,62 кН (2 т)</t>
        </is>
      </c>
      <c r="E72" s="374" t="inlineStr">
        <is>
          <t>маш.час</t>
        </is>
      </c>
      <c r="F72" s="374" t="n">
        <v>254.36</v>
      </c>
      <c r="G72" s="290" t="n">
        <v>6.66</v>
      </c>
      <c r="H72" s="302">
        <f>ROUND(F72*G72,2)</f>
        <v/>
      </c>
    </row>
    <row r="73" ht="25.5" customHeight="1" s="248">
      <c r="A73" s="374" t="n">
        <v>59</v>
      </c>
      <c r="B73" s="346" t="n"/>
      <c r="C73" s="287" t="inlineStr">
        <is>
          <t>91.06.03-063</t>
        </is>
      </c>
      <c r="D73" s="288" t="inlineStr">
        <is>
          <t>Лебедки электрические тяговым усилием до 49,05 кН (5 т)</t>
        </is>
      </c>
      <c r="E73" s="374" t="inlineStr">
        <is>
          <t>маш.час</t>
        </is>
      </c>
      <c r="F73" s="374" t="n">
        <v>205.1</v>
      </c>
      <c r="G73" s="290" t="n">
        <v>8.199999999999999</v>
      </c>
      <c r="H73" s="302">
        <f>ROUND(F73*G73,2)</f>
        <v/>
      </c>
      <c r="J73" s="309" t="n"/>
      <c r="L73" s="307" t="n"/>
    </row>
    <row r="74" customFormat="1" s="299">
      <c r="A74" s="374" t="n">
        <v>60</v>
      </c>
      <c r="B74" s="346" t="n"/>
      <c r="C74" s="287" t="inlineStr">
        <is>
          <t>91.01.01-034</t>
        </is>
      </c>
      <c r="D74" s="288" t="inlineStr">
        <is>
          <t>Бульдозеры, мощность 59 кВт (80 л.с.)</t>
        </is>
      </c>
      <c r="E74" s="374" t="inlineStr">
        <is>
          <t>маш.час</t>
        </is>
      </c>
      <c r="F74" s="374" t="n">
        <v>26.44</v>
      </c>
      <c r="G74" s="290" t="n">
        <v>59.47</v>
      </c>
      <c r="H74" s="302">
        <f>ROUND(F74*G74,2)</f>
        <v/>
      </c>
      <c r="L74" s="307" t="n"/>
    </row>
    <row r="75">
      <c r="A75" s="374" t="n">
        <v>61</v>
      </c>
      <c r="B75" s="346" t="n"/>
      <c r="C75" s="287" t="inlineStr">
        <is>
          <t>91.14.04-001</t>
        </is>
      </c>
      <c r="D75" s="288" t="inlineStr">
        <is>
          <t>Тягачи седельные, грузоподъемность 12 т</t>
        </is>
      </c>
      <c r="E75" s="374" t="inlineStr">
        <is>
          <t>маш.час</t>
        </is>
      </c>
      <c r="F75" s="374" t="n">
        <v>14.11</v>
      </c>
      <c r="G75" s="290" t="n">
        <v>102.84</v>
      </c>
      <c r="H75" s="302">
        <f>ROUND(F75*G75,2)</f>
        <v/>
      </c>
      <c r="L75" s="307" t="n"/>
    </row>
    <row r="76" ht="25.5" customHeight="1" s="248">
      <c r="A76" s="374" t="n">
        <v>62</v>
      </c>
      <c r="B76" s="346" t="n"/>
      <c r="C76" s="287" t="inlineStr">
        <is>
          <t>91.21.01-012</t>
        </is>
      </c>
      <c r="D76" s="288" t="inlineStr">
        <is>
          <t>Агрегаты окрасочные высокого давления для окраски поверхностей конструкций, мощность 1 кВт</t>
        </is>
      </c>
      <c r="E76" s="374" t="inlineStr">
        <is>
          <t>маш.час</t>
        </is>
      </c>
      <c r="F76" s="374" t="n">
        <v>195.71</v>
      </c>
      <c r="G76" s="290" t="n">
        <v>6.82</v>
      </c>
      <c r="H76" s="302">
        <f>ROUND(F76*G76,2)</f>
        <v/>
      </c>
      <c r="L76" s="307" t="n"/>
    </row>
    <row r="77" ht="25.5" customHeight="1" s="248">
      <c r="A77" s="374" t="n">
        <v>63</v>
      </c>
      <c r="B77" s="346" t="n"/>
      <c r="C77" s="287" t="inlineStr">
        <is>
          <t>91.11.01-012</t>
        </is>
      </c>
      <c r="D77" s="288" t="inlineStr">
        <is>
          <t>Машины монтажные для выполнения работ при прокладке и монтаже кабеля на базе автомобиля</t>
        </is>
      </c>
      <c r="E77" s="374" t="inlineStr">
        <is>
          <t>маш.час</t>
        </is>
      </c>
      <c r="F77" s="374" t="n">
        <v>11.9</v>
      </c>
      <c r="G77" s="290" t="n">
        <v>110.86</v>
      </c>
      <c r="H77" s="302">
        <f>ROUND(F77*G77,2)</f>
        <v/>
      </c>
      <c r="I77" s="307" t="n"/>
      <c r="L77" s="307" t="n"/>
    </row>
    <row r="78">
      <c r="A78" s="374" t="n">
        <v>64</v>
      </c>
      <c r="B78" s="346" t="n"/>
      <c r="C78" s="287" t="inlineStr">
        <is>
          <t>91.17.04-042</t>
        </is>
      </c>
      <c r="D78" s="288" t="inlineStr">
        <is>
          <t>Аппараты для газовой сварки и резки</t>
        </is>
      </c>
      <c r="E78" s="374" t="inlineStr">
        <is>
          <t>маш.час</t>
        </is>
      </c>
      <c r="F78" s="374" t="n">
        <v>993.24</v>
      </c>
      <c r="G78" s="290" t="n">
        <v>1.2</v>
      </c>
      <c r="H78" s="302">
        <f>ROUND(F78*G78,2)</f>
        <v/>
      </c>
      <c r="I78" s="307" t="n"/>
      <c r="L78" s="307" t="n"/>
    </row>
    <row r="79" ht="25.5" customHeight="1" s="248">
      <c r="A79" s="374" t="n">
        <v>65</v>
      </c>
      <c r="B79" s="346" t="n"/>
      <c r="C79" s="287" t="inlineStr">
        <is>
          <t>91.01.05-086</t>
        </is>
      </c>
      <c r="D79" s="288" t="inlineStr">
        <is>
          <t>Экскаваторы одноковшовые дизельные на гусеничном ходу, емкость ковша 0,65 м3</t>
        </is>
      </c>
      <c r="E79" s="374" t="inlineStr">
        <is>
          <t>маш.час</t>
        </is>
      </c>
      <c r="F79" s="374" t="n">
        <v>10.27</v>
      </c>
      <c r="G79" s="290" t="n">
        <v>115.27</v>
      </c>
      <c r="H79" s="302">
        <f>ROUND(F79*G79,2)</f>
        <v/>
      </c>
      <c r="I79" s="307" t="n"/>
      <c r="L79" s="307" t="n"/>
    </row>
    <row r="80">
      <c r="A80" s="374" t="n">
        <v>66</v>
      </c>
      <c r="B80" s="346" t="n"/>
      <c r="C80" s="287" t="inlineStr">
        <is>
          <t>91.06.09-011</t>
        </is>
      </c>
      <c r="D80" s="288" t="inlineStr">
        <is>
          <t>Люльки</t>
        </is>
      </c>
      <c r="E80" s="374" t="inlineStr">
        <is>
          <t>маш.час</t>
        </is>
      </c>
      <c r="F80" s="374" t="n">
        <v>18.51</v>
      </c>
      <c r="G80" s="290" t="n">
        <v>53.87</v>
      </c>
      <c r="H80" s="302">
        <f>ROUND(F80*G80,2)</f>
        <v/>
      </c>
      <c r="J80" s="309" t="n"/>
      <c r="L80" s="307" t="n"/>
    </row>
    <row r="81" ht="25.5" customFormat="1" customHeight="1" s="299">
      <c r="A81" s="374" t="n">
        <v>67</v>
      </c>
      <c r="B81" s="346" t="n"/>
      <c r="C81" s="287" t="inlineStr">
        <is>
          <t>91.06.03-047</t>
        </is>
      </c>
      <c r="D81" s="288" t="inlineStr">
        <is>
          <t>Лебедки ручные и рычажные тяговым усилием 31,39 кН (3,2 т)</t>
        </is>
      </c>
      <c r="E81" s="374" t="inlineStr">
        <is>
          <t>маш.час</t>
        </is>
      </c>
      <c r="F81" s="374" t="n">
        <v>310.92</v>
      </c>
      <c r="G81" s="290" t="n">
        <v>3.12</v>
      </c>
      <c r="H81" s="302">
        <f>ROUND(F81*G81,2)</f>
        <v/>
      </c>
      <c r="L81" s="307" t="n"/>
    </row>
    <row r="82">
      <c r="A82" s="374" t="n">
        <v>68</v>
      </c>
      <c r="B82" s="346" t="n"/>
      <c r="C82" s="287" t="inlineStr">
        <is>
          <t>91.21.07-011</t>
        </is>
      </c>
      <c r="D82" s="288" t="inlineStr">
        <is>
          <t>Машины мозаично-шлифовальные</t>
        </is>
      </c>
      <c r="E82" s="374" t="inlineStr">
        <is>
          <t>маш.час</t>
        </is>
      </c>
      <c r="F82" s="374" t="n">
        <v>471.54</v>
      </c>
      <c r="G82" s="290" t="n">
        <v>1.5</v>
      </c>
      <c r="H82" s="302">
        <f>ROUND(F82*G82,2)</f>
        <v/>
      </c>
      <c r="L82" s="307" t="n"/>
    </row>
    <row r="83" ht="25.5" customHeight="1" s="248">
      <c r="A83" s="374" t="n">
        <v>69</v>
      </c>
      <c r="B83" s="346" t="n"/>
      <c r="C83" s="287" t="inlineStr">
        <is>
          <t>91.18.01-508</t>
        </is>
      </c>
      <c r="D83" s="288" t="inlineStr">
        <is>
          <t>Компрессоры передвижные с электродвигателем, производительность до 5,0 м3/мин</t>
        </is>
      </c>
      <c r="E83" s="374" t="inlineStr">
        <is>
          <t>маш.час</t>
        </is>
      </c>
      <c r="F83" s="374" t="n">
        <v>13.96</v>
      </c>
      <c r="G83" s="290" t="n">
        <v>48.81</v>
      </c>
      <c r="H83" s="302">
        <f>ROUND(F83*G83,2)</f>
        <v/>
      </c>
      <c r="I83" s="307" t="n"/>
      <c r="L83" s="307" t="n"/>
    </row>
    <row r="84">
      <c r="A84" s="374" t="n">
        <v>70</v>
      </c>
      <c r="B84" s="346" t="n"/>
      <c r="C84" s="287" t="inlineStr">
        <is>
          <t>91.08.04-021</t>
        </is>
      </c>
      <c r="D84" s="288" t="inlineStr">
        <is>
          <t>Котлы битумные передвижные 400 л</t>
        </is>
      </c>
      <c r="E84" s="374" t="inlineStr">
        <is>
          <t>маш.час</t>
        </is>
      </c>
      <c r="F84" s="374" t="n">
        <v>20.95</v>
      </c>
      <c r="G84" s="290" t="n">
        <v>30</v>
      </c>
      <c r="H84" s="302">
        <f>ROUND(F84*G84,2)</f>
        <v/>
      </c>
      <c r="I84" s="307" t="n"/>
      <c r="L84" s="307" t="n"/>
    </row>
    <row r="85" ht="25.5" customHeight="1" s="248">
      <c r="A85" s="374" t="n">
        <v>71</v>
      </c>
      <c r="B85" s="346" t="n"/>
      <c r="C85" s="287" t="inlineStr">
        <is>
          <t>91.05.04-005</t>
        </is>
      </c>
      <c r="D85" s="288" t="inlineStr">
        <is>
          <t>Краны мостовые электрические, грузоподъемность 5 т</t>
        </is>
      </c>
      <c r="E85" s="374" t="inlineStr">
        <is>
          <t>маш.час</t>
        </is>
      </c>
      <c r="F85" s="374" t="n">
        <v>14.19</v>
      </c>
      <c r="G85" s="290" t="n">
        <v>42.32</v>
      </c>
      <c r="H85" s="302">
        <f>ROUND(F85*G85,2)</f>
        <v/>
      </c>
      <c r="I85" s="307" t="n"/>
      <c r="L85" s="307" t="n"/>
    </row>
    <row r="86" ht="25.5" customHeight="1" s="248">
      <c r="A86" s="374" t="n">
        <v>72</v>
      </c>
      <c r="B86" s="346" t="n"/>
      <c r="C86" s="287" t="inlineStr">
        <is>
          <t>91.05.08-007</t>
        </is>
      </c>
      <c r="D86" s="288" t="inlineStr">
        <is>
          <t>Краны на пневмоколесном ходу, грузоподъемность 25 т</t>
        </is>
      </c>
      <c r="E86" s="374" t="inlineStr">
        <is>
          <t>маш.час</t>
        </is>
      </c>
      <c r="F86" s="374" t="n">
        <v>4.47</v>
      </c>
      <c r="G86" s="290" t="n">
        <v>102.51</v>
      </c>
      <c r="H86" s="302">
        <f>ROUND(F86*G86,2)</f>
        <v/>
      </c>
      <c r="I86" s="307" t="n"/>
      <c r="L86" s="307" t="n"/>
    </row>
    <row r="87" ht="25.5" customHeight="1" s="248">
      <c r="A87" s="374" t="n">
        <v>73</v>
      </c>
      <c r="B87" s="346" t="n"/>
      <c r="C87" s="287" t="inlineStr">
        <is>
          <t>91.21.10-003</t>
        </is>
      </c>
      <c r="D87" s="288" t="inlineStr">
        <is>
          <t>Молотки при работе от передвижных компрессорных станций отбойные пневматические</t>
        </is>
      </c>
      <c r="E87" s="374" t="inlineStr">
        <is>
          <t>маш.час</t>
        </is>
      </c>
      <c r="F87" s="374" t="n">
        <v>266.87</v>
      </c>
      <c r="G87" s="290" t="n">
        <v>1.53</v>
      </c>
      <c r="H87" s="302">
        <f>ROUND(F87*G87,2)</f>
        <v/>
      </c>
      <c r="I87" s="307" t="n"/>
    </row>
    <row r="88">
      <c r="A88" s="374" t="n">
        <v>74</v>
      </c>
      <c r="B88" s="346" t="n"/>
      <c r="C88" s="287" t="inlineStr">
        <is>
          <t>91.09.03-035</t>
        </is>
      </c>
      <c r="D88" s="288" t="inlineStr">
        <is>
          <t>Платформы широкой колеи 71 т</t>
        </is>
      </c>
      <c r="E88" s="374" t="inlineStr">
        <is>
          <t>маш.час</t>
        </is>
      </c>
      <c r="F88" s="374" t="n">
        <v>24.52</v>
      </c>
      <c r="G88" s="290" t="n">
        <v>16.64</v>
      </c>
      <c r="H88" s="302">
        <f>ROUND(F88*G88,2)</f>
        <v/>
      </c>
    </row>
    <row r="89">
      <c r="A89" s="374" t="n">
        <v>75</v>
      </c>
      <c r="B89" s="346" t="n"/>
      <c r="C89" s="287" t="inlineStr">
        <is>
          <t>91.06.06-042</t>
        </is>
      </c>
      <c r="D89" s="288" t="inlineStr">
        <is>
          <t>Подъемники гидравлические, высота подъема 10 м</t>
        </is>
      </c>
      <c r="E89" s="374" t="inlineStr">
        <is>
          <t>маш.час</t>
        </is>
      </c>
      <c r="F89" s="374" t="n">
        <v>11.51</v>
      </c>
      <c r="G89" s="290" t="n">
        <v>29.6</v>
      </c>
      <c r="H89" s="302">
        <f>ROUND(F89*G89,2)</f>
        <v/>
      </c>
    </row>
    <row r="90" ht="25.5" customHeight="1" s="248">
      <c r="A90" s="374" t="n">
        <v>76</v>
      </c>
      <c r="B90" s="346" t="n"/>
      <c r="C90" s="287" t="inlineStr">
        <is>
          <t>91.06.06-047</t>
        </is>
      </c>
      <c r="D90" s="288" t="inlineStr">
        <is>
          <t>Подъемники одномачтовые, грузоподъемность до 500 кг, высота подъема 35 м</t>
        </is>
      </c>
      <c r="E90" s="374" t="inlineStr">
        <is>
          <t>маш.час</t>
        </is>
      </c>
      <c r="F90" s="374" t="n">
        <v>11.14</v>
      </c>
      <c r="G90" s="290" t="n">
        <v>29.46</v>
      </c>
      <c r="H90" s="302">
        <f>ROUND(F90*G90,2)</f>
        <v/>
      </c>
      <c r="J90" s="309" t="n"/>
      <c r="L90" s="307" t="n"/>
    </row>
    <row r="91" ht="25.5" customFormat="1" customHeight="1" s="299">
      <c r="A91" s="374" t="n">
        <v>77</v>
      </c>
      <c r="B91" s="346" t="n"/>
      <c r="C91" s="287" t="inlineStr">
        <is>
          <t>91.21.22-441</t>
        </is>
      </c>
      <c r="D91" s="288" t="inlineStr">
        <is>
          <t>Установки для заготовки защитных покрытий тепловой изоляции</t>
        </is>
      </c>
      <c r="E91" s="374" t="inlineStr">
        <is>
          <t>маш.час</t>
        </is>
      </c>
      <c r="F91" s="374" t="n">
        <v>4.93</v>
      </c>
      <c r="G91" s="290" t="n">
        <v>65.25</v>
      </c>
      <c r="H91" s="302">
        <f>ROUND(F91*G91,2)</f>
        <v/>
      </c>
      <c r="L91" s="307" t="n"/>
    </row>
    <row r="92">
      <c r="A92" s="374" t="n">
        <v>78</v>
      </c>
      <c r="B92" s="346" t="n"/>
      <c r="C92" s="287" t="inlineStr">
        <is>
          <t>91.01.01-035</t>
        </is>
      </c>
      <c r="D92" s="288" t="inlineStr">
        <is>
          <t>Бульдозеры, мощность 79 кВт (108 л.с.)</t>
        </is>
      </c>
      <c r="E92" s="374" t="inlineStr">
        <is>
          <t>маш.час</t>
        </is>
      </c>
      <c r="F92" s="374" t="n">
        <v>3.42</v>
      </c>
      <c r="G92" s="290" t="n">
        <v>79.06999999999999</v>
      </c>
      <c r="H92" s="302">
        <f>ROUND(F92*G92,2)</f>
        <v/>
      </c>
      <c r="L92" s="307" t="n"/>
    </row>
    <row r="93" ht="25.5" customHeight="1" s="248">
      <c r="A93" s="374" t="n">
        <v>79</v>
      </c>
      <c r="B93" s="346" t="n"/>
      <c r="C93" s="287" t="inlineStr">
        <is>
          <t>91.08.09-023</t>
        </is>
      </c>
      <c r="D93" s="288" t="inlineStr">
        <is>
          <t>Трамбовки пневматические при работе от передвижных компрессорных станций</t>
        </is>
      </c>
      <c r="E93" s="374" t="inlineStr">
        <is>
          <t>маш.час</t>
        </is>
      </c>
      <c r="F93" s="374" t="n">
        <v>462.3</v>
      </c>
      <c r="G93" s="290" t="n">
        <v>0.55</v>
      </c>
      <c r="H93" s="302">
        <f>ROUND(F93*G93,2)</f>
        <v/>
      </c>
      <c r="L93" s="307" t="n"/>
    </row>
    <row r="94" ht="25.5" customHeight="1" s="248">
      <c r="A94" s="374" t="n">
        <v>80</v>
      </c>
      <c r="B94" s="346" t="n"/>
      <c r="C94" s="287" t="inlineStr">
        <is>
          <t>91.01.05-085</t>
        </is>
      </c>
      <c r="D94" s="288" t="inlineStr">
        <is>
          <t>Экскаваторы одноковшовые дизельные на гусеничном ходу, емкость ковша 0,5 м3</t>
        </is>
      </c>
      <c r="E94" s="374" t="inlineStr">
        <is>
          <t>маш.час</t>
        </is>
      </c>
      <c r="F94" s="374" t="n">
        <v>2.43</v>
      </c>
      <c r="G94" s="290" t="n">
        <v>100</v>
      </c>
      <c r="H94" s="302">
        <f>ROUND(F94*G94,2)</f>
        <v/>
      </c>
      <c r="I94" s="307" t="n"/>
      <c r="L94" s="307" t="n"/>
    </row>
    <row r="95">
      <c r="A95" s="374" t="n">
        <v>81</v>
      </c>
      <c r="B95" s="346" t="n"/>
      <c r="C95" s="287" t="inlineStr">
        <is>
          <t>91.07.04-002</t>
        </is>
      </c>
      <c r="D95" s="288" t="inlineStr">
        <is>
          <t>Вибраторы поверхностные</t>
        </is>
      </c>
      <c r="E95" s="374" t="inlineStr">
        <is>
          <t>маш.час</t>
        </is>
      </c>
      <c r="F95" s="374" t="n">
        <v>477.84</v>
      </c>
      <c r="G95" s="290" t="n">
        <v>0.5</v>
      </c>
      <c r="H95" s="302">
        <f>ROUND(F95*G95,2)</f>
        <v/>
      </c>
      <c r="I95" s="307" t="n"/>
      <c r="L95" s="307" t="n"/>
    </row>
    <row r="96">
      <c r="A96" s="374" t="n">
        <v>82</v>
      </c>
      <c r="B96" s="346" t="n"/>
      <c r="C96" s="287" t="inlineStr">
        <is>
          <t>91.07.04-001</t>
        </is>
      </c>
      <c r="D96" s="288" t="inlineStr">
        <is>
          <t>Вибраторы глубинные</t>
        </is>
      </c>
      <c r="E96" s="374" t="inlineStr">
        <is>
          <t>маш.час</t>
        </is>
      </c>
      <c r="F96" s="374" t="n">
        <v>118.45</v>
      </c>
      <c r="G96" s="290" t="n">
        <v>1.9</v>
      </c>
      <c r="H96" s="302">
        <f>ROUND(F96*G96,2)</f>
        <v/>
      </c>
      <c r="I96" s="307" t="n"/>
      <c r="L96" s="307" t="n"/>
    </row>
    <row r="97" ht="25.5" customHeight="1" s="248">
      <c r="A97" s="374" t="n">
        <v>83</v>
      </c>
      <c r="B97" s="346" t="n"/>
      <c r="C97" s="287" t="inlineStr">
        <is>
          <t>91.14.05-011</t>
        </is>
      </c>
      <c r="D97" s="288" t="inlineStr">
        <is>
          <t>Полуприцепы общего назначения, грузоподъемность 12 т</t>
        </is>
      </c>
      <c r="E97" s="374" t="inlineStr">
        <is>
          <t>маш.час</t>
        </is>
      </c>
      <c r="F97" s="374" t="n">
        <v>14.11</v>
      </c>
      <c r="G97" s="290" t="n">
        <v>12</v>
      </c>
      <c r="H97" s="302">
        <f>ROUND(F97*G97,2)</f>
        <v/>
      </c>
      <c r="J97" s="309" t="n"/>
      <c r="L97" s="307" t="n"/>
    </row>
    <row r="98" customFormat="1" s="299">
      <c r="A98" s="374" t="n">
        <v>84</v>
      </c>
      <c r="B98" s="346" t="n"/>
      <c r="C98" s="287" t="inlineStr">
        <is>
          <t>91.17.04-031</t>
        </is>
      </c>
      <c r="D98" s="288" t="inlineStr">
        <is>
          <t>Агрегаты для сварки полиэтиленовых труб</t>
        </is>
      </c>
      <c r="E98" s="374" t="inlineStr">
        <is>
          <t>маш.час</t>
        </is>
      </c>
      <c r="F98" s="374" t="n">
        <v>1.12</v>
      </c>
      <c r="G98" s="290" t="n">
        <v>100.1</v>
      </c>
      <c r="H98" s="302">
        <f>ROUND(F98*G98,2)</f>
        <v/>
      </c>
      <c r="L98" s="307" t="n"/>
    </row>
    <row r="99" ht="38.25" customHeight="1" s="248">
      <c r="A99" s="374" t="n">
        <v>85</v>
      </c>
      <c r="B99" s="346" t="n"/>
      <c r="C99" s="287" t="inlineStr">
        <is>
          <t>91.10.09-011</t>
        </is>
      </c>
      <c r="D99" s="288" t="inlineStr">
        <is>
          <t>Установки для гидравлических испытаний трубопроводов, давление нагнетания низкое 0,1 МПа (1 кгс/см2), высокое 10 МПа (100 кгс/см2)</t>
        </is>
      </c>
      <c r="E99" s="374" t="inlineStr">
        <is>
          <t>маш.час</t>
        </is>
      </c>
      <c r="F99" s="374" t="n">
        <v>3.17</v>
      </c>
      <c r="G99" s="290" t="n">
        <v>29.67</v>
      </c>
      <c r="H99" s="302">
        <f>ROUND(F99*G99,2)</f>
        <v/>
      </c>
      <c r="L99" s="307" t="n"/>
    </row>
    <row r="100" ht="25.5" customHeight="1" s="248">
      <c r="A100" s="374" t="n">
        <v>86</v>
      </c>
      <c r="B100" s="346" t="n"/>
      <c r="C100" s="287" t="inlineStr">
        <is>
          <t>91.15.03-004</t>
        </is>
      </c>
      <c r="D100" s="288" t="inlineStr">
        <is>
          <t>Тракторы на пневмоколесном ходу, мощность 108 кВт (145 л.с.)</t>
        </is>
      </c>
      <c r="E100" s="374" t="inlineStr">
        <is>
          <t>маш.час</t>
        </is>
      </c>
      <c r="F100" s="374" t="n">
        <v>0.46</v>
      </c>
      <c r="G100" s="290" t="n">
        <v>157.9</v>
      </c>
      <c r="H100" s="302">
        <f>ROUND(F100*G100,2)</f>
        <v/>
      </c>
      <c r="I100" s="307" t="n"/>
      <c r="L100" s="307" t="n"/>
    </row>
    <row r="101">
      <c r="A101" s="374" t="n">
        <v>87</v>
      </c>
      <c r="B101" s="346" t="n"/>
      <c r="C101" s="287" t="inlineStr">
        <is>
          <t>91.06.09-061</t>
        </is>
      </c>
      <c r="D101" s="288" t="inlineStr">
        <is>
          <t>Подмости самоходные, высота подъема 12 м</t>
        </is>
      </c>
      <c r="E101" s="374" t="inlineStr">
        <is>
          <t>маш.час</t>
        </is>
      </c>
      <c r="F101" s="374" t="n">
        <v>1.96</v>
      </c>
      <c r="G101" s="290" t="n">
        <v>35.3</v>
      </c>
      <c r="H101" s="302">
        <f>ROUND(F101*G101,2)</f>
        <v/>
      </c>
      <c r="I101" s="307" t="n"/>
      <c r="L101" s="307" t="n"/>
    </row>
    <row r="102" ht="25.5" customHeight="1" s="248">
      <c r="A102" s="374" t="n">
        <v>88</v>
      </c>
      <c r="B102" s="346" t="n"/>
      <c r="C102" s="287" t="inlineStr">
        <is>
          <t>91.06.01-003</t>
        </is>
      </c>
      <c r="D102" s="288" t="inlineStr">
        <is>
          <t>Домкраты гидравлические, грузоподъемность 63-100 т</t>
        </is>
      </c>
      <c r="E102" s="374" t="inlineStr">
        <is>
          <t>маш.час</t>
        </is>
      </c>
      <c r="F102" s="374" t="n">
        <v>76.48</v>
      </c>
      <c r="G102" s="290" t="n">
        <v>0.9</v>
      </c>
      <c r="H102" s="302">
        <f>ROUND(F102*G102,2)</f>
        <v/>
      </c>
      <c r="I102" s="307" t="n"/>
      <c r="L102" s="307" t="n"/>
    </row>
    <row r="103" ht="25.5" customHeight="1" s="248">
      <c r="A103" s="374" t="n">
        <v>89</v>
      </c>
      <c r="B103" s="346" t="n"/>
      <c r="C103" s="287" t="inlineStr">
        <is>
          <t>91.17.04-036</t>
        </is>
      </c>
      <c r="D103" s="288" t="inlineStr">
        <is>
          <t>Агрегаты сварочные передвижные с дизельным двигателем, номинальный сварочный ток 250-400 А</t>
        </is>
      </c>
      <c r="E103" s="374" t="inlineStr">
        <is>
          <t>маш.час</t>
        </is>
      </c>
      <c r="F103" s="374" t="n">
        <v>4.29</v>
      </c>
      <c r="G103" s="290" t="n">
        <v>14</v>
      </c>
      <c r="H103" s="302">
        <f>ROUND(F103*G103,2)</f>
        <v/>
      </c>
      <c r="I103" s="307" t="n"/>
    </row>
    <row r="104" ht="25.5" customHeight="1" s="248">
      <c r="A104" s="374" t="n">
        <v>90</v>
      </c>
      <c r="B104" s="346" t="n"/>
      <c r="C104" s="287" t="inlineStr">
        <is>
          <t>91.07.08-024</t>
        </is>
      </c>
      <c r="D104" s="288" t="inlineStr">
        <is>
          <t>Растворосмесители передвижные, объем барабана 65 л</t>
        </is>
      </c>
      <c r="E104" s="374" t="inlineStr">
        <is>
          <t>маш.час</t>
        </is>
      </c>
      <c r="F104" s="374" t="n">
        <v>3.45</v>
      </c>
      <c r="G104" s="290" t="n">
        <v>12.39</v>
      </c>
      <c r="H104" s="302">
        <f>ROUND(F104*G104,2)</f>
        <v/>
      </c>
    </row>
    <row r="105">
      <c r="A105" s="374" t="n">
        <v>91</v>
      </c>
      <c r="B105" s="346" t="n"/>
      <c r="C105" s="287" t="inlineStr">
        <is>
          <t>91.21.12-004</t>
        </is>
      </c>
      <c r="D105" s="288" t="inlineStr">
        <is>
          <t>Ножницы электрические</t>
        </is>
      </c>
      <c r="E105" s="374" t="inlineStr">
        <is>
          <t>маш.час</t>
        </is>
      </c>
      <c r="F105" s="374" t="n">
        <v>1.13</v>
      </c>
      <c r="G105" s="290" t="n">
        <v>33.59</v>
      </c>
      <c r="H105" s="302">
        <f>ROUND(F105*G105,2)</f>
        <v/>
      </c>
    </row>
    <row r="106">
      <c r="A106" s="374" t="n">
        <v>92</v>
      </c>
      <c r="B106" s="346" t="n"/>
      <c r="C106" s="287" t="inlineStr">
        <is>
          <t>91.05.01-016</t>
        </is>
      </c>
      <c r="D106" s="288" t="inlineStr">
        <is>
          <t>Краны башенные, грузоподъемность 5 т</t>
        </is>
      </c>
      <c r="E106" s="374" t="inlineStr">
        <is>
          <t>маш.час</t>
        </is>
      </c>
      <c r="F106" s="374" t="n">
        <v>0.33</v>
      </c>
      <c r="G106" s="290" t="n">
        <v>83.43000000000001</v>
      </c>
      <c r="H106" s="302">
        <f>ROUND(F106*G106,2)</f>
        <v/>
      </c>
      <c r="J106" s="309" t="n"/>
      <c r="L106" s="307" t="n"/>
    </row>
    <row r="107" ht="25.5" customFormat="1" customHeight="1" s="299">
      <c r="A107" s="374" t="n">
        <v>93</v>
      </c>
      <c r="B107" s="346" t="n"/>
      <c r="C107" s="287" t="inlineStr">
        <is>
          <t>91.06.03-060</t>
        </is>
      </c>
      <c r="D107" s="288" t="inlineStr">
        <is>
          <t>Лебедки электрические тяговым усилием до 5,79 кН (0,59 т)</t>
        </is>
      </c>
      <c r="E107" s="374" t="inlineStr">
        <is>
          <t>маш.час</t>
        </is>
      </c>
      <c r="F107" s="374" t="n">
        <v>15.81</v>
      </c>
      <c r="G107" s="290" t="n">
        <v>1.7</v>
      </c>
      <c r="H107" s="302">
        <f>ROUND(F107*G107,2)</f>
        <v/>
      </c>
      <c r="L107" s="307" t="n"/>
    </row>
    <row r="108">
      <c r="A108" s="374" t="n">
        <v>94</v>
      </c>
      <c r="B108" s="346" t="n"/>
      <c r="C108" s="287" t="inlineStr">
        <is>
          <t>91.21.22-638</t>
        </is>
      </c>
      <c r="D108" s="288" t="inlineStr">
        <is>
          <t>Пылесосы промышленные, мощность до 2000 Вт</t>
        </is>
      </c>
      <c r="E108" s="374" t="inlineStr">
        <is>
          <t>маш.час</t>
        </is>
      </c>
      <c r="F108" s="374" t="n">
        <v>5.64</v>
      </c>
      <c r="G108" s="290" t="n">
        <v>3.29</v>
      </c>
      <c r="H108" s="302">
        <f>ROUND(F108*G108,2)</f>
        <v/>
      </c>
      <c r="L108" s="307" t="n"/>
    </row>
    <row r="109" ht="25.5" customHeight="1" s="248">
      <c r="A109" s="374" t="n">
        <v>95</v>
      </c>
      <c r="B109" s="346" t="n"/>
      <c r="C109" s="287" t="inlineStr">
        <is>
          <t>91.01.05-084</t>
        </is>
      </c>
      <c r="D109" s="288" t="inlineStr">
        <is>
          <t>Экскаваторы одноковшовые дизельные на гусеничном ходу, емкость ковша 0,4 м3</t>
        </is>
      </c>
      <c r="E109" s="374" t="inlineStr">
        <is>
          <t>маш.час</t>
        </is>
      </c>
      <c r="F109" s="374" t="n">
        <v>0.25</v>
      </c>
      <c r="G109" s="290" t="n">
        <v>54.81</v>
      </c>
      <c r="H109" s="302">
        <f>ROUND(F109*G109,2)</f>
        <v/>
      </c>
      <c r="L109" s="307" t="n"/>
    </row>
    <row r="110" ht="25.5" customHeight="1" s="248">
      <c r="A110" s="374" t="n">
        <v>96</v>
      </c>
      <c r="B110" s="346" t="n"/>
      <c r="C110" s="287" t="inlineStr">
        <is>
          <t>91.06.03-062</t>
        </is>
      </c>
      <c r="D110" s="288" t="inlineStr">
        <is>
          <t>Лебедки электрические тяговым усилием до 31,39 кН (3,2 т)</t>
        </is>
      </c>
      <c r="E110" s="374" t="inlineStr">
        <is>
          <t>маш.час</t>
        </is>
      </c>
      <c r="F110" s="374" t="n">
        <v>1.97</v>
      </c>
      <c r="G110" s="290" t="n">
        <v>6.9</v>
      </c>
      <c r="H110" s="302">
        <f>ROUND(F110*G110,2)</f>
        <v/>
      </c>
      <c r="I110" s="307" t="n"/>
      <c r="L110" s="307" t="n"/>
    </row>
    <row r="111" ht="25.5" customHeight="1" s="248">
      <c r="A111" s="374" t="n">
        <v>97</v>
      </c>
      <c r="B111" s="346" t="n"/>
      <c r="C111" s="287" t="inlineStr">
        <is>
          <t>91.04.01-041</t>
        </is>
      </c>
      <c r="D111" s="288" t="inlineStr">
        <is>
          <t>Молотки бурильные легкие при работе от передвижных компрессорных станций</t>
        </is>
      </c>
      <c r="E111" s="374" t="inlineStr">
        <is>
          <t>маш.час</t>
        </is>
      </c>
      <c r="F111" s="374" t="n">
        <v>3.62</v>
      </c>
      <c r="G111" s="290" t="n">
        <v>2.99</v>
      </c>
      <c r="H111" s="302">
        <f>ROUND(F111*G111,2)</f>
        <v/>
      </c>
      <c r="I111" s="307" t="n"/>
      <c r="L111" s="307" t="n"/>
    </row>
    <row r="112" ht="25.5" customHeight="1" s="248">
      <c r="A112" s="374" t="n">
        <v>98</v>
      </c>
      <c r="B112" s="346" t="n"/>
      <c r="C112" s="287" t="inlineStr">
        <is>
          <t>91.10.05-005</t>
        </is>
      </c>
      <c r="D112" s="288" t="inlineStr">
        <is>
          <t>Трубоукладчики для труб диаметром до 700 мм, грузоподъемность 12,5 т</t>
        </is>
      </c>
      <c r="E112" s="374" t="inlineStr">
        <is>
          <t>маш.час</t>
        </is>
      </c>
      <c r="F112" s="374" t="n">
        <v>0.06</v>
      </c>
      <c r="G112" s="290" t="n">
        <v>152.5</v>
      </c>
      <c r="H112" s="302">
        <f>ROUND(F112*G112,2)</f>
        <v/>
      </c>
      <c r="I112" s="307" t="n"/>
      <c r="L112" s="307" t="n"/>
    </row>
    <row r="113">
      <c r="A113" s="374" t="n">
        <v>99</v>
      </c>
      <c r="B113" s="346" t="n"/>
      <c r="C113" s="287" t="inlineStr">
        <is>
          <t>91.21.16-012</t>
        </is>
      </c>
      <c r="D113" s="288" t="inlineStr">
        <is>
          <t>Прессы гидравлические с электроприводом</t>
        </is>
      </c>
      <c r="E113" s="374" t="inlineStr">
        <is>
          <t>маш.час</t>
        </is>
      </c>
      <c r="F113" s="374" t="n">
        <v>6.69</v>
      </c>
      <c r="G113" s="290" t="n">
        <v>1.11</v>
      </c>
      <c r="H113" s="302">
        <f>ROUND(F113*G113,2)</f>
        <v/>
      </c>
      <c r="J113" s="309" t="n"/>
      <c r="L113" s="307" t="n"/>
    </row>
    <row r="114" ht="25.5" customFormat="1" customHeight="1" s="299">
      <c r="A114" s="374" t="n">
        <v>100</v>
      </c>
      <c r="B114" s="346" t="n"/>
      <c r="C114" s="287" t="inlineStr">
        <is>
          <t>91.17.04-001</t>
        </is>
      </c>
      <c r="D114" s="288" t="inlineStr">
        <is>
          <t>Автоматы сварочные для полимерных покрытий, мощность 4,6 кВт</t>
        </is>
      </c>
      <c r="E114" s="374" t="inlineStr">
        <is>
          <t>маш.час</t>
        </is>
      </c>
      <c r="F114" s="374" t="n">
        <v>5.37</v>
      </c>
      <c r="G114" s="290" t="n">
        <v>1.26</v>
      </c>
      <c r="H114" s="302">
        <f>ROUND(F114*G114,2)</f>
        <v/>
      </c>
      <c r="L114" s="307" t="n"/>
    </row>
    <row r="115" ht="25.5" customHeight="1" s="248">
      <c r="A115" s="374" t="n">
        <v>101</v>
      </c>
      <c r="B115" s="346" t="n"/>
      <c r="C115" s="287" t="inlineStr">
        <is>
          <t>91.06.03-061</t>
        </is>
      </c>
      <c r="D115" s="288" t="inlineStr">
        <is>
          <t>Лебедки электрические тяговым усилием до 12,26 кН (1,25 т)</t>
        </is>
      </c>
      <c r="E115" s="374" t="inlineStr">
        <is>
          <t>маш.час</t>
        </is>
      </c>
      <c r="F115" s="374" t="n">
        <v>1.76</v>
      </c>
      <c r="G115" s="290" t="n">
        <v>3.28</v>
      </c>
      <c r="H115" s="302">
        <f>ROUND(F115*G115,2)</f>
        <v/>
      </c>
      <c r="L115" s="307" t="n"/>
    </row>
    <row r="116" ht="25.5" customHeight="1" s="248">
      <c r="A116" s="374" t="n">
        <v>102</v>
      </c>
      <c r="B116" s="346" t="n"/>
      <c r="C116" s="287" t="inlineStr">
        <is>
          <t>91.21.22-443</t>
        </is>
      </c>
      <c r="D116" s="288" t="inlineStr">
        <is>
          <t>Установки для изготовления бандажей, диафрагм, пряжек</t>
        </is>
      </c>
      <c r="E116" s="374" t="inlineStr">
        <is>
          <t>маш.час</t>
        </is>
      </c>
      <c r="F116" s="374" t="n">
        <v>2.52</v>
      </c>
      <c r="G116" s="290" t="n">
        <v>2.16</v>
      </c>
      <c r="H116" s="302">
        <f>ROUND(F116*G116,2)</f>
        <v/>
      </c>
      <c r="L116" s="307" t="n"/>
    </row>
    <row r="117">
      <c r="A117" s="374" t="n">
        <v>103</v>
      </c>
      <c r="B117" s="346" t="n"/>
      <c r="C117" s="287" t="inlineStr">
        <is>
          <t>91.09.12-102</t>
        </is>
      </c>
      <c r="D117" s="288" t="inlineStr">
        <is>
          <t>Станки рельсосверлильные</t>
        </is>
      </c>
      <c r="E117" s="374" t="inlineStr">
        <is>
          <t>маш.час</t>
        </is>
      </c>
      <c r="F117" s="374" t="n">
        <v>0.92</v>
      </c>
      <c r="G117" s="290" t="n">
        <v>3</v>
      </c>
      <c r="H117" s="302">
        <f>ROUND(F117*G117,2)</f>
        <v/>
      </c>
      <c r="I117" s="307" t="n"/>
      <c r="L117" s="307" t="n"/>
    </row>
    <row r="118">
      <c r="A118" s="374" t="n">
        <v>104</v>
      </c>
      <c r="B118" s="346" t="n"/>
      <c r="C118" s="287" t="inlineStr">
        <is>
          <t>91.21.19-031</t>
        </is>
      </c>
      <c r="D118" s="288" t="inlineStr">
        <is>
          <t>Станки сверлильные</t>
        </is>
      </c>
      <c r="E118" s="374" t="inlineStr">
        <is>
          <t>маш.час</t>
        </is>
      </c>
      <c r="F118" s="374" t="n">
        <v>1.07</v>
      </c>
      <c r="G118" s="290" t="n">
        <v>2.36</v>
      </c>
      <c r="H118" s="302">
        <f>ROUND(F118*G118,2)</f>
        <v/>
      </c>
      <c r="I118" s="307" t="n"/>
      <c r="L118" s="307" t="n"/>
    </row>
    <row r="119">
      <c r="A119" s="374" t="n">
        <v>105</v>
      </c>
      <c r="B119" s="346" t="n"/>
      <c r="C119" s="287" t="inlineStr">
        <is>
          <t>91.09.12-101</t>
        </is>
      </c>
      <c r="D119" s="288" t="inlineStr">
        <is>
          <t>Станки рельсорезные</t>
        </is>
      </c>
      <c r="E119" s="374" t="inlineStr">
        <is>
          <t>маш.час</t>
        </is>
      </c>
      <c r="F119" s="374" t="n">
        <v>0.09</v>
      </c>
      <c r="G119" s="290" t="n">
        <v>20</v>
      </c>
      <c r="H119" s="302">
        <f>ROUND(F119*G119,2)</f>
        <v/>
      </c>
      <c r="I119" s="307" t="n"/>
      <c r="L119" s="307" t="n"/>
    </row>
    <row r="120">
      <c r="A120" s="374" t="n">
        <v>106</v>
      </c>
      <c r="B120" s="346" t="n"/>
      <c r="C120" s="287" t="inlineStr">
        <is>
          <t>91.03.19-092</t>
        </is>
      </c>
      <c r="D120" s="288" t="inlineStr">
        <is>
          <t>Сболчиватели пневматические (без сжатого воздуха)</t>
        </is>
      </c>
      <c r="E120" s="374" t="inlineStr">
        <is>
          <t>маш.час</t>
        </is>
      </c>
      <c r="F120" s="374" t="n">
        <v>0.76</v>
      </c>
      <c r="G120" s="290" t="n">
        <v>2.19</v>
      </c>
      <c r="H120" s="302">
        <f>ROUND(F120*G120,2)</f>
        <v/>
      </c>
      <c r="I120" s="307" t="n"/>
      <c r="L120" s="307" t="n"/>
    </row>
    <row r="121" ht="25.5" customHeight="1" s="248">
      <c r="A121" s="374" t="n">
        <v>107</v>
      </c>
      <c r="B121" s="346" t="n"/>
      <c r="C121" s="287" t="inlineStr">
        <is>
          <t>91.06.06-046</t>
        </is>
      </c>
      <c r="D121" s="288" t="inlineStr">
        <is>
          <t>Подъемники одномачтовые, грузоподъемность до 500 кг, высота подъема 25 м</t>
        </is>
      </c>
      <c r="E121" s="374" t="inlineStr">
        <is>
          <t>маш.час</t>
        </is>
      </c>
      <c r="F121" s="374" t="n">
        <v>0.01</v>
      </c>
      <c r="G121" s="290" t="n">
        <v>27.66</v>
      </c>
      <c r="H121" s="302">
        <f>ROUND(F121*G121,2)</f>
        <v/>
      </c>
      <c r="I121" s="307" t="n"/>
    </row>
    <row r="122" ht="25.5" customHeight="1" s="248">
      <c r="A122" s="374" t="n">
        <v>108</v>
      </c>
      <c r="B122" s="346" t="n"/>
      <c r="C122" s="287" t="inlineStr">
        <is>
          <t>91.21.03-502</t>
        </is>
      </c>
      <c r="D122" s="288" t="inlineStr">
        <is>
          <t>Аппараты пескоструйные, объем до 19 л, расход воздуха 270-700 л/мин</t>
        </is>
      </c>
      <c r="E122" s="374" t="inlineStr">
        <is>
          <t>маш.час</t>
        </is>
      </c>
      <c r="F122" s="374" t="n">
        <v>0.07000000000000001</v>
      </c>
      <c r="G122" s="290" t="n">
        <v>0.14</v>
      </c>
      <c r="H122" s="302">
        <f>ROUND(F122*G122,2)</f>
        <v/>
      </c>
    </row>
    <row r="123" ht="15" customHeight="1" s="248">
      <c r="A123" s="344" t="inlineStr">
        <is>
          <t>Оборудование</t>
        </is>
      </c>
      <c r="B123" s="419" t="n"/>
      <c r="C123" s="419" t="n"/>
      <c r="D123" s="419" t="n"/>
      <c r="E123" s="420" t="n"/>
      <c r="F123" s="298" t="n"/>
      <c r="G123" s="298" t="n"/>
      <c r="H123" s="297">
        <f>SUM(H124:H214)</f>
        <v/>
      </c>
    </row>
    <row r="124" ht="77.45" customHeight="1" s="248">
      <c r="A124" s="300" t="n">
        <v>109</v>
      </c>
      <c r="B124" s="344" t="n"/>
      <c r="C124" s="287" t="inlineStr">
        <is>
          <t>Прайс из СД ОП</t>
        </is>
      </c>
      <c r="D124" s="288" t="inlineStr">
        <is>
          <t>Оборудование СОПТ в составе: Шкаф с преобразователем на подставке  ПНЗП-М-100-260-УХЛ4- 2 шт.; -Шкаф сввода, секционирования и распределения  ШВСР - 2 шт.; -Шкаф аккумуляторный с аккумуляторными батареями FIAM 12 FLB 400 (17 эл.) ШАБ-5  - 1 шт.</t>
        </is>
      </c>
      <c r="E124" s="374" t="inlineStr">
        <is>
          <t>комплект</t>
        </is>
      </c>
      <c r="F124" s="374" t="n">
        <v>1</v>
      </c>
      <c r="G124" s="310" t="n">
        <v>1334322.43</v>
      </c>
      <c r="H124" s="302">
        <f>ROUND(F124*G124,2)</f>
        <v/>
      </c>
      <c r="I124" s="311">
        <f>H124/$H$123</f>
        <v/>
      </c>
      <c r="J124" s="312" t="n">
        <v>14398000</v>
      </c>
    </row>
    <row r="125" ht="25.9" customHeight="1" s="248">
      <c r="A125" s="300" t="n">
        <v>110</v>
      </c>
      <c r="B125" s="344" t="n"/>
      <c r="C125" s="287" t="inlineStr">
        <is>
          <t>Прайс из СД ОП</t>
        </is>
      </c>
      <c r="D125" s="288" t="inlineStr">
        <is>
          <t>Щит собственных  нужд ЩСН-0,4кВ (в составе 5 шкафов)</t>
        </is>
      </c>
      <c r="E125" s="374" t="inlineStr">
        <is>
          <t>шт.</t>
        </is>
      </c>
      <c r="F125" s="374" t="n">
        <v>1</v>
      </c>
      <c r="G125" s="310" t="n">
        <v>482009.35</v>
      </c>
      <c r="H125" s="302">
        <f>ROUND(F125*G125,2)</f>
        <v/>
      </c>
      <c r="I125" s="311">
        <f>H125/$H$123</f>
        <v/>
      </c>
      <c r="J125" s="312" t="n">
        <v>4475900</v>
      </c>
    </row>
    <row r="126">
      <c r="A126" s="300" t="n">
        <v>111</v>
      </c>
      <c r="B126" s="344" t="n"/>
      <c r="C126" s="287" t="inlineStr">
        <is>
          <t>Прайс из СД ОП</t>
        </is>
      </c>
      <c r="D126" s="288" t="inlineStr">
        <is>
          <t xml:space="preserve">Газоанализатор стационарный  ИГАС IR-SF6 </t>
        </is>
      </c>
      <c r="E126" s="374" t="inlineStr">
        <is>
          <t>шт.</t>
        </is>
      </c>
      <c r="F126" s="374" t="n">
        <v>13</v>
      </c>
      <c r="G126" s="310" t="n">
        <v>23364.49</v>
      </c>
      <c r="H126" s="302">
        <f>ROUND(F126*G126,2)</f>
        <v/>
      </c>
      <c r="I126" s="311">
        <f>H126/$H$123</f>
        <v/>
      </c>
      <c r="J126" s="312" t="n">
        <v>2011596.54</v>
      </c>
    </row>
    <row r="127" ht="38.85" customHeight="1" s="248">
      <c r="A127" s="300" t="n">
        <v>112</v>
      </c>
      <c r="B127" s="344" t="n"/>
      <c r="C127" s="287" t="inlineStr">
        <is>
          <t>Прайс из СД ОП</t>
        </is>
      </c>
      <c r="D127" s="288" t="inlineStr">
        <is>
          <t>Светодиодный светильник, 60 Bm, 220 В, АС, IP65, настенное крепление ВЭЛАН 31-СД.Л.60-Н1-220АС УХЛ1</t>
        </is>
      </c>
      <c r="E127" s="374" t="inlineStr">
        <is>
          <t>шт.</t>
        </is>
      </c>
      <c r="F127" s="374" t="n">
        <v>46</v>
      </c>
      <c r="G127" s="310" t="n">
        <v>6535.05</v>
      </c>
      <c r="H127" s="302">
        <f>ROUND(F127*G127,2)</f>
        <v/>
      </c>
      <c r="I127" s="311">
        <f>H127/$H$123</f>
        <v/>
      </c>
    </row>
    <row r="128" ht="25.9" customHeight="1" s="248">
      <c r="A128" s="300" t="n">
        <v>113</v>
      </c>
      <c r="B128" s="344" t="n"/>
      <c r="C128" s="287" t="inlineStr">
        <is>
          <t>Прайс из СД ОП</t>
        </is>
      </c>
      <c r="D128" s="288" t="inlineStr">
        <is>
          <t>Светодиодный прожектор, 80 Bm, 220 В,  IP65,на скобе  ВЭЛАН 73-СД.Л.80-30-С-220-АС УХЛ1</t>
        </is>
      </c>
      <c r="E128" s="374" t="inlineStr">
        <is>
          <t>шт.</t>
        </is>
      </c>
      <c r="F128" s="374" t="n">
        <v>20</v>
      </c>
      <c r="G128" s="310" t="n">
        <v>13957.94</v>
      </c>
      <c r="H128" s="302">
        <f>ROUND(F128*G128,2)</f>
        <v/>
      </c>
      <c r="I128" s="311">
        <f>H128/$H$123</f>
        <v/>
      </c>
      <c r="J128" s="313" t="n"/>
    </row>
    <row r="129" ht="38.85" customHeight="1" s="248">
      <c r="A129" s="300" t="n">
        <v>114</v>
      </c>
      <c r="B129" s="344" t="n"/>
      <c r="C129" s="287" t="inlineStr">
        <is>
          <t>Прайс из СД ОП</t>
        </is>
      </c>
      <c r="D129" s="288" t="inlineStr">
        <is>
          <t>Светодиодный указатель "Выход" со встроенным аккумулятором, 220 В, IP65 ВЭЛ-Т-Н-"Выход"-3/Б-(220АС)А-14-УХЛ1</t>
        </is>
      </c>
      <c r="E129" s="374" t="inlineStr">
        <is>
          <t>шт.</t>
        </is>
      </c>
      <c r="F129" s="374" t="n">
        <v>37</v>
      </c>
      <c r="G129" s="310" t="n">
        <v>5011.68</v>
      </c>
      <c r="H129" s="302">
        <f>ROUND(F129*G129,2)</f>
        <v/>
      </c>
      <c r="I129" s="311">
        <f>H129/$H$123</f>
        <v/>
      </c>
    </row>
    <row r="130" ht="25.9" customHeight="1" s="248">
      <c r="A130" s="300" t="n">
        <v>115</v>
      </c>
      <c r="B130" s="344" t="n"/>
      <c r="C130" s="287" t="inlineStr">
        <is>
          <t>Прайс из СД ОП</t>
        </is>
      </c>
      <c r="D130" s="288" t="inlineStr">
        <is>
          <t xml:space="preserve">Комплект автоматики ТПА-КС по бланк-заказу №В-9932135 </t>
        </is>
      </c>
      <c r="E130" s="374" t="inlineStr">
        <is>
          <t>к-т</t>
        </is>
      </c>
      <c r="F130" s="374" t="n">
        <v>2</v>
      </c>
      <c r="G130" s="310" t="n">
        <v>82287.72</v>
      </c>
      <c r="H130" s="302">
        <f>ROUND(F130*G130,2)</f>
        <v/>
      </c>
      <c r="I130" s="311">
        <f>H130/$H$123</f>
        <v/>
      </c>
      <c r="J130" s="313" t="n"/>
    </row>
    <row r="131" ht="25.9" customHeight="1" s="248">
      <c r="A131" s="300" t="n">
        <v>116</v>
      </c>
      <c r="B131" s="344" t="n"/>
      <c r="C131" s="287" t="inlineStr">
        <is>
          <t>Прайс из СД ОП</t>
        </is>
      </c>
      <c r="D131" s="288" t="inlineStr">
        <is>
          <t xml:space="preserve">Насосная установка для пожаротушения GRUNDFOS Hydro MX 1/1 2CR 45-1 </t>
        </is>
      </c>
      <c r="E131" s="374" t="inlineStr">
        <is>
          <t>К-Т</t>
        </is>
      </c>
      <c r="F131" s="374" t="n">
        <v>1</v>
      </c>
      <c r="G131" s="310" t="n">
        <v>148806.43</v>
      </c>
      <c r="H131" s="302">
        <f>ROUND(F131*G131,2)</f>
        <v/>
      </c>
      <c r="I131" s="311">
        <f>H131/$H$123</f>
        <v/>
      </c>
    </row>
    <row r="132" ht="25.9" customHeight="1" s="248">
      <c r="A132" s="300" t="n">
        <v>117</v>
      </c>
      <c r="B132" s="344" t="n"/>
      <c r="C132" s="287" t="inlineStr">
        <is>
          <t>Прайс из СД ОП</t>
        </is>
      </c>
      <c r="D132" s="288" t="inlineStr">
        <is>
          <t>Светодиодный светильник, 36 Bm, 220 В, IP65, настенное крепление ВЭЛ 51-СД.Л-2х18Н У1</t>
        </is>
      </c>
      <c r="E132" s="374" t="inlineStr">
        <is>
          <t>шт.</t>
        </is>
      </c>
      <c r="F132" s="374" t="n">
        <v>27</v>
      </c>
      <c r="G132" s="310" t="n">
        <v>4439.25</v>
      </c>
      <c r="H132" s="302">
        <f>ROUND(F132*G132,2)</f>
        <v/>
      </c>
      <c r="I132" s="311">
        <f>H132/$H$123</f>
        <v/>
      </c>
      <c r="J132" s="313" t="n"/>
    </row>
    <row r="133" ht="25.9" customHeight="1" s="248">
      <c r="A133" s="300" t="n">
        <v>118</v>
      </c>
      <c r="B133" s="344" t="n"/>
      <c r="C133" s="287" t="inlineStr">
        <is>
          <t>Прайс из СД ОП</t>
        </is>
      </c>
      <c r="D133" s="288" t="inlineStr">
        <is>
          <t>Светодиодный светильник, 18 Bm, 220 В, IP65, настенное крепление ВЭЛ 51-СД.Л-1х18Н У1</t>
        </is>
      </c>
      <c r="E133" s="374" t="inlineStr">
        <is>
          <t>шт.</t>
        </is>
      </c>
      <c r="F133" s="374" t="n">
        <v>40</v>
      </c>
      <c r="G133" s="310" t="n">
        <v>2789.72</v>
      </c>
      <c r="H133" s="302">
        <f>ROUND(F133*G133,2)</f>
        <v/>
      </c>
      <c r="I133" s="311">
        <f>H133/$H$123</f>
        <v/>
      </c>
    </row>
    <row r="134" ht="25.9" customHeight="1" s="248">
      <c r="A134" s="300" t="n">
        <v>119</v>
      </c>
      <c r="B134" s="344" t="n"/>
      <c r="C134" s="287" t="inlineStr">
        <is>
          <t>Прайс из СД ОП</t>
        </is>
      </c>
      <c r="D134" s="288" t="inlineStr">
        <is>
          <t xml:space="preserve">Комплект автоматики ТПА-КС по бланк-заказу №КС-9930506 </t>
        </is>
      </c>
      <c r="E134" s="374" t="inlineStr">
        <is>
          <t>к-т</t>
        </is>
      </c>
      <c r="F134" s="374" t="n">
        <v>2</v>
      </c>
      <c r="G134" s="310" t="n">
        <v>52052.21</v>
      </c>
      <c r="H134" s="302">
        <f>ROUND(F134*G134,2)</f>
        <v/>
      </c>
      <c r="I134" s="311">
        <f>H134/$H$123</f>
        <v/>
      </c>
      <c r="J134" s="313" t="n"/>
    </row>
    <row r="135" ht="25.9" customHeight="1" s="248">
      <c r="A135" s="300" t="n">
        <v>120</v>
      </c>
      <c r="B135" s="344" t="n"/>
      <c r="C135" s="287" t="inlineStr">
        <is>
          <t>Прайс из СД ОП</t>
        </is>
      </c>
      <c r="D135" s="288" t="inlineStr">
        <is>
          <t>Кран мостовой электрический однобалочный подвесной двухпролетный 3,2тн, Lп-24м</t>
        </is>
      </c>
      <c r="E135" s="374" t="inlineStr">
        <is>
          <t>шт</t>
        </is>
      </c>
      <c r="F135" s="374" t="n">
        <v>1</v>
      </c>
      <c r="G135" s="310" t="n">
        <v>100624.7</v>
      </c>
      <c r="H135" s="302">
        <f>ROUND(F135*G135,2)</f>
        <v/>
      </c>
      <c r="I135" s="311">
        <f>H135/$H$123</f>
        <v/>
      </c>
    </row>
    <row r="136">
      <c r="A136" s="300" t="n">
        <v>121</v>
      </c>
      <c r="B136" s="344" t="n"/>
      <c r="C136" s="287" t="inlineStr">
        <is>
          <t>Прайс из СД ОП</t>
        </is>
      </c>
      <c r="D136" s="288" t="inlineStr">
        <is>
          <t>Таль электрическая 3,2тн, H-18м</t>
        </is>
      </c>
      <c r="E136" s="374" t="inlineStr">
        <is>
          <t>шт</t>
        </is>
      </c>
      <c r="F136" s="374" t="n">
        <v>2</v>
      </c>
      <c r="G136" s="310" t="n">
        <v>49202.04</v>
      </c>
      <c r="H136" s="302">
        <f>ROUND(F136*G136,2)</f>
        <v/>
      </c>
      <c r="I136" s="311">
        <f>H136/$H$123</f>
        <v/>
      </c>
      <c r="J136" s="313" t="n"/>
    </row>
    <row r="137">
      <c r="A137" s="300" t="n">
        <v>122</v>
      </c>
      <c r="B137" s="344" t="n"/>
      <c r="C137" s="287" t="inlineStr">
        <is>
          <t>Прайс из СД ОП</t>
        </is>
      </c>
      <c r="D137" s="288" t="inlineStr">
        <is>
          <t xml:space="preserve">Сплит-система PKA-RP35HAL/PUHZ-ZRP35VKA </t>
        </is>
      </c>
      <c r="E137" s="374" t="inlineStr">
        <is>
          <t>шт.</t>
        </is>
      </c>
      <c r="F137" s="374" t="n">
        <v>2</v>
      </c>
      <c r="G137" s="310" t="n">
        <v>41838.73</v>
      </c>
      <c r="H137" s="302">
        <f>ROUND(F137*G137,2)</f>
        <v/>
      </c>
      <c r="I137" s="311">
        <f>H137/$H$123</f>
        <v/>
      </c>
    </row>
    <row r="138">
      <c r="A138" s="300" t="n">
        <v>123</v>
      </c>
      <c r="B138" s="344" t="n"/>
      <c r="C138" s="287" t="inlineStr">
        <is>
          <t>Прайс из СД ОП</t>
        </is>
      </c>
      <c r="D138" s="288" t="inlineStr">
        <is>
          <t>Сплит-система PKA-RP60HAL/PUHZ-ZRP35VНA</t>
        </is>
      </c>
      <c r="E138" s="374" t="inlineStr">
        <is>
          <t>шт.</t>
        </is>
      </c>
      <c r="F138" s="374" t="n">
        <v>2</v>
      </c>
      <c r="G138" s="310" t="n">
        <v>41838.73</v>
      </c>
      <c r="H138" s="302">
        <f>ROUND(F138*G138,2)</f>
        <v/>
      </c>
      <c r="I138" s="311">
        <f>H138/$H$123</f>
        <v/>
      </c>
      <c r="J138" s="313" t="n"/>
    </row>
    <row r="139" ht="25.9" customHeight="1" s="248">
      <c r="A139" s="300" t="n">
        <v>124</v>
      </c>
      <c r="B139" s="344" t="n"/>
      <c r="C139" s="287" t="inlineStr">
        <is>
          <t>Прайс из СД ОП</t>
        </is>
      </c>
      <c r="D139" s="288" t="inlineStr">
        <is>
          <t>Кран мостовой электрический однобалочный подвесной 3,2тн L-8м</t>
        </is>
      </c>
      <c r="E139" s="374" t="inlineStr">
        <is>
          <t>шт</t>
        </is>
      </c>
      <c r="F139" s="374" t="n">
        <v>2</v>
      </c>
      <c r="G139" s="310" t="n">
        <v>41804.61</v>
      </c>
      <c r="H139" s="302">
        <f>ROUND(F139*G139,2)</f>
        <v/>
      </c>
      <c r="I139" s="311">
        <f>H139/$H$123</f>
        <v/>
      </c>
    </row>
    <row r="140" ht="38.85" customHeight="1" s="248">
      <c r="A140" s="300" t="n">
        <v>125</v>
      </c>
      <c r="B140" s="344" t="n"/>
      <c r="C140" s="287" t="inlineStr">
        <is>
          <t>Прайс из СД ОП</t>
        </is>
      </c>
      <c r="D140" s="288" t="inlineStr">
        <is>
          <t>Светодиодный светильник, 40 Bm, 220 В, АС, IP65, настенное крепление ВЭЛАН 31-СД.Л.40-Н1-220АС УХЛ1</t>
        </is>
      </c>
      <c r="E140" s="374" t="inlineStr">
        <is>
          <t>шт.</t>
        </is>
      </c>
      <c r="F140" s="374" t="n">
        <v>12</v>
      </c>
      <c r="G140" s="310" t="n">
        <v>6011.68</v>
      </c>
      <c r="H140" s="302">
        <f>ROUND(F140*G140,2)</f>
        <v/>
      </c>
      <c r="I140" s="311">
        <f>H140/$H$123</f>
        <v/>
      </c>
      <c r="J140" s="313" t="n"/>
    </row>
    <row r="141" ht="25.9" customHeight="1" s="248">
      <c r="A141" s="300" t="n">
        <v>126</v>
      </c>
      <c r="B141" s="344" t="n"/>
      <c r="C141" s="287" t="inlineStr">
        <is>
          <t>Прайс из СД ОП</t>
        </is>
      </c>
      <c r="D141" s="288" t="inlineStr">
        <is>
          <t xml:space="preserve">Комплект автоматики ТПА-КС по бланк-заказу №В-9930598 </t>
        </is>
      </c>
      <c r="E141" s="374" t="inlineStr">
        <is>
          <t>к-т</t>
        </is>
      </c>
      <c r="F141" s="374" t="n">
        <v>1</v>
      </c>
      <c r="G141" s="310" t="n">
        <v>68321.88</v>
      </c>
      <c r="H141" s="302">
        <f>ROUND(F141*G141,2)</f>
        <v/>
      </c>
      <c r="I141" s="311">
        <f>H141/$H$123</f>
        <v/>
      </c>
    </row>
    <row r="142">
      <c r="A142" s="300" t="n">
        <v>127</v>
      </c>
      <c r="B142" s="344" t="n"/>
      <c r="C142" s="287" t="inlineStr">
        <is>
          <t>Прайс из СД ОП</t>
        </is>
      </c>
      <c r="D142" s="288" t="inlineStr">
        <is>
          <t xml:space="preserve">Сплит-система PKA-RP100KAL/PU-P100YHAR3 </t>
        </is>
      </c>
      <c r="E142" s="374" t="inlineStr">
        <is>
          <t>шт.</t>
        </is>
      </c>
      <c r="F142" s="374" t="n">
        <v>2</v>
      </c>
      <c r="G142" s="310" t="n">
        <v>32996.99</v>
      </c>
      <c r="H142" s="302">
        <f>ROUND(F142*G142,2)</f>
        <v/>
      </c>
      <c r="I142" s="311">
        <f>H142/$H$123</f>
        <v/>
      </c>
      <c r="J142" s="313" t="n"/>
    </row>
    <row r="143">
      <c r="A143" s="300" t="n">
        <v>128</v>
      </c>
      <c r="B143" s="344" t="n"/>
      <c r="C143" s="287" t="inlineStr">
        <is>
          <t>Прайс из СД ОП</t>
        </is>
      </c>
      <c r="D143" s="288" t="inlineStr">
        <is>
          <t>Шкаф аварийного освещения</t>
        </is>
      </c>
      <c r="E143" s="374" t="inlineStr">
        <is>
          <t>1 шт.</t>
        </is>
      </c>
      <c r="F143" s="374" t="n">
        <v>1</v>
      </c>
      <c r="G143" s="310" t="n">
        <v>65852.8</v>
      </c>
      <c r="H143" s="302">
        <f>ROUND(F143*G143,2)</f>
        <v/>
      </c>
      <c r="I143" s="311">
        <f>H143/$H$123</f>
        <v/>
      </c>
    </row>
    <row r="144">
      <c r="A144" s="300" t="n">
        <v>129</v>
      </c>
      <c r="B144" s="344" t="n"/>
      <c r="C144" s="287" t="inlineStr">
        <is>
          <t>Прайс из СД ОП</t>
        </is>
      </c>
      <c r="D144" s="288" t="inlineStr">
        <is>
          <t>Шкаф аварийного освещения</t>
        </is>
      </c>
      <c r="E144" s="374" t="inlineStr">
        <is>
          <t>1 шт.</t>
        </is>
      </c>
      <c r="F144" s="374" t="n">
        <v>1</v>
      </c>
      <c r="G144" s="310" t="n">
        <v>62815.42</v>
      </c>
      <c r="H144" s="302">
        <f>ROUND(F144*G144,2)</f>
        <v/>
      </c>
      <c r="I144" s="311">
        <f>H144/$H$123</f>
        <v/>
      </c>
      <c r="J144" s="313" t="n"/>
    </row>
    <row r="145" ht="25.9" customHeight="1" s="248">
      <c r="A145" s="300" t="n">
        <v>130</v>
      </c>
      <c r="B145" s="344" t="n"/>
      <c r="C145" s="287" t="inlineStr">
        <is>
          <t>Прайс из СД ОП</t>
        </is>
      </c>
      <c r="D145" s="288" t="inlineStr">
        <is>
          <t xml:space="preserve">Комплект автоматики ТПА-КС по бланк-заказу №В-9932136 </t>
        </is>
      </c>
      <c r="E145" s="374" t="inlineStr">
        <is>
          <t>к-т</t>
        </is>
      </c>
      <c r="F145" s="374" t="n">
        <v>1</v>
      </c>
      <c r="G145" s="310" t="n">
        <v>57002.37</v>
      </c>
      <c r="H145" s="302">
        <f>ROUND(F145*G145,2)</f>
        <v/>
      </c>
      <c r="I145" s="311">
        <f>H145/$H$123</f>
        <v/>
      </c>
      <c r="J145" s="313" t="n"/>
    </row>
    <row r="146" ht="25.9" customHeight="1" s="248">
      <c r="A146" s="300" t="n">
        <v>131</v>
      </c>
      <c r="B146" s="344" t="n"/>
      <c r="C146" s="287" t="inlineStr">
        <is>
          <t>Прайс из СД ОП</t>
        </is>
      </c>
      <c r="D146" s="288" t="inlineStr">
        <is>
          <t>Светодиодный светильник встраиваемый, 35 Bm, 220 В,  IP20, УХЛ4 OPL/R ECO LED 595 4000K</t>
        </is>
      </c>
      <c r="E146" s="374" t="inlineStr">
        <is>
          <t>шт.</t>
        </is>
      </c>
      <c r="F146" s="374" t="n">
        <v>39</v>
      </c>
      <c r="G146" s="310" t="n">
        <v>1359.1</v>
      </c>
      <c r="H146" s="302">
        <f>ROUND(F146*G146,2)</f>
        <v/>
      </c>
      <c r="I146" s="311">
        <f>H146/$H$123</f>
        <v/>
      </c>
    </row>
    <row r="147" ht="38.85" customHeight="1" s="248">
      <c r="A147" s="300" t="n">
        <v>132</v>
      </c>
      <c r="B147" s="344" t="n"/>
      <c r="C147" s="287" t="inlineStr">
        <is>
          <t>Прайс из СД ОП</t>
        </is>
      </c>
      <c r="D147" s="288" t="inlineStr">
        <is>
          <t>Светодиодный светильник, 20 Bm, 220 В, АС, IP65, настенное крепление ВЭЛАН 31-СД.Л.20-Н1-220АС УХЛ1</t>
        </is>
      </c>
      <c r="E147" s="374" t="inlineStr">
        <is>
          <t>шт.</t>
        </is>
      </c>
      <c r="F147" s="374" t="n">
        <v>8</v>
      </c>
      <c r="G147" s="310" t="n">
        <v>5836.45</v>
      </c>
      <c r="H147" s="302">
        <f>ROUND(F147*G147,2)</f>
        <v/>
      </c>
      <c r="I147" s="311">
        <f>H147/$H$123</f>
        <v/>
      </c>
      <c r="J147" s="313" t="n"/>
    </row>
    <row r="148">
      <c r="A148" s="300" t="n">
        <v>133</v>
      </c>
      <c r="B148" s="344" t="n"/>
      <c r="C148" s="287" t="inlineStr">
        <is>
          <t>Прайс из СД ОП</t>
        </is>
      </c>
      <c r="D148" s="288" t="inlineStr">
        <is>
          <t xml:space="preserve">Вентилятор ВРАН9-100-Т80-Н-00700/8-У2-1-ПО-0 </t>
        </is>
      </c>
      <c r="E148" s="374" t="inlineStr">
        <is>
          <t>шт.</t>
        </is>
      </c>
      <c r="F148" s="374" t="n">
        <v>2</v>
      </c>
      <c r="G148" s="310" t="n">
        <v>22430.3</v>
      </c>
      <c r="H148" s="302">
        <f>ROUND(F148*G148,2)</f>
        <v/>
      </c>
      <c r="I148" s="311">
        <f>H148/$H$123</f>
        <v/>
      </c>
    </row>
    <row r="149">
      <c r="A149" s="300" t="n">
        <v>134</v>
      </c>
      <c r="B149" s="344" t="n"/>
      <c r="C149" s="287" t="inlineStr">
        <is>
          <t>Прайс из СД ОП</t>
        </is>
      </c>
      <c r="D149" s="288" t="inlineStr">
        <is>
          <t xml:space="preserve">Вентилятор ВРАН9-100-Т80-Н-01500/6-У2-1-ПО-0 </t>
        </is>
      </c>
      <c r="E149" s="374" t="inlineStr">
        <is>
          <t>шт.</t>
        </is>
      </c>
      <c r="F149" s="374" t="n">
        <v>2</v>
      </c>
      <c r="G149" s="310" t="n">
        <v>22124.98</v>
      </c>
      <c r="H149" s="302">
        <f>ROUND(F149*G149,2)</f>
        <v/>
      </c>
      <c r="I149" s="311" t="n"/>
      <c r="J149" s="313" t="n"/>
    </row>
    <row r="150">
      <c r="A150" s="300" t="n">
        <v>135</v>
      </c>
      <c r="B150" s="344" t="n"/>
      <c r="C150" s="287" t="inlineStr">
        <is>
          <t>Прайс из СД ОП</t>
        </is>
      </c>
      <c r="D150" s="288" t="inlineStr">
        <is>
          <t xml:space="preserve">Вентилятор ВРАН9-100-Т80-Н-01500/6-У2-1-ПО-0 </t>
        </is>
      </c>
      <c r="E150" s="374" t="inlineStr">
        <is>
          <t>шт.</t>
        </is>
      </c>
      <c r="F150" s="374" t="n">
        <v>2</v>
      </c>
      <c r="G150" s="310" t="n">
        <v>22124.98</v>
      </c>
      <c r="H150" s="302">
        <f>ROUND(F150*G150,2)</f>
        <v/>
      </c>
      <c r="I150" s="314" t="n"/>
    </row>
    <row r="151" ht="25.9" customHeight="1" s="248">
      <c r="A151" s="300" t="n">
        <v>136</v>
      </c>
      <c r="B151" s="344" t="n"/>
      <c r="C151" s="287" t="inlineStr">
        <is>
          <t>Прайс из СД ОП</t>
        </is>
      </c>
      <c r="D151" s="288" t="inlineStr">
        <is>
          <t xml:space="preserve">Вентилятор осевой ОСА 301-063/А-45-Н-00037/04-У2-01 </t>
        </is>
      </c>
      <c r="E151" s="374" t="inlineStr">
        <is>
          <t>шт.</t>
        </is>
      </c>
      <c r="F151" s="374" t="n">
        <v>6</v>
      </c>
      <c r="G151" s="310" t="n">
        <v>6329.99</v>
      </c>
      <c r="H151" s="302">
        <f>ROUND(F151*G151,2)</f>
        <v/>
      </c>
      <c r="I151" s="314" t="n"/>
      <c r="J151" s="313" t="n"/>
    </row>
    <row r="152" ht="25.9" customHeight="1" s="248">
      <c r="A152" s="300" t="n">
        <v>137</v>
      </c>
      <c r="B152" s="344" t="n"/>
      <c r="C152" s="287" t="inlineStr">
        <is>
          <t>Прайс из СД ОП</t>
        </is>
      </c>
      <c r="D152" s="288" t="inlineStr">
        <is>
          <t xml:space="preserve">Комплект автоматики ТПА-КС по бланк-заказу №9932188 </t>
        </is>
      </c>
      <c r="E152" s="374" t="inlineStr">
        <is>
          <t>к-т</t>
        </is>
      </c>
      <c r="F152" s="374" t="n">
        <v>1</v>
      </c>
      <c r="G152" s="310" t="n">
        <v>31235.16</v>
      </c>
      <c r="H152" s="302">
        <f>ROUND(F152*G152,2)</f>
        <v/>
      </c>
      <c r="I152" s="314" t="n"/>
      <c r="J152" s="313" t="n"/>
    </row>
    <row r="153" ht="25.9" customHeight="1" s="248">
      <c r="A153" s="300" t="n">
        <v>138</v>
      </c>
      <c r="B153" s="344" t="n"/>
      <c r="C153" s="287" t="inlineStr">
        <is>
          <t>Прайс из СД ОП</t>
        </is>
      </c>
      <c r="D153" s="288" t="inlineStr">
        <is>
          <t>Шкаф управления системы электрообогрева ШУ-СО 64.3.3-1/3-05.16</t>
        </is>
      </c>
      <c r="E153" s="374" t="inlineStr">
        <is>
          <t>шт.</t>
        </is>
      </c>
      <c r="F153" s="374" t="n">
        <v>1</v>
      </c>
      <c r="G153" s="310" t="n">
        <v>30888.64</v>
      </c>
      <c r="H153" s="302">
        <f>ROUND(F153*G153,2)</f>
        <v/>
      </c>
      <c r="I153" s="314" t="n"/>
    </row>
    <row r="154" ht="25.9" customHeight="1" s="248">
      <c r="A154" s="300" t="n">
        <v>139</v>
      </c>
      <c r="B154" s="344" t="n"/>
      <c r="C154" s="287" t="inlineStr">
        <is>
          <t>Прайс из СД ОП</t>
        </is>
      </c>
      <c r="D154" s="288" t="inlineStr">
        <is>
          <t xml:space="preserve">Электрорадиатор настенный, N=1.5 кВт IRIT Stacio-T 15012 </t>
        </is>
      </c>
      <c r="E154" s="374" t="inlineStr">
        <is>
          <t>шт.</t>
        </is>
      </c>
      <c r="F154" s="374" t="n">
        <v>58</v>
      </c>
      <c r="G154" s="310" t="n">
        <v>525.5</v>
      </c>
      <c r="H154" s="302">
        <f>ROUND(F154*G154,2)</f>
        <v/>
      </c>
      <c r="I154" s="314" t="n"/>
      <c r="J154" s="313" t="n"/>
    </row>
    <row r="155">
      <c r="A155" s="300" t="n">
        <v>140</v>
      </c>
      <c r="B155" s="344" t="n"/>
      <c r="C155" s="287" t="inlineStr">
        <is>
          <t>Прайс из СД ОП</t>
        </is>
      </c>
      <c r="D155" s="288" t="inlineStr">
        <is>
          <t xml:space="preserve">Щит автоматики в комплекте с оборудованием </t>
        </is>
      </c>
      <c r="E155" s="374" t="inlineStr">
        <is>
          <t>шт.</t>
        </is>
      </c>
      <c r="F155" s="374" t="n">
        <v>1</v>
      </c>
      <c r="G155" s="310" t="n">
        <v>29700.62</v>
      </c>
      <c r="H155" s="302">
        <f>ROUND(F155*G155,2)</f>
        <v/>
      </c>
      <c r="I155" s="314" t="n"/>
    </row>
    <row r="156" ht="38.85" customHeight="1" s="248">
      <c r="A156" s="300" t="n">
        <v>141</v>
      </c>
      <c r="B156" s="344" t="n"/>
      <c r="C156" s="287" t="inlineStr">
        <is>
          <t>Прайс из СД ОП</t>
        </is>
      </c>
      <c r="D156" s="288" t="inlineStr">
        <is>
          <t>Светодиодный светильник, 10 Bm, 220 В, АС, IP65, настенное крепление ВЭЛАН 31-СД.Л.10-Н1-220АС УХЛ1</t>
        </is>
      </c>
      <c r="E156" s="374" t="inlineStr">
        <is>
          <t>шт.</t>
        </is>
      </c>
      <c r="F156" s="374" t="n">
        <v>15</v>
      </c>
      <c r="G156" s="310" t="n">
        <v>1957.94</v>
      </c>
      <c r="H156" s="302">
        <f>ROUND(F156*G156,2)</f>
        <v/>
      </c>
      <c r="I156" s="314" t="n"/>
      <c r="J156" s="313" t="n"/>
    </row>
    <row r="157" ht="25.9" customHeight="1" s="248">
      <c r="A157" s="300" t="n">
        <v>142</v>
      </c>
      <c r="B157" s="344" t="n"/>
      <c r="C157" s="287" t="inlineStr">
        <is>
          <t>Прайс из СД ОП</t>
        </is>
      </c>
      <c r="D157" s="288" t="inlineStr">
        <is>
          <t>Светодиодный светильник накладной, 47 Bm, 220 В,  IP65, УХЛ2 ARCTIC.OPL ECO LED 1200 4000K</t>
        </is>
      </c>
      <c r="E157" s="374" t="inlineStr">
        <is>
          <t>шт.</t>
        </is>
      </c>
      <c r="F157" s="374" t="n">
        <v>25</v>
      </c>
      <c r="G157" s="310" t="n">
        <v>1135.55</v>
      </c>
      <c r="H157" s="302">
        <f>ROUND(F157*G157,2)</f>
        <v/>
      </c>
      <c r="I157" s="314" t="n"/>
    </row>
    <row r="158">
      <c r="A158" s="300" t="n">
        <v>143</v>
      </c>
      <c r="B158" s="344" t="n"/>
      <c r="C158" s="287" t="inlineStr">
        <is>
          <t>Прайс из СД ОП</t>
        </is>
      </c>
      <c r="D158" s="288" t="inlineStr">
        <is>
          <t xml:space="preserve">Вентилятор ВРАН6-080-Т80-Н-00400/6-У2-1-ПО-0 </t>
        </is>
      </c>
      <c r="E158" s="374" t="inlineStr">
        <is>
          <t>шт.</t>
        </is>
      </c>
      <c r="F158" s="374" t="n">
        <v>2</v>
      </c>
      <c r="G158" s="310" t="n">
        <v>13125.3</v>
      </c>
      <c r="H158" s="302">
        <f>ROUND(F158*G158,2)</f>
        <v/>
      </c>
      <c r="I158" s="314" t="n"/>
      <c r="J158" s="313" t="n"/>
    </row>
    <row r="159">
      <c r="A159" s="300" t="n">
        <v>144</v>
      </c>
      <c r="B159" s="344" t="n"/>
      <c r="C159" s="287" t="inlineStr">
        <is>
          <t>Прайс из СД ОП</t>
        </is>
      </c>
      <c r="D159" s="288" t="inlineStr">
        <is>
          <t xml:space="preserve">Вентилятор ВРАН9-080-Т80-Н-00400/6-У2-1-ПО-0 </t>
        </is>
      </c>
      <c r="E159" s="374" t="inlineStr">
        <is>
          <t>шт.</t>
        </is>
      </c>
      <c r="F159" s="374" t="n">
        <v>2</v>
      </c>
      <c r="G159" s="310" t="n">
        <v>13125.3</v>
      </c>
      <c r="H159" s="302">
        <f>ROUND(F159*G159,2)</f>
        <v/>
      </c>
      <c r="I159" s="314" t="n"/>
    </row>
    <row r="160">
      <c r="A160" s="300" t="n">
        <v>145</v>
      </c>
      <c r="B160" s="344" t="n"/>
      <c r="C160" s="287" t="inlineStr">
        <is>
          <t>Прайс из СД ОП</t>
        </is>
      </c>
      <c r="D160" s="288" t="inlineStr">
        <is>
          <t xml:space="preserve">Сплит-система MSZ-SF25VE3/MUZ-SF25VE </t>
        </is>
      </c>
      <c r="E160" s="374" t="inlineStr">
        <is>
          <t>шт.</t>
        </is>
      </c>
      <c r="F160" s="374" t="n">
        <v>2</v>
      </c>
      <c r="G160" s="310" t="n">
        <v>11878.27</v>
      </c>
      <c r="H160" s="302">
        <f>ROUND(F160*G160,2)</f>
        <v/>
      </c>
      <c r="I160" s="314" t="n"/>
      <c r="J160" s="313" t="n"/>
    </row>
    <row r="161" ht="25.9" customHeight="1" s="248">
      <c r="A161" s="300" t="n">
        <v>146</v>
      </c>
      <c r="B161" s="344" t="n"/>
      <c r="C161" s="287" t="inlineStr">
        <is>
          <t>Прайс из СД ОП</t>
        </is>
      </c>
      <c r="D161" s="288" t="inlineStr">
        <is>
          <t xml:space="preserve">Комплект автоматики ТПА-КС по бланк-заказу №КС-9930499 </t>
        </is>
      </c>
      <c r="E161" s="374" t="inlineStr">
        <is>
          <t>к-т</t>
        </is>
      </c>
      <c r="F161" s="374" t="n">
        <v>1</v>
      </c>
      <c r="G161" s="310" t="n">
        <v>21784.57</v>
      </c>
      <c r="H161" s="302">
        <f>ROUND(F161*G161,2)</f>
        <v/>
      </c>
      <c r="I161" s="314" t="n"/>
    </row>
    <row r="162" ht="25.9" customHeight="1" s="248">
      <c r="A162" s="300" t="n">
        <v>147</v>
      </c>
      <c r="B162" s="344" t="n"/>
      <c r="C162" s="287" t="inlineStr">
        <is>
          <t>Прайс из СД ОП</t>
        </is>
      </c>
      <c r="D162" s="288" t="inlineStr">
        <is>
          <t xml:space="preserve">Комплект автоматики ТПА-КС по бланк-заказу №КС-9930501 </t>
        </is>
      </c>
      <c r="E162" s="374" t="inlineStr">
        <is>
          <t>к-т</t>
        </is>
      </c>
      <c r="F162" s="374" t="n">
        <v>1</v>
      </c>
      <c r="G162" s="310" t="n">
        <v>21071.76</v>
      </c>
      <c r="H162" s="302">
        <f>ROUND(F162*G162,2)</f>
        <v/>
      </c>
      <c r="I162" s="314" t="n"/>
      <c r="J162" s="313" t="n"/>
    </row>
    <row r="163" ht="25.9" customHeight="1" s="248">
      <c r="A163" s="300" t="n">
        <v>148</v>
      </c>
      <c r="B163" s="344" t="n"/>
      <c r="C163" s="287" t="inlineStr">
        <is>
          <t>Прайс из СД ОП</t>
        </is>
      </c>
      <c r="D163" s="288" t="inlineStr">
        <is>
          <t>Светодиодный прожектор, 120 Bm, 220 B, IP65 SSU-120 ХЛ1</t>
        </is>
      </c>
      <c r="E163" s="374" t="inlineStr">
        <is>
          <t>шт.</t>
        </is>
      </c>
      <c r="F163" s="374" t="n">
        <v>10</v>
      </c>
      <c r="G163" s="310" t="n">
        <v>2084.98</v>
      </c>
      <c r="H163" s="302">
        <f>ROUND(F163*G163,2)</f>
        <v/>
      </c>
      <c r="I163" s="314" t="n"/>
    </row>
    <row r="164" ht="25.9" customHeight="1" s="248">
      <c r="A164" s="300" t="n">
        <v>149</v>
      </c>
      <c r="B164" s="344" t="n"/>
      <c r="C164" s="287" t="inlineStr">
        <is>
          <t>Прайс из СД ОП</t>
        </is>
      </c>
      <c r="D164" s="288" t="inlineStr">
        <is>
          <t xml:space="preserve">Комплект автоматики ТПА-КС по бланк-заказу №КС-9930500 </t>
        </is>
      </c>
      <c r="E164" s="374" t="inlineStr">
        <is>
          <t>к-т</t>
        </is>
      </c>
      <c r="F164" s="374" t="n">
        <v>1</v>
      </c>
      <c r="G164" s="310" t="n">
        <v>20397.91</v>
      </c>
      <c r="H164" s="302">
        <f>ROUND(F164*G164,2)</f>
        <v/>
      </c>
      <c r="I164" s="314" t="n"/>
      <c r="J164" s="313" t="n"/>
    </row>
    <row r="165" ht="25.9" customHeight="1" s="248">
      <c r="A165" s="300" t="n">
        <v>150</v>
      </c>
      <c r="B165" s="344" t="n"/>
      <c r="C165" s="287" t="inlineStr">
        <is>
          <t>Прайс из СД ОП</t>
        </is>
      </c>
      <c r="D165" s="288" t="inlineStr">
        <is>
          <t xml:space="preserve">Комплект автоматики ТПА-КС по бланк-заказу №КС-9930505 </t>
        </is>
      </c>
      <c r="E165" s="374" t="inlineStr">
        <is>
          <t>к-т</t>
        </is>
      </c>
      <c r="F165" s="374" t="n">
        <v>1</v>
      </c>
      <c r="G165" s="310" t="n">
        <v>18224.3</v>
      </c>
      <c r="H165" s="302">
        <f>ROUND(F165*G165,2)</f>
        <v/>
      </c>
      <c r="I165" s="314" t="n"/>
    </row>
    <row r="166">
      <c r="A166" s="300" t="n">
        <v>151</v>
      </c>
      <c r="B166" s="344" t="n"/>
      <c r="C166" s="287" t="inlineStr">
        <is>
          <t>Прайс из СД ОП</t>
        </is>
      </c>
      <c r="D166" s="288" t="inlineStr">
        <is>
          <t xml:space="preserve">Вентилятор канальный осевой Канал-ОСА-П-040-380 </t>
        </is>
      </c>
      <c r="E166" s="374" t="inlineStr">
        <is>
          <t>шт.</t>
        </is>
      </c>
      <c r="F166" s="374" t="n">
        <v>4</v>
      </c>
      <c r="G166" s="310" t="n">
        <v>4480.64</v>
      </c>
      <c r="H166" s="302">
        <f>ROUND(F166*G166,2)</f>
        <v/>
      </c>
      <c r="I166" s="314" t="n"/>
      <c r="J166" s="313" t="n"/>
    </row>
    <row r="167" ht="25.9" customHeight="1" s="248">
      <c r="A167" s="300" t="n">
        <v>152</v>
      </c>
      <c r="B167" s="344" t="n"/>
      <c r="C167" s="287" t="inlineStr">
        <is>
          <t>Прайс из СД ОП</t>
        </is>
      </c>
      <c r="D167" s="288" t="inlineStr">
        <is>
          <t xml:space="preserve">Комплект автоматики ТПА-КС по бланк-заказу №9932186 </t>
        </is>
      </c>
      <c r="E167" s="374" t="inlineStr">
        <is>
          <t>к-т</t>
        </is>
      </c>
      <c r="F167" s="374" t="n">
        <v>1</v>
      </c>
      <c r="G167" s="310" t="n">
        <v>16921.65</v>
      </c>
      <c r="H167" s="302">
        <f>ROUND(F167*G167,2)</f>
        <v/>
      </c>
      <c r="I167" s="314" t="n"/>
    </row>
    <row r="168" ht="25.9" customHeight="1" s="248">
      <c r="A168" s="300" t="n">
        <v>153</v>
      </c>
      <c r="B168" s="344" t="n"/>
      <c r="C168" s="287" t="inlineStr">
        <is>
          <t>Прайс из СД ОП</t>
        </is>
      </c>
      <c r="D168" s="288" t="inlineStr">
        <is>
          <t>Светодиодный светильник накладной, 35 Bm, 220 В,  IP20, УХЛ4 OPL/S ECO LED 1200 4000K</t>
        </is>
      </c>
      <c r="E168" s="374" t="inlineStr">
        <is>
          <t>шт.</t>
        </is>
      </c>
      <c r="F168" s="374" t="n">
        <v>11</v>
      </c>
      <c r="G168" s="310" t="n">
        <v>1461.67</v>
      </c>
      <c r="H168" s="302">
        <f>ROUND(F168*G168,2)</f>
        <v/>
      </c>
      <c r="I168" s="314" t="n"/>
      <c r="J168" s="313" t="n"/>
    </row>
    <row r="169">
      <c r="A169" s="300" t="n">
        <v>154</v>
      </c>
      <c r="B169" s="344" t="n"/>
      <c r="C169" s="287" t="inlineStr">
        <is>
          <t>Прайс из СД ОП</t>
        </is>
      </c>
      <c r="D169" s="288" t="inlineStr">
        <is>
          <t xml:space="preserve">Вентилятор ВРАН6-071-ДУ400-Н-00750/04-У1-1-П0-0 </t>
        </is>
      </c>
      <c r="E169" s="374" t="inlineStr">
        <is>
          <t>шт.</t>
        </is>
      </c>
      <c r="F169" s="374" t="n">
        <v>1</v>
      </c>
      <c r="G169" s="310" t="n">
        <v>13943.25</v>
      </c>
      <c r="H169" s="302">
        <f>ROUND(F169*G169,2)</f>
        <v/>
      </c>
      <c r="I169" s="314" t="n"/>
    </row>
    <row r="170">
      <c r="A170" s="300" t="n">
        <v>155</v>
      </c>
      <c r="B170" s="344" t="n"/>
      <c r="C170" s="287" t="inlineStr">
        <is>
          <t>Прайс из СД ОП</t>
        </is>
      </c>
      <c r="D170" s="288" t="inlineStr">
        <is>
          <t>Таль ручная червячная передвижная 1тн, Hп-6м</t>
        </is>
      </c>
      <c r="E170" s="374" t="inlineStr">
        <is>
          <t>шт</t>
        </is>
      </c>
      <c r="F170" s="374" t="n">
        <v>2</v>
      </c>
      <c r="G170" s="310" t="n">
        <v>6655.12</v>
      </c>
      <c r="H170" s="302">
        <f>ROUND(F170*G170,2)</f>
        <v/>
      </c>
      <c r="I170" s="314" t="n"/>
      <c r="J170" s="313" t="n"/>
    </row>
    <row r="171" ht="25.9" customHeight="1" s="248">
      <c r="A171" s="300" t="n">
        <v>156</v>
      </c>
      <c r="B171" s="344" t="n"/>
      <c r="C171" s="287" t="inlineStr">
        <is>
          <t>Прайс из СД ОП</t>
        </is>
      </c>
      <c r="D171" s="288" t="inlineStr">
        <is>
          <t xml:space="preserve">Комплект автоматики ТПА-КС по бланк-заказу №ПС-9930599 </t>
        </is>
      </c>
      <c r="E171" s="374" t="inlineStr">
        <is>
          <t>к-т</t>
        </is>
      </c>
      <c r="F171" s="374" t="n">
        <v>1</v>
      </c>
      <c r="G171" s="310" t="n">
        <v>12060.83</v>
      </c>
      <c r="H171" s="302">
        <f>ROUND(F171*G171,2)</f>
        <v/>
      </c>
      <c r="I171" s="314" t="n"/>
      <c r="J171" s="313" t="n"/>
    </row>
    <row r="172" ht="25.9" customHeight="1" s="248">
      <c r="A172" s="300" t="n">
        <v>157</v>
      </c>
      <c r="B172" s="344" t="n"/>
      <c r="C172" s="287" t="inlineStr">
        <is>
          <t>Прайс из СД ОП</t>
        </is>
      </c>
      <c r="D172" s="288" t="inlineStr">
        <is>
          <t xml:space="preserve">Комплект автоматики ТПА-КС по бланк-заказу №В-9937798 </t>
        </is>
      </c>
      <c r="E172" s="374" t="inlineStr">
        <is>
          <t>к-т</t>
        </is>
      </c>
      <c r="F172" s="374" t="n">
        <v>1</v>
      </c>
      <c r="G172" s="310" t="n">
        <v>9855.85</v>
      </c>
      <c r="H172" s="302">
        <f>ROUND(F172*G172,2)</f>
        <v/>
      </c>
      <c r="I172" s="314" t="n"/>
    </row>
    <row r="173" ht="25.9" customHeight="1" s="248">
      <c r="A173" s="300" t="n">
        <v>158</v>
      </c>
      <c r="B173" s="344" t="n"/>
      <c r="C173" s="287" t="inlineStr">
        <is>
          <t>Прайс из СД ОП</t>
        </is>
      </c>
      <c r="D173" s="288" t="inlineStr">
        <is>
          <t xml:space="preserve">Комплект автоматики ТПА-КС по бланк-заказу №В-9937799 </t>
        </is>
      </c>
      <c r="E173" s="374" t="inlineStr">
        <is>
          <t>к-т</t>
        </is>
      </c>
      <c r="F173" s="374" t="n">
        <v>1</v>
      </c>
      <c r="G173" s="310" t="n">
        <v>9143.040000000001</v>
      </c>
      <c r="H173" s="302">
        <f>ROUND(F173*G173,2)</f>
        <v/>
      </c>
      <c r="I173" s="314" t="n"/>
      <c r="J173" s="313" t="n"/>
    </row>
    <row r="174" ht="25.9" customHeight="1" s="248">
      <c r="A174" s="300" t="n">
        <v>159</v>
      </c>
      <c r="B174" s="344" t="n"/>
      <c r="C174" s="287" t="inlineStr">
        <is>
          <t>Прайс из СД ОП</t>
        </is>
      </c>
      <c r="D174" s="288" t="inlineStr">
        <is>
          <t xml:space="preserve">Комплект автоматики ТПА-КС по бланк-заказу №В-9937801 </t>
        </is>
      </c>
      <c r="E174" s="374" t="inlineStr">
        <is>
          <t>к-т</t>
        </is>
      </c>
      <c r="F174" s="374" t="n">
        <v>1</v>
      </c>
      <c r="G174" s="310" t="n">
        <v>9143.040000000001</v>
      </c>
      <c r="H174" s="302">
        <f>ROUND(F174*G174,2)</f>
        <v/>
      </c>
      <c r="I174" s="314" t="n"/>
    </row>
    <row r="175" ht="25.9" customHeight="1" s="248">
      <c r="A175" s="300" t="n">
        <v>160</v>
      </c>
      <c r="B175" s="344" t="n"/>
      <c r="C175" s="287" t="inlineStr">
        <is>
          <t>Прайс из СД ОП</t>
        </is>
      </c>
      <c r="D175" s="288" t="inlineStr">
        <is>
          <t xml:space="preserve">Комплект автоматики ТПА-КС по бланк-заказу №КС-9930502 </t>
        </is>
      </c>
      <c r="E175" s="374" t="inlineStr">
        <is>
          <t>к-т</t>
        </is>
      </c>
      <c r="F175" s="374" t="n">
        <v>1</v>
      </c>
      <c r="G175" s="310" t="n">
        <v>9143.040000000001</v>
      </c>
      <c r="H175" s="302">
        <f>ROUND(F175*G175,2)</f>
        <v/>
      </c>
      <c r="I175" s="314" t="n"/>
      <c r="J175" s="313" t="n"/>
    </row>
    <row r="176" ht="25.9" customHeight="1" s="248">
      <c r="A176" s="300" t="n">
        <v>161</v>
      </c>
      <c r="B176" s="344" t="n"/>
      <c r="C176" s="287" t="inlineStr">
        <is>
          <t>Прайс из СД ОП</t>
        </is>
      </c>
      <c r="D176" s="288" t="inlineStr">
        <is>
          <t>Комплект автоматики ТПА-КС по бланк-заказу №КС-9930503</t>
        </is>
      </c>
      <c r="E176" s="374" t="inlineStr">
        <is>
          <t>к-т</t>
        </is>
      </c>
      <c r="F176" s="374" t="n">
        <v>1</v>
      </c>
      <c r="G176" s="310" t="n">
        <v>9143.040000000001</v>
      </c>
      <c r="H176" s="302">
        <f>ROUND(F176*G176,2)</f>
        <v/>
      </c>
      <c r="I176" s="314" t="n"/>
    </row>
    <row r="177" ht="25.9" customHeight="1" s="248">
      <c r="A177" s="300" t="n">
        <v>162</v>
      </c>
      <c r="B177" s="344" t="n"/>
      <c r="C177" s="287" t="inlineStr">
        <is>
          <t>Прайс из СД ОП</t>
        </is>
      </c>
      <c r="D177" s="288" t="inlineStr">
        <is>
          <t xml:space="preserve">Комплект автоматики ТПА-КС по бланк-заказу №КС-9930504 </t>
        </is>
      </c>
      <c r="E177" s="374" t="inlineStr">
        <is>
          <t>к-т</t>
        </is>
      </c>
      <c r="F177" s="374" t="n">
        <v>1</v>
      </c>
      <c r="G177" s="310" t="n">
        <v>9143.040000000001</v>
      </c>
      <c r="H177" s="302">
        <f>ROUND(F177*G177,2)</f>
        <v/>
      </c>
      <c r="I177" s="314" t="n"/>
      <c r="J177" s="313" t="n"/>
    </row>
    <row r="178" ht="64.5" customHeight="1" s="248">
      <c r="A178" s="300" t="n">
        <v>163</v>
      </c>
      <c r="B178" s="344" t="n"/>
      <c r="C178" s="287" t="inlineStr">
        <is>
          <t>Прайс из СД ОП</t>
        </is>
      </c>
      <c r="D178" s="288" t="inlineStr">
        <is>
          <t>Приточная установка в комплекте  (Клапан ГЕРМИК-С-350х350-Н-1*LF230-S-1-УХЛ2-1 шт.; Фильтр Канал-ФКК-315-1 шт., Воздухонагреватель Канал ЭКВ-К-315-12-1 шт.; Вентилятор Канал-ВЕНТ-315-1 шт.; Шумоглушитель Канал-ГКК-315-900-1 шт.)</t>
        </is>
      </c>
      <c r="E178" s="374" t="inlineStr">
        <is>
          <t>шт.</t>
        </is>
      </c>
      <c r="F178" s="374" t="n">
        <v>1</v>
      </c>
      <c r="G178" s="310" t="n">
        <v>9013.74</v>
      </c>
      <c r="H178" s="302">
        <f>ROUND(F178*G178,2)</f>
        <v/>
      </c>
      <c r="I178" s="314" t="n"/>
    </row>
    <row r="179" ht="64.5" customHeight="1" s="248">
      <c r="A179" s="300" t="n">
        <v>164</v>
      </c>
      <c r="B179" s="344" t="n"/>
      <c r="C179" s="287" t="inlineStr">
        <is>
          <t>Прайс из СД ОП</t>
        </is>
      </c>
      <c r="D179" s="288" t="inlineStr">
        <is>
          <t>Приточная установка в комплекте  (Клапан ГЕРМИК-С-350х350-Н-1*LF230-S-1-УХЛ2-1 шт.; Фильтр Канал-ФКК-315-1 шт., Воздухонагреватель Канал ЭКВ-К-315-15-1 шт.; Вентилятор Канал-ВЕНТ-315-1 шт.; Шумоглушитель Канал-ГКК-315-900-1 шт.)</t>
        </is>
      </c>
      <c r="E179" s="374" t="inlineStr">
        <is>
          <t>шт.</t>
        </is>
      </c>
      <c r="F179" s="374" t="n">
        <v>1</v>
      </c>
      <c r="G179" s="310" t="n">
        <v>9013.74</v>
      </c>
      <c r="H179" s="302">
        <f>ROUND(F179*G179,2)</f>
        <v/>
      </c>
      <c r="I179" s="314" t="n"/>
      <c r="J179" s="313" t="n"/>
    </row>
    <row r="180" ht="25.9" customHeight="1" s="248">
      <c r="A180" s="300" t="n">
        <v>165</v>
      </c>
      <c r="B180" s="344" t="n"/>
      <c r="C180" s="287" t="inlineStr">
        <is>
          <t>Прайс из СД ОП</t>
        </is>
      </c>
      <c r="D180" s="288" t="inlineStr">
        <is>
          <t>Светодиодный прожектор,80 Bm, 220 B, IP65 SSU-80 ХЛ1</t>
        </is>
      </c>
      <c r="E180" s="374" t="inlineStr">
        <is>
          <t>шт.</t>
        </is>
      </c>
      <c r="F180" s="374" t="n">
        <v>10</v>
      </c>
      <c r="G180" s="310" t="n">
        <v>841.52</v>
      </c>
      <c r="H180" s="302">
        <f>ROUND(F180*G180,2)</f>
        <v/>
      </c>
      <c r="I180" s="314" t="n"/>
      <c r="J180" s="313" t="n"/>
    </row>
    <row r="181">
      <c r="A181" s="300" t="n">
        <v>166</v>
      </c>
      <c r="B181" s="344" t="n"/>
      <c r="C181" s="287" t="inlineStr">
        <is>
          <t>Прайс из СД ОП</t>
        </is>
      </c>
      <c r="D181" s="288" t="inlineStr">
        <is>
          <t>Шкаф питания и обогрева выключателя ШОВ-4-УХЛ1</t>
        </is>
      </c>
      <c r="E181" s="374" t="inlineStr">
        <is>
          <t>шт.</t>
        </is>
      </c>
      <c r="F181" s="374" t="n">
        <v>2</v>
      </c>
      <c r="G181" s="310" t="n">
        <v>4032.04</v>
      </c>
      <c r="H181" s="302">
        <f>ROUND(F181*G181,2)</f>
        <v/>
      </c>
      <c r="I181" s="314" t="n"/>
    </row>
    <row r="182" ht="25.9" customHeight="1" s="248">
      <c r="A182" s="300" t="n">
        <v>167</v>
      </c>
      <c r="B182" s="344" t="n"/>
      <c r="C182" s="287" t="inlineStr">
        <is>
          <t>Прайс из СД ОП</t>
        </is>
      </c>
      <c r="D182" s="288" t="inlineStr">
        <is>
          <t xml:space="preserve">Электрорадиатор настенный, N=1.2 кВт IRIT Stacio-T 1209 </t>
        </is>
      </c>
      <c r="E182" s="374" t="inlineStr">
        <is>
          <t>шт.</t>
        </is>
      </c>
      <c r="F182" s="374" t="n">
        <v>16</v>
      </c>
      <c r="G182" s="310" t="n">
        <v>503.13</v>
      </c>
      <c r="H182" s="302">
        <f>ROUND(F182*G182,2)</f>
        <v/>
      </c>
      <c r="I182" s="314" t="n"/>
      <c r="J182" s="313" t="n"/>
    </row>
    <row r="183" ht="64.5" customHeight="1" s="248">
      <c r="A183" s="300" t="n">
        <v>168</v>
      </c>
      <c r="B183" s="344" t="n"/>
      <c r="C183" s="287" t="inlineStr">
        <is>
          <t>Прайс из СД ОП</t>
        </is>
      </c>
      <c r="D183" s="288" t="inlineStr">
        <is>
          <t xml:space="preserve">Приточная установка в комплекте  (Клапан ГЕРМИК-С-200х200-Н-1*LF230-S-1-УХЛ2-1 шт.; Фильтр Канал-ФКК-200-1 шт., Воздухонагреватель Канал ЭКВ-К-300-6-1 шт.; Вентилятор Канал-ВЕНТ-200-1 шт.; Шумоглушитель Канал-ГКК-200-900-1 шт.) </t>
        </is>
      </c>
      <c r="E183" s="374" t="inlineStr">
        <is>
          <t>шт.</t>
        </is>
      </c>
      <c r="F183" s="374" t="n">
        <v>1</v>
      </c>
      <c r="G183" s="310" t="n">
        <v>6813.32</v>
      </c>
      <c r="H183" s="302">
        <f>ROUND(F183*G183,2)</f>
        <v/>
      </c>
      <c r="I183" s="314" t="n"/>
    </row>
    <row r="184" ht="25.9" customHeight="1" s="248">
      <c r="A184" s="300" t="n">
        <v>169</v>
      </c>
      <c r="B184" s="344" t="n"/>
      <c r="C184" s="287" t="inlineStr">
        <is>
          <t>Прайс из СД ОП</t>
        </is>
      </c>
      <c r="D184" s="288" t="inlineStr">
        <is>
          <t xml:space="preserve">Комплект автоматики ТПА-КС по бланк-заказу №9932187 </t>
        </is>
      </c>
      <c r="E184" s="374" t="inlineStr">
        <is>
          <t>к-т</t>
        </is>
      </c>
      <c r="F184" s="374" t="n">
        <v>1</v>
      </c>
      <c r="G184" s="310" t="n">
        <v>6716.42</v>
      </c>
      <c r="H184" s="302">
        <f>ROUND(F184*G184,2)</f>
        <v/>
      </c>
      <c r="I184" s="314" t="n"/>
      <c r="J184" s="313" t="n"/>
    </row>
    <row r="185" ht="51.6" customHeight="1" s="248">
      <c r="A185" s="300" t="n">
        <v>170</v>
      </c>
      <c r="B185" s="344" t="n"/>
      <c r="C185" s="287" t="inlineStr">
        <is>
          <t>69.1.02.01-0001</t>
        </is>
      </c>
      <c r="D185" s="288" t="inlineStr">
        <is>
          <t>Задвижки клиновые с выдвижным шпинделем фланцевые для воды, пара и нефтепродуктов, давление 1,6 МПа (16 кгс/см2) типа 30с941нж с электроприводом, диаметр 50 мм</t>
        </is>
      </c>
      <c r="E185" s="374" t="inlineStr">
        <is>
          <t>шт</t>
        </is>
      </c>
      <c r="F185" s="374" t="n">
        <v>1</v>
      </c>
      <c r="G185" s="310" t="n">
        <v>6366.42</v>
      </c>
      <c r="H185" s="302">
        <f>ROUND(F185*G185,2)</f>
        <v/>
      </c>
      <c r="I185" s="314" t="n"/>
    </row>
    <row r="186" ht="25.9" customHeight="1" s="248">
      <c r="A186" s="300" t="n">
        <v>171</v>
      </c>
      <c r="B186" s="344" t="n"/>
      <c r="C186" s="287" t="inlineStr">
        <is>
          <t>Прайс из СД ОП</t>
        </is>
      </c>
      <c r="D186" s="288" t="inlineStr">
        <is>
          <t>Светодиодный светильник встраиваемый, 17 Bm, 220 В,  IP20, УХЛ4 OPL/R ECO LED 300 4000K</t>
        </is>
      </c>
      <c r="E186" s="374" t="inlineStr">
        <is>
          <t>шт.</t>
        </is>
      </c>
      <c r="F186" s="374" t="n">
        <v>6</v>
      </c>
      <c r="G186" s="310" t="n">
        <v>929.63</v>
      </c>
      <c r="H186" s="302">
        <f>ROUND(F186*G186,2)</f>
        <v/>
      </c>
      <c r="I186" s="314" t="n"/>
      <c r="J186" s="313" t="n"/>
    </row>
    <row r="187">
      <c r="A187" s="300" t="n">
        <v>172</v>
      </c>
      <c r="B187" s="344" t="n"/>
      <c r="C187" s="287" t="inlineStr">
        <is>
          <t>Прайс из СД ОП</t>
        </is>
      </c>
      <c r="D187" s="288" t="inlineStr">
        <is>
          <t>Регулятор оборотов Propeller-01-500</t>
        </is>
      </c>
      <c r="E187" s="374" t="inlineStr">
        <is>
          <t>шт.</t>
        </is>
      </c>
      <c r="F187" s="374" t="n">
        <v>7</v>
      </c>
      <c r="G187" s="310" t="n">
        <v>635.59</v>
      </c>
      <c r="H187" s="302">
        <f>ROUND(F187*G187,2)</f>
        <v/>
      </c>
      <c r="I187" s="314" t="n"/>
    </row>
    <row r="188" ht="25.9" customHeight="1" s="248">
      <c r="A188" s="300" t="n">
        <v>173</v>
      </c>
      <c r="B188" s="344" t="n"/>
      <c r="C188" s="287" t="inlineStr">
        <is>
          <t>Прайс из СД ОП</t>
        </is>
      </c>
      <c r="D188" s="288" t="inlineStr">
        <is>
          <t>Ящик с понижающим разделительным трансформатором ЯТПР-0,250/220/12</t>
        </is>
      </c>
      <c r="E188" s="374" t="inlineStr">
        <is>
          <t>шт.</t>
        </is>
      </c>
      <c r="F188" s="374" t="n">
        <v>8</v>
      </c>
      <c r="G188" s="310" t="n">
        <v>534.61</v>
      </c>
      <c r="H188" s="302">
        <f>ROUND(F188*G188,2)</f>
        <v/>
      </c>
      <c r="I188" s="314" t="n"/>
      <c r="J188" s="313" t="n"/>
    </row>
    <row r="189" ht="25.9" customHeight="1" s="248">
      <c r="A189" s="300" t="n">
        <v>174</v>
      </c>
      <c r="B189" s="344" t="n"/>
      <c r="C189" s="287" t="inlineStr">
        <is>
          <t>Прайс из СД ОП</t>
        </is>
      </c>
      <c r="D189" s="288" t="inlineStr">
        <is>
          <t>Светодиодный светильник накладной, 17 Bm, 220 В,  IP20, УХЛ4 OPL/S ECO LED 300 4000K</t>
        </is>
      </c>
      <c r="E189" s="374" t="inlineStr">
        <is>
          <t>шт.</t>
        </is>
      </c>
      <c r="F189" s="374" t="n">
        <v>5</v>
      </c>
      <c r="G189" s="310" t="n">
        <v>829.84</v>
      </c>
      <c r="H189" s="302">
        <f>ROUND(F189*G189,2)</f>
        <v/>
      </c>
      <c r="I189" s="314" t="n"/>
    </row>
    <row r="190">
      <c r="A190" s="300" t="n">
        <v>175</v>
      </c>
      <c r="B190" s="344" t="n"/>
      <c r="C190" s="287" t="inlineStr">
        <is>
          <t>Прайс из СД ОП</t>
        </is>
      </c>
      <c r="D190" s="288" t="inlineStr">
        <is>
          <t>Коробка соединительная в сборе</t>
        </is>
      </c>
      <c r="E190" s="374" t="inlineStr">
        <is>
          <t>шт.</t>
        </is>
      </c>
      <c r="F190" s="374" t="n">
        <v>4</v>
      </c>
      <c r="G190" s="310" t="n">
        <v>900.92</v>
      </c>
      <c r="H190" s="302">
        <f>ROUND(F190*G190,2)</f>
        <v/>
      </c>
      <c r="I190" s="314" t="n"/>
      <c r="J190" s="313" t="n"/>
    </row>
    <row r="191" ht="25.9" customHeight="1" s="248">
      <c r="A191" s="300" t="n">
        <v>176</v>
      </c>
      <c r="B191" s="344" t="n"/>
      <c r="C191" s="287" t="inlineStr">
        <is>
          <t>Прайс из СД ОП</t>
        </is>
      </c>
      <c r="D191" s="288" t="inlineStr">
        <is>
          <t xml:space="preserve">Электрорадиатор настенный, N=0.6 кВт IRIT Stacio-T 0606 </t>
        </is>
      </c>
      <c r="E191" s="374" t="inlineStr">
        <is>
          <t>шт.</t>
        </is>
      </c>
      <c r="F191" s="374" t="n">
        <v>7</v>
      </c>
      <c r="G191" s="310" t="n">
        <v>492.83</v>
      </c>
      <c r="H191" s="302">
        <f>ROUND(F191*G191,2)</f>
        <v/>
      </c>
      <c r="I191" s="314" t="n"/>
    </row>
    <row r="192" ht="25.9" customHeight="1" s="248">
      <c r="A192" s="300" t="n">
        <v>177</v>
      </c>
      <c r="B192" s="344" t="n"/>
      <c r="C192" s="287" t="inlineStr">
        <is>
          <t>Прайс из СД ОП</t>
        </is>
      </c>
      <c r="D192" s="288" t="inlineStr">
        <is>
          <t>Ящик управления освещением   ЯУО-9601-3474-У4 IP54</t>
        </is>
      </c>
      <c r="E192" s="374" t="inlineStr">
        <is>
          <t>шт.</t>
        </is>
      </c>
      <c r="F192" s="374" t="n">
        <v>1</v>
      </c>
      <c r="G192" s="310" t="n">
        <v>3444.68</v>
      </c>
      <c r="H192" s="302">
        <f>ROUND(F192*G192,2)</f>
        <v/>
      </c>
      <c r="I192" s="314" t="n"/>
      <c r="J192" s="313" t="n"/>
    </row>
    <row r="193" ht="25.9" customHeight="1" s="248">
      <c r="A193" s="300" t="n">
        <v>178</v>
      </c>
      <c r="B193" s="344" t="n"/>
      <c r="C193" s="287" t="inlineStr">
        <is>
          <t>Прайс из СД ОП</t>
        </is>
      </c>
      <c r="D193" s="288" t="inlineStr">
        <is>
          <t>Светодиодный светильник встраиваемый, 18 Bm, 220 В,  IP54, УХЛ4 ACQUA S18</t>
        </is>
      </c>
      <c r="E193" s="374" t="inlineStr">
        <is>
          <t>шт.</t>
        </is>
      </c>
      <c r="F193" s="374" t="n">
        <v>2</v>
      </c>
      <c r="G193" s="310" t="n">
        <v>1446.62</v>
      </c>
      <c r="H193" s="302">
        <f>ROUND(F193*G193,2)</f>
        <v/>
      </c>
      <c r="I193" s="314" t="n"/>
    </row>
    <row r="194">
      <c r="A194" s="300" t="n">
        <v>179</v>
      </c>
      <c r="B194" s="344" t="n"/>
      <c r="C194" s="287" t="inlineStr">
        <is>
          <t>Прайс из СД ОП</t>
        </is>
      </c>
      <c r="D194" s="288" t="inlineStr">
        <is>
          <t xml:space="preserve">Вентилятор Канал-ВЕНТ-160 </t>
        </is>
      </c>
      <c r="E194" s="374" t="inlineStr">
        <is>
          <t>шт.</t>
        </is>
      </c>
      <c r="F194" s="374" t="n">
        <v>2</v>
      </c>
      <c r="G194" s="310" t="n">
        <v>1154.76</v>
      </c>
      <c r="H194" s="302">
        <f>ROUND(F194*G194,2)</f>
        <v/>
      </c>
      <c r="I194" s="314" t="n"/>
      <c r="J194" s="313" t="n"/>
    </row>
    <row r="195" ht="25.9" customHeight="1" s="248">
      <c r="A195" s="300" t="n">
        <v>180</v>
      </c>
      <c r="B195" s="344" t="n"/>
      <c r="C195" s="287" t="inlineStr">
        <is>
          <t>Прайс из СД ОП</t>
        </is>
      </c>
      <c r="D195" s="288" t="inlineStr">
        <is>
          <t>Светодиодный светильник встраиваемый, 20 Bm, 220 В,  IP20, УХЛ4 SAFARI DL LED 20 4000K</t>
        </is>
      </c>
      <c r="E195" s="374" t="inlineStr">
        <is>
          <t>шт.</t>
        </is>
      </c>
      <c r="F195" s="374" t="n">
        <v>3</v>
      </c>
      <c r="G195" s="310" t="n">
        <v>769.64</v>
      </c>
      <c r="H195" s="302">
        <f>ROUND(F195*G195,2)</f>
        <v/>
      </c>
      <c r="I195" s="314" t="n"/>
    </row>
    <row r="196">
      <c r="A196" s="300" t="n">
        <v>181</v>
      </c>
      <c r="B196" s="344" t="n"/>
      <c r="C196" s="287" t="inlineStr">
        <is>
          <t>Прайс из СД ОП</t>
        </is>
      </c>
      <c r="D196" s="288" t="inlineStr">
        <is>
          <t xml:space="preserve">Вентилятор Канал-ВЕНТ-315 </t>
        </is>
      </c>
      <c r="E196" s="374" t="inlineStr">
        <is>
          <t>шт.</t>
        </is>
      </c>
      <c r="F196" s="374" t="n">
        <v>1</v>
      </c>
      <c r="G196" s="310" t="n">
        <v>2035.09</v>
      </c>
      <c r="H196" s="302">
        <f>ROUND(F196*G196,2)</f>
        <v/>
      </c>
      <c r="I196" s="314" t="n"/>
      <c r="J196" s="313" t="n"/>
    </row>
    <row r="197" ht="38.85" customHeight="1" s="248">
      <c r="A197" s="300" t="n">
        <v>182</v>
      </c>
      <c r="B197" s="344" t="n"/>
      <c r="C197" s="287" t="inlineStr">
        <is>
          <t>63.1.01.03-0010</t>
        </is>
      </c>
      <c r="D197" s="288" t="inlineStr">
        <is>
          <t>Водонагреватели электрические емкостные с терморегулятором и системой защитной автоматики, мощность 6 кВт, объем бака 200 л</t>
        </is>
      </c>
      <c r="E197" s="374" t="inlineStr">
        <is>
          <t>компл</t>
        </is>
      </c>
      <c r="F197" s="374" t="n">
        <v>1</v>
      </c>
      <c r="G197" s="310" t="n">
        <v>1815.54</v>
      </c>
      <c r="H197" s="302">
        <f>ROUND(F197*G197,2)</f>
        <v/>
      </c>
      <c r="I197" s="314" t="n"/>
    </row>
    <row r="198" ht="25.9" customHeight="1" s="248">
      <c r="A198" s="300" t="n">
        <v>183</v>
      </c>
      <c r="B198" s="344" t="n"/>
      <c r="C198" s="287" t="inlineStr">
        <is>
          <t>Прайс из СД ОП</t>
        </is>
      </c>
      <c r="D198" s="288" t="inlineStr">
        <is>
          <t>Светодиодный светильник накладной, 35 Bm, 220 В,  IP20, УХЛ4 OPL/S ECO LED 595 4000K</t>
        </is>
      </c>
      <c r="E198" s="374" t="inlineStr">
        <is>
          <t>шт.</t>
        </is>
      </c>
      <c r="F198" s="374" t="n">
        <v>1</v>
      </c>
      <c r="G198" s="310" t="n">
        <v>1430.38</v>
      </c>
      <c r="H198" s="302">
        <f>ROUND(F198*G198,2)</f>
        <v/>
      </c>
      <c r="I198" s="314" t="n"/>
      <c r="J198" s="313" t="n"/>
    </row>
    <row r="199">
      <c r="A199" s="300" t="n">
        <v>184</v>
      </c>
      <c r="B199" s="344" t="n"/>
      <c r="C199" s="287" t="inlineStr">
        <is>
          <t>Прайс из СД ОП</t>
        </is>
      </c>
      <c r="D199" s="288" t="inlineStr">
        <is>
          <t>Датчик осадков TSP02-20,0</t>
        </is>
      </c>
      <c r="E199" s="374" t="inlineStr">
        <is>
          <t>шт.</t>
        </is>
      </c>
      <c r="F199" s="374" t="n">
        <v>1</v>
      </c>
      <c r="G199" s="310" t="n">
        <v>1392.56</v>
      </c>
      <c r="H199" s="302">
        <f>ROUND(F199*G199,2)</f>
        <v/>
      </c>
      <c r="I199" s="314" t="n"/>
      <c r="J199" s="313" t="n"/>
    </row>
    <row r="200">
      <c r="A200" s="300" t="n">
        <v>185</v>
      </c>
      <c r="B200" s="344" t="n"/>
      <c r="C200" s="287" t="inlineStr">
        <is>
          <t>Прайс из СД ОП</t>
        </is>
      </c>
      <c r="D200" s="288" t="inlineStr">
        <is>
          <t xml:space="preserve">Вентилятор Канал-ВЕНТ-125 </t>
        </is>
      </c>
      <c r="E200" s="374" t="inlineStr">
        <is>
          <t>шт.</t>
        </is>
      </c>
      <c r="F200" s="374" t="n">
        <v>2</v>
      </c>
      <c r="G200" s="310" t="n">
        <v>595.47</v>
      </c>
      <c r="H200" s="302">
        <f>ROUND(F200*G200,2)</f>
        <v/>
      </c>
      <c r="I200" s="314" t="n"/>
    </row>
    <row r="201">
      <c r="A201" s="300" t="n">
        <v>186</v>
      </c>
      <c r="B201" s="344" t="n"/>
      <c r="C201" s="287" t="inlineStr">
        <is>
          <t>Прайс из СД ОП</t>
        </is>
      </c>
      <c r="D201" s="288" t="inlineStr">
        <is>
          <t>Вентилятор Канал-ВЕНТ-100</t>
        </is>
      </c>
      <c r="E201" s="374" t="inlineStr">
        <is>
          <t>шт.</t>
        </is>
      </c>
      <c r="F201" s="374" t="n">
        <v>2</v>
      </c>
      <c r="G201" s="310" t="n">
        <v>594.17</v>
      </c>
      <c r="H201" s="302">
        <f>ROUND(F201*G201,2)</f>
        <v/>
      </c>
      <c r="I201" s="314" t="n"/>
      <c r="J201" s="313" t="n"/>
    </row>
    <row r="202" ht="25.9" customHeight="1" s="248">
      <c r="A202" s="300" t="n">
        <v>187</v>
      </c>
      <c r="B202" s="344" t="n"/>
      <c r="C202" s="287" t="inlineStr">
        <is>
          <t>Прайс из СД ОП</t>
        </is>
      </c>
      <c r="D202" s="288" t="inlineStr">
        <is>
          <t>Светодиодный светильник встраиваемый, 10 Bm, 220 В,  IP20, УХЛ4 SAFARI DL LED 10 4000K</t>
        </is>
      </c>
      <c r="E202" s="374" t="inlineStr">
        <is>
          <t>шт.</t>
        </is>
      </c>
      <c r="F202" s="374" t="n">
        <v>2</v>
      </c>
      <c r="G202" s="310" t="n">
        <v>585.1</v>
      </c>
      <c r="H202" s="302">
        <f>ROUND(F202*G202,2)</f>
        <v/>
      </c>
      <c r="I202" s="314" t="n"/>
    </row>
    <row r="203">
      <c r="A203" s="300" t="n">
        <v>188</v>
      </c>
      <c r="B203" s="344" t="n"/>
      <c r="C203" s="287" t="inlineStr">
        <is>
          <t>Прайс из СД ОП</t>
        </is>
      </c>
      <c r="D203" s="288" t="inlineStr">
        <is>
          <t>Вентилятор Канал-ВЕНТ-160</t>
        </is>
      </c>
      <c r="E203" s="374" t="inlineStr">
        <is>
          <t>шт.</t>
        </is>
      </c>
      <c r="F203" s="374" t="n">
        <v>1</v>
      </c>
      <c r="G203" s="310" t="n">
        <v>1154.76</v>
      </c>
      <c r="H203" s="302">
        <f>ROUND(F203*G203,2)</f>
        <v/>
      </c>
      <c r="I203" s="314" t="n"/>
      <c r="J203" s="313" t="n"/>
    </row>
    <row r="204">
      <c r="A204" s="300" t="n">
        <v>189</v>
      </c>
      <c r="B204" s="344" t="n"/>
      <c r="C204" s="287" t="inlineStr">
        <is>
          <t>62.1.02.14-0069</t>
        </is>
      </c>
      <c r="D204" s="288" t="inlineStr">
        <is>
          <t>Ящики управления, тип: Я 5410 1874-3074 УХЛ4</t>
        </is>
      </c>
      <c r="E204" s="374" t="inlineStr">
        <is>
          <t>шт</t>
        </is>
      </c>
      <c r="F204" s="374" t="n">
        <v>1</v>
      </c>
      <c r="G204" s="310" t="n">
        <v>1097.28</v>
      </c>
      <c r="H204" s="302">
        <f>ROUND(F204*G204,2)</f>
        <v/>
      </c>
      <c r="I204" s="314" t="n"/>
    </row>
    <row r="205" ht="25.9" customHeight="1" s="248">
      <c r="A205" s="300" t="n">
        <v>190</v>
      </c>
      <c r="B205" s="344" t="n"/>
      <c r="C205" s="287" t="inlineStr">
        <is>
          <t>62.1.02.22-0044</t>
        </is>
      </c>
      <c r="D205" s="288" t="inlineStr">
        <is>
          <t>Ящики силовые с блоком «предохранитель-выключатель» серии ЯБПВ, типа: ЯБПВУ-1 на 100А</t>
        </is>
      </c>
      <c r="E205" s="374" t="inlineStr">
        <is>
          <t>шт</t>
        </is>
      </c>
      <c r="F205" s="374" t="n">
        <v>3</v>
      </c>
      <c r="G205" s="310" t="n">
        <v>351.1</v>
      </c>
      <c r="H205" s="302">
        <f>ROUND(F205*G205,2)</f>
        <v/>
      </c>
      <c r="I205" s="314" t="n"/>
      <c r="J205" s="313" t="n"/>
    </row>
    <row r="206">
      <c r="A206" s="300" t="n">
        <v>191</v>
      </c>
      <c r="B206" s="344" t="n"/>
      <c r="C206" s="287" t="inlineStr">
        <is>
          <t>Прайс из СД ОП</t>
        </is>
      </c>
      <c r="D206" s="288" t="inlineStr">
        <is>
          <t xml:space="preserve">Центробежный вентилятор Compact-100 </t>
        </is>
      </c>
      <c r="E206" s="374" t="inlineStr">
        <is>
          <t>шт.</t>
        </is>
      </c>
      <c r="F206" s="374" t="n">
        <v>1</v>
      </c>
      <c r="G206" s="310" t="n">
        <v>1044.87</v>
      </c>
      <c r="H206" s="302">
        <f>ROUND(F206*G206,2)</f>
        <v/>
      </c>
      <c r="I206" s="314" t="n"/>
    </row>
    <row r="207" ht="25.9" customHeight="1" s="248">
      <c r="A207" s="300" t="n">
        <v>192</v>
      </c>
      <c r="B207" s="344" t="n"/>
      <c r="C207" s="287" t="inlineStr">
        <is>
          <t>Прайс из СД ОП</t>
        </is>
      </c>
      <c r="D207" s="288" t="inlineStr">
        <is>
          <t xml:space="preserve">Автоматический выключатель трехполюсный, OptiDin BM125-3С125  </t>
        </is>
      </c>
      <c r="E207" s="374" t="inlineStr">
        <is>
          <t>шт.</t>
        </is>
      </c>
      <c r="F207" s="374" t="n">
        <v>1</v>
      </c>
      <c r="G207" s="310" t="n">
        <v>970.22</v>
      </c>
      <c r="H207" s="302">
        <f>ROUND(F207*G207,2)</f>
        <v/>
      </c>
      <c r="I207" s="314" t="n"/>
      <c r="J207" s="313" t="n"/>
    </row>
    <row r="208">
      <c r="A208" s="300" t="n">
        <v>193</v>
      </c>
      <c r="B208" s="344" t="n"/>
      <c r="C208" s="287" t="inlineStr">
        <is>
          <t>Прайс из СД ОП</t>
        </is>
      </c>
      <c r="D208" s="288" t="inlineStr">
        <is>
          <t>Регулятор оборотов Propeller-01-500</t>
        </is>
      </c>
      <c r="E208" s="374" t="inlineStr">
        <is>
          <t>шт.</t>
        </is>
      </c>
      <c r="F208" s="374" t="n">
        <v>1</v>
      </c>
      <c r="G208" s="310" t="n">
        <v>635.59</v>
      </c>
      <c r="H208" s="302">
        <f>ROUND(F208*G208,2)</f>
        <v/>
      </c>
      <c r="I208" s="314" t="n"/>
      <c r="J208" s="313" t="n"/>
    </row>
    <row r="209">
      <c r="A209" s="300" t="n">
        <v>194</v>
      </c>
      <c r="B209" s="344" t="n"/>
      <c r="C209" s="287" t="inlineStr">
        <is>
          <t>Прайс из СД ОП</t>
        </is>
      </c>
      <c r="D209" s="288" t="inlineStr">
        <is>
          <t xml:space="preserve">Датчик воды TSW01-25,0  </t>
        </is>
      </c>
      <c r="E209" s="374" t="inlineStr">
        <is>
          <t>шт.</t>
        </is>
      </c>
      <c r="F209" s="374" t="n">
        <v>1</v>
      </c>
      <c r="G209" s="310" t="n">
        <v>587.14</v>
      </c>
      <c r="H209" s="302">
        <f>ROUND(F209*G209,2)</f>
        <v/>
      </c>
      <c r="I209" s="314" t="n"/>
    </row>
    <row r="210" ht="25.9" customHeight="1" s="248">
      <c r="A210" s="300" t="n">
        <v>195</v>
      </c>
      <c r="B210" s="344" t="n"/>
      <c r="C210" s="287" t="inlineStr">
        <is>
          <t>61.2.04.01-0002</t>
        </is>
      </c>
      <c r="D210" s="288" t="inlineStr">
        <is>
          <t>Арматура светосигнальная АМЕ с лампой накаливания КМ-24В</t>
        </is>
      </c>
      <c r="E210" s="374" t="inlineStr">
        <is>
          <t>10 шт</t>
        </is>
      </c>
      <c r="F210" s="374" t="n">
        <v>2</v>
      </c>
      <c r="G210" s="310" t="n">
        <v>194.2</v>
      </c>
      <c r="H210" s="302">
        <f>ROUND(F210*G210,2)</f>
        <v/>
      </c>
      <c r="I210" s="314" t="n"/>
      <c r="J210" s="313" t="n"/>
    </row>
    <row r="211">
      <c r="A211" s="300" t="n">
        <v>196</v>
      </c>
      <c r="B211" s="344" t="n"/>
      <c r="C211" s="287" t="inlineStr">
        <is>
          <t>65.1.04.03-0032</t>
        </is>
      </c>
      <c r="D211" s="288" t="inlineStr">
        <is>
          <t>Счетчики холодной воды ВСХ, диаметр 15 мм</t>
        </is>
      </c>
      <c r="E211" s="374" t="inlineStr">
        <is>
          <t>шт</t>
        </is>
      </c>
      <c r="F211" s="374" t="n">
        <v>1</v>
      </c>
      <c r="G211" s="310" t="n">
        <v>221.48</v>
      </c>
      <c r="H211" s="302">
        <f>ROUND(F211*G211,2)</f>
        <v/>
      </c>
      <c r="I211" s="314" t="n"/>
    </row>
    <row r="212">
      <c r="A212" s="300" t="n">
        <v>197</v>
      </c>
      <c r="B212" s="344" t="n"/>
      <c r="C212" s="287" t="inlineStr">
        <is>
          <t>62.2.01.04-0019</t>
        </is>
      </c>
      <c r="D212" s="288" t="inlineStr">
        <is>
          <t>Посты управления кнопочные: ПКЕ112-1 У3</t>
        </is>
      </c>
      <c r="E212" s="374" t="inlineStr">
        <is>
          <t>шт</t>
        </is>
      </c>
      <c r="F212" s="374" t="n">
        <v>10</v>
      </c>
      <c r="G212" s="310" t="n">
        <v>13.5</v>
      </c>
      <c r="H212" s="302">
        <f>ROUND(F212*G212,2)</f>
        <v/>
      </c>
      <c r="I212" s="314" t="n"/>
      <c r="J212" s="313" t="n"/>
    </row>
    <row r="213" ht="25.9" customHeight="1" s="248">
      <c r="A213" s="300" t="n">
        <v>198</v>
      </c>
      <c r="B213" s="344" t="n"/>
      <c r="C213" s="287" t="inlineStr">
        <is>
          <t>Прайс из СД ОП</t>
        </is>
      </c>
      <c r="D213" s="288" t="inlineStr">
        <is>
          <t xml:space="preserve">Автоматический выключатель трехполюсный, OptiDin BM63-3С50  </t>
        </is>
      </c>
      <c r="E213" s="374" t="inlineStr">
        <is>
          <t>шт.</t>
        </is>
      </c>
      <c r="F213" s="374" t="n">
        <v>1</v>
      </c>
      <c r="G213" s="310" t="n">
        <v>77.37</v>
      </c>
      <c r="H213" s="302">
        <f>ROUND(F213*G213,2)</f>
        <v/>
      </c>
      <c r="I213" s="314" t="n"/>
    </row>
    <row r="214">
      <c r="A214" s="300" t="n">
        <v>199</v>
      </c>
      <c r="B214" s="344" t="n"/>
      <c r="C214" s="287" t="inlineStr">
        <is>
          <t>62.2.01.01-0001</t>
        </is>
      </c>
      <c r="D214" s="288" t="inlineStr">
        <is>
          <t>Кнопки управления: КЕ-011</t>
        </is>
      </c>
      <c r="E214" s="374" t="inlineStr">
        <is>
          <t>шт</t>
        </is>
      </c>
      <c r="F214" s="374" t="n">
        <v>3</v>
      </c>
      <c r="G214" s="310" t="n">
        <v>11.09</v>
      </c>
      <c r="H214" s="302">
        <f>ROUND(F214*G214,2)</f>
        <v/>
      </c>
      <c r="I214" s="314" t="n"/>
      <c r="J214" s="313" t="n"/>
    </row>
    <row r="215">
      <c r="A215" s="345" t="inlineStr">
        <is>
          <t>Материалы</t>
        </is>
      </c>
      <c r="B215" s="419" t="n"/>
      <c r="C215" s="419" t="n"/>
      <c r="D215" s="419" t="n"/>
      <c r="E215" s="420" t="n"/>
      <c r="F215" s="345" t="n"/>
      <c r="G215" s="304" t="n"/>
      <c r="H215" s="297">
        <f>SUM(H216:H1020)</f>
        <v/>
      </c>
    </row>
    <row r="216" ht="38.25" customHeight="1" s="248">
      <c r="A216" s="300" t="n">
        <v>200</v>
      </c>
      <c r="B216" s="346" t="n"/>
      <c r="C216" s="287" t="inlineStr">
        <is>
          <t>05.1.05.10-0042</t>
        </is>
      </c>
      <c r="D216" s="288" t="inlineStr">
        <is>
          <t>Сваи железобетонные квадратного сечения сплошные, бетон B25 (М350), расход арматуры от 130,1 до 140 кг на м3 бетона, в плотном теле</t>
        </is>
      </c>
      <c r="E216" s="374" t="inlineStr">
        <is>
          <t>м3</t>
        </is>
      </c>
      <c r="F216" s="374" t="n">
        <v>463.246</v>
      </c>
      <c r="G216" s="290" t="n">
        <v>2063.57</v>
      </c>
      <c r="H216" s="302">
        <f>ROUND(F216*G216,2)</f>
        <v/>
      </c>
      <c r="I216" s="314">
        <f>H216/$H$215</f>
        <v/>
      </c>
      <c r="J216" s="291" t="n">
        <v>0.841</v>
      </c>
      <c r="K216" s="308" t="n"/>
    </row>
    <row r="217" ht="38.25" customHeight="1" s="248">
      <c r="A217" s="300" t="n">
        <v>201</v>
      </c>
      <c r="B217" s="344" t="n"/>
      <c r="C217" s="287" t="inlineStr">
        <is>
          <t>07.2.07.12-0026</t>
        </is>
      </c>
      <c r="D217" s="288" t="inlineStr">
        <is>
          <t>Отдельные конструктивные элементы зданий и сооружений с преобладанием толстолистовой стали, средняя масса сборочной единицы свыше 1 до 3 т</t>
        </is>
      </c>
      <c r="E217" s="374" t="inlineStr">
        <is>
          <t>т</t>
        </is>
      </c>
      <c r="F217" s="374" t="n">
        <v>72.17</v>
      </c>
      <c r="G217" s="290" t="n">
        <v>7887.4</v>
      </c>
      <c r="H217" s="302">
        <f>ROUND(F217*G217,2)</f>
        <v/>
      </c>
      <c r="I217" s="314">
        <f>H217/$H$215</f>
        <v/>
      </c>
    </row>
    <row r="218" ht="38.25" customHeight="1" s="248">
      <c r="A218" s="300" t="n">
        <v>202</v>
      </c>
      <c r="B218" s="344" t="n"/>
      <c r="C218" s="287" t="inlineStr">
        <is>
          <t>07.2.07.12-0031</t>
        </is>
      </c>
      <c r="D218" s="288" t="inlineStr">
        <is>
          <t>Прочие конструкции одноэтажных производственных зданий, масса сборочной единицы до 0,1 т</t>
        </is>
      </c>
      <c r="E218" s="374" t="inlineStr">
        <is>
          <t>т</t>
        </is>
      </c>
      <c r="F218" s="374" t="n">
        <v>71.02284</v>
      </c>
      <c r="G218" s="290" t="n">
        <v>12990.48</v>
      </c>
      <c r="H218" s="302">
        <f>ROUND(F218*G218,2)</f>
        <v/>
      </c>
      <c r="I218" s="314">
        <f>H218/$H$215</f>
        <v/>
      </c>
      <c r="J218" s="313" t="n"/>
    </row>
    <row r="219" ht="76.7" customHeight="1" s="248">
      <c r="A219" s="300" t="n">
        <v>203</v>
      </c>
      <c r="B219" s="344" t="n"/>
      <c r="C219" s="287" t="inlineStr">
        <is>
          <t>07.2.05.05-0085</t>
        </is>
      </c>
      <c r="D219" s="288" t="inlineStr">
        <is>
          <t>Сэндвич-панель трехслойная стеновая "Металл Профиль" с видимым креплением Z-LOCK, с наполнителем из минеральной ваты (НГ) плотностью 110кг/м3, марка МП ТСП-Z, толщина: 250 мм, тип покрытия PRISMA, толщина металлических облицовок 0,5 мм</t>
        </is>
      </c>
      <c r="E219" s="374" t="inlineStr">
        <is>
          <t>м2</t>
        </is>
      </c>
      <c r="F219" s="374" t="n">
        <v>2262.66</v>
      </c>
      <c r="G219" s="290" t="n">
        <v>341.58</v>
      </c>
      <c r="H219" s="302">
        <f>ROUND(F219*G219,2)</f>
        <v/>
      </c>
      <c r="I219" s="314">
        <f>H219/$H$215</f>
        <v/>
      </c>
    </row>
    <row r="220" ht="38.25" customHeight="1" s="248">
      <c r="A220" s="300" t="n">
        <v>204</v>
      </c>
      <c r="B220" s="344" t="n"/>
      <c r="C220" s="287" t="inlineStr">
        <is>
          <t>07.2.07.12-0016</t>
        </is>
      </c>
      <c r="D220" s="288" t="inlineStr">
        <is>
          <t>Элементы конструктивные зданий и сооружений с преобладанием гнутых профилей, средняя масса сборочной единицы 0,5 до 1 т</t>
        </is>
      </c>
      <c r="E220" s="374" t="inlineStr">
        <is>
          <t>т</t>
        </is>
      </c>
      <c r="F220" s="374" t="n">
        <v>56.63</v>
      </c>
      <c r="G220" s="290" t="n">
        <v>8924</v>
      </c>
      <c r="H220" s="302">
        <f>ROUND(F220*G220,2)</f>
        <v/>
      </c>
      <c r="I220" s="314">
        <f>H220/$H$215</f>
        <v/>
      </c>
      <c r="J220" s="313" t="n"/>
    </row>
    <row r="221" ht="38.25" customHeight="1" s="248">
      <c r="A221" s="300" t="n">
        <v>205</v>
      </c>
      <c r="B221" s="346" t="n"/>
      <c r="C221" s="287" t="inlineStr">
        <is>
          <t>07.2.07.12-0011</t>
        </is>
      </c>
      <c r="D221" s="288" t="inlineStr">
        <is>
          <t>Элементы конструктивные зданий и сооружений с преобладанием гнутосварных профилей и круглых труб, средняя масса сборочной единицы до 0,1 т</t>
        </is>
      </c>
      <c r="E221" s="374" t="inlineStr">
        <is>
          <t>т</t>
        </is>
      </c>
      <c r="F221" s="374" t="n">
        <v>27.584421</v>
      </c>
      <c r="G221" s="290" t="n">
        <v>11255</v>
      </c>
      <c r="H221" s="302">
        <f>ROUND(F221*G221,2)</f>
        <v/>
      </c>
      <c r="I221" s="314">
        <f>H221/$H$215</f>
        <v/>
      </c>
    </row>
    <row r="222" ht="38.25" customHeight="1" s="248">
      <c r="A222" s="300" t="n">
        <v>206</v>
      </c>
      <c r="B222" s="346" t="n"/>
      <c r="C222" s="287" t="inlineStr">
        <is>
          <t>12.2.05.10-0024</t>
        </is>
      </c>
      <c r="D222" s="288" t="inlineStr">
        <is>
          <t>Плиты огнезащитные ТехноНИКОЛЬ (ТУ 5762-004-74182181-2008) для изоляции конструкций из металла, толщина 20-200 мм</t>
        </is>
      </c>
      <c r="E222" s="374" t="inlineStr">
        <is>
          <t>м3</t>
        </is>
      </c>
      <c r="F222" s="374" t="n">
        <v>173.544</v>
      </c>
      <c r="G222" s="290" t="n">
        <v>1433.6</v>
      </c>
      <c r="H222" s="302">
        <f>ROUND(F222*G222,2)</f>
        <v/>
      </c>
      <c r="I222" s="314">
        <f>H222/$H$215</f>
        <v/>
      </c>
    </row>
    <row r="223" ht="38.25" customHeight="1" s="248">
      <c r="A223" s="300" t="n">
        <v>207</v>
      </c>
      <c r="B223" s="346" t="n"/>
      <c r="C223" s="287" t="inlineStr">
        <is>
          <t>07.2.07.12-0018</t>
        </is>
      </c>
      <c r="D223" s="288" t="inlineStr">
        <is>
          <t>Элементы конструктивные зданий и сооружений с преобладанием гнутых профилей, средняя масса сборочной единицы свыше 0,1 до 0,5 т</t>
        </is>
      </c>
      <c r="E223" s="374" t="inlineStr">
        <is>
          <t>т</t>
        </is>
      </c>
      <c r="F223" s="374" t="n">
        <v>29.6</v>
      </c>
      <c r="G223" s="290" t="n">
        <v>8128</v>
      </c>
      <c r="H223" s="302">
        <f>ROUND(F223*G223,2)</f>
        <v/>
      </c>
      <c r="I223" s="314">
        <f>H223/$H$215</f>
        <v/>
      </c>
    </row>
    <row r="224" ht="25.5" customHeight="1" s="248">
      <c r="A224" s="300" t="n">
        <v>208</v>
      </c>
      <c r="B224" s="346" t="n"/>
      <c r="C224" s="287" t="inlineStr">
        <is>
          <t>07.2.03.06-0111</t>
        </is>
      </c>
      <c r="D224" s="288" t="inlineStr">
        <is>
          <t>Связи по колоннам и стойкам фахверка (диагональные и распорки)</t>
        </is>
      </c>
      <c r="E224" s="374" t="inlineStr">
        <is>
          <t>т</t>
        </is>
      </c>
      <c r="F224" s="374" t="n">
        <v>31.96</v>
      </c>
      <c r="G224" s="290" t="n">
        <v>7007</v>
      </c>
      <c r="H224" s="302">
        <f>ROUND(F224*G224,2)</f>
        <v/>
      </c>
      <c r="I224" s="314">
        <f>H224/$H$215</f>
        <v/>
      </c>
    </row>
    <row r="225" ht="38.25" customHeight="1" s="248">
      <c r="A225" s="300" t="n">
        <v>209</v>
      </c>
      <c r="B225" s="346" t="n"/>
      <c r="C225" s="287" t="inlineStr">
        <is>
          <t>02.3.01.02-0041</t>
        </is>
      </c>
      <c r="D225" s="288" t="inlineStr">
        <is>
          <t>Смесь песчаная для строительных работ (песок природный - 50%, песок обогащенный - 50%)</t>
        </is>
      </c>
      <c r="E225" s="374" t="inlineStr">
        <is>
          <t>м3</t>
        </is>
      </c>
      <c r="F225" s="374" t="n">
        <v>3512.52</v>
      </c>
      <c r="G225" s="290" t="n">
        <v>72</v>
      </c>
      <c r="H225" s="302">
        <f>ROUND(F225*G225,2)</f>
        <v/>
      </c>
      <c r="I225" s="314">
        <f>H225/$H$215</f>
        <v/>
      </c>
    </row>
    <row r="226" ht="25.5" customHeight="1" s="248">
      <c r="A226" s="300" t="n">
        <v>210</v>
      </c>
      <c r="B226" s="346" t="n"/>
      <c r="C226" s="287" t="inlineStr">
        <is>
          <t>06.1.01.05-0035</t>
        </is>
      </c>
      <c r="D226" s="288" t="inlineStr">
        <is>
          <t>Кирпич керамический одинарный, марка 100, размер 250х120х65 мм</t>
        </is>
      </c>
      <c r="E226" s="374" t="inlineStr">
        <is>
          <t>1000 шт</t>
        </is>
      </c>
      <c r="F226" s="374" t="n">
        <v>93.649</v>
      </c>
      <c r="G226" s="290" t="n">
        <v>1752.6</v>
      </c>
      <c r="H226" s="302">
        <f>ROUND(F226*G226,2)</f>
        <v/>
      </c>
      <c r="I226" s="314">
        <f>H226/$H$215</f>
        <v/>
      </c>
    </row>
    <row r="227" ht="25.5" customHeight="1" s="248">
      <c r="A227" s="300" t="n">
        <v>211</v>
      </c>
      <c r="B227" s="346" t="n"/>
      <c r="C227" s="287" t="inlineStr">
        <is>
          <t>06.1.01.05-0037</t>
        </is>
      </c>
      <c r="D227" s="288" t="inlineStr">
        <is>
          <t>Кирпич керамический одинарный, марка 150, размер 250х120х65 мм</t>
        </is>
      </c>
      <c r="E227" s="374" t="inlineStr">
        <is>
          <t>1000 шт</t>
        </is>
      </c>
      <c r="F227" s="374" t="n">
        <v>77.03</v>
      </c>
      <c r="G227" s="290" t="n">
        <v>2027</v>
      </c>
      <c r="H227" s="302">
        <f>ROUND(F227*G227,2)</f>
        <v/>
      </c>
      <c r="I227" s="314">
        <f>H227/$H$215</f>
        <v/>
      </c>
    </row>
    <row r="228" ht="51" customHeight="1" s="248">
      <c r="A228" s="300" t="n">
        <v>212</v>
      </c>
      <c r="B228" s="346" t="n"/>
      <c r="C228" s="287" t="inlineStr">
        <is>
          <t>07.2.07.12-0006</t>
        </is>
      </c>
      <c r="D228" s="288" t="inlineStr">
        <is>
          <t>Элементы конструктивные вспомогательного назначения, с преобладанием профильного проката, собираемые из двух и более деталей, с отверстиями и без отверстий, соединяемые на сварке</t>
        </is>
      </c>
      <c r="E228" s="374" t="inlineStr">
        <is>
          <t>т</t>
        </is>
      </c>
      <c r="F228" s="374" t="n">
        <v>15.0794</v>
      </c>
      <c r="G228" s="290" t="n">
        <v>10045</v>
      </c>
      <c r="H228" s="302">
        <f>ROUND(F228*G228,2)</f>
        <v/>
      </c>
      <c r="I228" s="314">
        <f>H228/$H$215</f>
        <v/>
      </c>
    </row>
    <row r="229" customFormat="1" s="299">
      <c r="A229" s="300" t="n">
        <v>213</v>
      </c>
      <c r="B229" s="346" t="n"/>
      <c r="C229" s="287" t="inlineStr">
        <is>
          <t>14.1.06.04-1004</t>
        </is>
      </c>
      <c r="D229" s="288" t="inlineStr">
        <is>
          <t>Клей монтажный для минераловатных плит</t>
        </is>
      </c>
      <c r="E229" s="374" t="inlineStr">
        <is>
          <t>т</t>
        </is>
      </c>
      <c r="F229" s="374" t="n">
        <v>20.388</v>
      </c>
      <c r="G229" s="290" t="n">
        <v>6456.25</v>
      </c>
      <c r="H229" s="302">
        <f>ROUND(F229*G229,2)</f>
        <v/>
      </c>
      <c r="I229" s="314">
        <f>H229/$H$215</f>
        <v/>
      </c>
    </row>
    <row r="230" ht="38.25" customHeight="1" s="248">
      <c r="A230" s="300" t="n">
        <v>214</v>
      </c>
      <c r="B230" s="346" t="n"/>
      <c r="C230" s="287" t="inlineStr">
        <is>
          <t>12.2.05.05-0048</t>
        </is>
      </c>
      <c r="D230" s="288" t="inlineStr">
        <is>
          <t>Плиты минераловатные на синтетическом связующем Техно (ТУ 5762-043-17925162-2006), марки: ТЕХНОФЛОР ПРОФ</t>
        </is>
      </c>
      <c r="E230" s="374" t="inlineStr">
        <is>
          <t>м3</t>
        </is>
      </c>
      <c r="F230" s="374" t="n">
        <v>173.3</v>
      </c>
      <c r="G230" s="290" t="n">
        <v>1116.25</v>
      </c>
      <c r="H230" s="302">
        <f>ROUND(F230*G230,2)</f>
        <v/>
      </c>
      <c r="I230" s="314">
        <f>H230/$H$215</f>
        <v/>
      </c>
    </row>
    <row r="231">
      <c r="A231" s="300" t="n">
        <v>215</v>
      </c>
      <c r="B231" s="346" t="n"/>
      <c r="C231" s="287" t="inlineStr">
        <is>
          <t>08.4.02.04-0001</t>
        </is>
      </c>
      <c r="D231" s="288" t="inlineStr">
        <is>
          <t>Каркасы металлические</t>
        </is>
      </c>
      <c r="E231" s="374" t="inlineStr">
        <is>
          <t>т</t>
        </is>
      </c>
      <c r="F231" s="374" t="n">
        <v>14.43837</v>
      </c>
      <c r="G231" s="290" t="n">
        <v>8200</v>
      </c>
      <c r="H231" s="302">
        <f>ROUND(F231*G231,2)</f>
        <v/>
      </c>
      <c r="I231" s="314">
        <f>H231/$H$215</f>
        <v/>
      </c>
      <c r="K231" s="307" t="n"/>
    </row>
    <row r="232" ht="25.5" customHeight="1" s="248">
      <c r="A232" s="300" t="n">
        <v>216</v>
      </c>
      <c r="B232" s="346" t="n"/>
      <c r="C232" s="287" t="inlineStr">
        <is>
          <t>04.1.02.05-0071</t>
        </is>
      </c>
      <c r="D232" s="288" t="inlineStr">
        <is>
          <t>Смеси бетонные тяжелого бетона (БСТ), крупность заполнителя 40 мм, класс В60 (М800)</t>
        </is>
      </c>
      <c r="E232" s="374" t="inlineStr">
        <is>
          <t>м3</t>
        </is>
      </c>
      <c r="F232" s="374" t="n">
        <v>173.4066</v>
      </c>
      <c r="G232" s="290" t="n">
        <v>1389.98</v>
      </c>
      <c r="H232" s="302">
        <f>ROUND(F232*G232,2)</f>
        <v/>
      </c>
      <c r="I232" s="314">
        <f>H232/$H$215</f>
        <v/>
      </c>
      <c r="K232" s="307" t="n"/>
    </row>
    <row r="233" ht="25.5" customHeight="1" s="248">
      <c r="A233" s="300" t="n">
        <v>217</v>
      </c>
      <c r="B233" s="346" t="n"/>
      <c r="C233" s="287" t="inlineStr">
        <is>
          <t>04.1.02.05-0064</t>
        </is>
      </c>
      <c r="D233" s="288" t="inlineStr">
        <is>
          <t>Смеси бетонные тяжелого бетона (БСТ), крупность заполнителя 40 мм, класс В27,5 (М350)</t>
        </is>
      </c>
      <c r="E233" s="374" t="inlineStr">
        <is>
          <t>м3</t>
        </is>
      </c>
      <c r="F233" s="374" t="n">
        <v>146.06</v>
      </c>
      <c r="G233" s="290" t="n">
        <v>763.5599999999999</v>
      </c>
      <c r="H233" s="302">
        <f>ROUND(F233*G233,2)</f>
        <v/>
      </c>
      <c r="I233" s="314">
        <f>H233/$H$215</f>
        <v/>
      </c>
      <c r="K233" s="307" t="n"/>
    </row>
    <row r="234" ht="25.5" customHeight="1" s="248">
      <c r="A234" s="300" t="n">
        <v>218</v>
      </c>
      <c r="B234" s="346" t="n"/>
      <c r="C234" s="287" t="inlineStr">
        <is>
          <t>07.2.05.02-0001</t>
        </is>
      </c>
      <c r="D234" s="288" t="inlineStr">
        <is>
          <t>Изделия фасонные (толщина 0,5 мм) для трехслойных стеновых сэндвич-панелей с покрытием полиэстер</t>
        </is>
      </c>
      <c r="E234" s="374" t="inlineStr">
        <is>
          <t>м2</t>
        </is>
      </c>
      <c r="F234" s="374" t="n">
        <v>714</v>
      </c>
      <c r="G234" s="290" t="n">
        <v>138.67</v>
      </c>
      <c r="H234" s="302">
        <f>ROUND(F234*G234,2)</f>
        <v/>
      </c>
      <c r="I234" s="314">
        <f>H234/$H$215</f>
        <v/>
      </c>
      <c r="K234" s="307" t="n"/>
    </row>
    <row r="235">
      <c r="A235" s="300" t="n">
        <v>219</v>
      </c>
      <c r="B235" s="346" t="n"/>
      <c r="C235" s="287" t="inlineStr">
        <is>
          <t>12.1.02.10-0124</t>
        </is>
      </c>
      <c r="D235" s="288" t="inlineStr">
        <is>
          <t>Полимерный материал: Logicroof V-RP - 1,5</t>
        </is>
      </c>
      <c r="E235" s="374" t="inlineStr">
        <is>
          <t>м2</t>
        </is>
      </c>
      <c r="F235" s="374" t="n">
        <v>1372</v>
      </c>
      <c r="G235" s="290" t="n">
        <v>71.55</v>
      </c>
      <c r="H235" s="302">
        <f>ROUND(F235*G235,2)</f>
        <v/>
      </c>
      <c r="I235" s="314">
        <f>H235/$H$215</f>
        <v/>
      </c>
    </row>
    <row r="236" ht="25.5" customHeight="1" s="248">
      <c r="A236" s="300" t="n">
        <v>220</v>
      </c>
      <c r="B236" s="346" t="n"/>
      <c r="C236" s="287" t="inlineStr">
        <is>
          <t>04.1.02.05-0044</t>
        </is>
      </c>
      <c r="D236" s="288" t="inlineStr">
        <is>
          <t>Смеси бетонные тяжелого бетона (БСТ), крупность заполнителя 20 мм, класс В20 (М250)</t>
        </is>
      </c>
      <c r="E236" s="374" t="inlineStr">
        <is>
          <t>м3</t>
        </is>
      </c>
      <c r="F236" s="374" t="n">
        <v>140.8408</v>
      </c>
      <c r="G236" s="290" t="n">
        <v>667.83</v>
      </c>
      <c r="H236" s="302">
        <f>ROUND(F236*G236,2)</f>
        <v/>
      </c>
      <c r="I236" s="314">
        <f>H236/$H$215</f>
        <v/>
      </c>
    </row>
    <row r="237">
      <c r="A237" s="300" t="n">
        <v>221</v>
      </c>
      <c r="B237" s="346" t="n"/>
      <c r="C237" s="287" t="inlineStr">
        <is>
          <t>08.3.09.01-0097</t>
        </is>
      </c>
      <c r="D237" s="288" t="inlineStr">
        <is>
          <t>Профнастил оцинкованный Н60-845-0,8</t>
        </is>
      </c>
      <c r="E237" s="374" t="inlineStr">
        <is>
          <t>м2</t>
        </is>
      </c>
      <c r="F237" s="374" t="n">
        <v>1104.66</v>
      </c>
      <c r="G237" s="290" t="n">
        <v>83.31999999999999</v>
      </c>
      <c r="H237" s="302">
        <f>ROUND(F237*G237,2)</f>
        <v/>
      </c>
      <c r="I237" s="314">
        <f>H237/$H$215</f>
        <v/>
      </c>
    </row>
    <row r="238" ht="25.5" customHeight="1" s="248">
      <c r="A238" s="300" t="n">
        <v>222</v>
      </c>
      <c r="B238" s="346" t="n"/>
      <c r="C238" s="287" t="inlineStr">
        <is>
          <t>04.1.02.05-0006</t>
        </is>
      </c>
      <c r="D238" s="288" t="inlineStr">
        <is>
          <t>Смеси бетонные тяжелого бетона (БСТ), класс B15 (М200)</t>
        </is>
      </c>
      <c r="E238" s="374" t="inlineStr">
        <is>
          <t>м3</t>
        </is>
      </c>
      <c r="F238" s="374" t="n">
        <v>152.7827</v>
      </c>
      <c r="G238" s="290" t="n">
        <v>592.76</v>
      </c>
      <c r="H238" s="302">
        <f>ROUND(F238*G238,2)</f>
        <v/>
      </c>
      <c r="I238" s="314">
        <f>H238/$H$215</f>
        <v/>
      </c>
    </row>
    <row r="239" ht="51" customHeight="1" s="248">
      <c r="A239" s="300" t="n">
        <v>223</v>
      </c>
      <c r="B239" s="346" t="n"/>
      <c r="C239" s="287" t="inlineStr">
        <is>
          <t>07.2.05.03-0011</t>
        </is>
      </c>
      <c r="D239" s="288" t="inlineStr">
        <is>
          <t>Площадки встроенные одноярусные и многоярусные для обслуживания и установки оборудования со стальным настилом, расход стали на 1 м2 площадки до 50 кг</t>
        </is>
      </c>
      <c r="E239" s="374" t="inlineStr">
        <is>
          <t>т</t>
        </is>
      </c>
      <c r="F239" s="374" t="n">
        <v>8.220000000000001</v>
      </c>
      <c r="G239" s="290" t="n">
        <v>9766.040000000001</v>
      </c>
      <c r="H239" s="302">
        <f>ROUND(F239*G239,2)</f>
        <v/>
      </c>
      <c r="I239" s="314">
        <f>H239/$H$215</f>
        <v/>
      </c>
    </row>
    <row r="240" ht="25.5" customHeight="1" s="248">
      <c r="A240" s="300" t="n">
        <v>224</v>
      </c>
      <c r="B240" s="346" t="n"/>
      <c r="C240" s="287" t="inlineStr">
        <is>
          <t>01.6.03.04-0351</t>
        </is>
      </c>
      <c r="D240" s="288" t="inlineStr">
        <is>
          <t>Покрытие поливинилхлоридное ковровое с печатным рисунком ПО</t>
        </is>
      </c>
      <c r="E240" s="374" t="inlineStr">
        <is>
          <t>м2</t>
        </is>
      </c>
      <c r="F240" s="374" t="n">
        <v>1571.87</v>
      </c>
      <c r="G240" s="290" t="n">
        <v>158.96</v>
      </c>
      <c r="H240" s="302">
        <f>ROUND(F240*G240,2)</f>
        <v/>
      </c>
      <c r="I240" s="314">
        <f>H240/$H$215</f>
        <v/>
      </c>
    </row>
    <row r="241" ht="25.5" customHeight="1" s="248">
      <c r="A241" s="300" t="n">
        <v>225</v>
      </c>
      <c r="B241" s="346" t="n"/>
      <c r="C241" s="287" t="inlineStr">
        <is>
          <t>04.1.02.05-0003</t>
        </is>
      </c>
      <c r="D241" s="288" t="inlineStr">
        <is>
          <t>Смеси бетонные тяжелого бетона (БСТ), класс B7,5 (М100)</t>
        </is>
      </c>
      <c r="E241" s="374" t="inlineStr">
        <is>
          <t>м3</t>
        </is>
      </c>
      <c r="F241" s="374" t="n">
        <v>139.44</v>
      </c>
      <c r="G241" s="290" t="n">
        <v>560</v>
      </c>
      <c r="H241" s="302">
        <f>ROUND(F241*G241,2)</f>
        <v/>
      </c>
      <c r="I241" s="314">
        <f>H241/$H$215</f>
        <v/>
      </c>
    </row>
    <row r="242">
      <c r="A242" s="300" t="n">
        <v>226</v>
      </c>
      <c r="B242" s="346" t="n"/>
      <c r="C242" s="287" t="inlineStr">
        <is>
          <t>08.3.09.01-0008</t>
        </is>
      </c>
      <c r="D242" s="288" t="inlineStr">
        <is>
          <t>Профилированный лист оцинкованный: Н60-845-0,55</t>
        </is>
      </c>
      <c r="E242" s="374" t="inlineStr">
        <is>
          <t>т</t>
        </is>
      </c>
      <c r="F242" s="374" t="n">
        <v>7.715</v>
      </c>
      <c r="G242" s="290" t="n">
        <v>11817.6</v>
      </c>
      <c r="H242" s="302">
        <f>ROUND(F242*G242,2)</f>
        <v/>
      </c>
      <c r="I242" s="314">
        <f>H242/$H$215</f>
        <v/>
      </c>
    </row>
    <row r="243" ht="63.75" customHeight="1" s="248">
      <c r="A243" s="300" t="n">
        <v>227</v>
      </c>
      <c r="B243" s="346" t="n"/>
      <c r="C243" s="287" t="inlineStr">
        <is>
          <t>07.2.07.12-0003</t>
        </is>
      </c>
      <c r="D243" s="288" t="inlineStr">
        <is>
          <t>Элементы конструктивные вспомогательного назначения массой не более 50 кг с преобладанием толстолистовой стали, собираемые из двух и более деталей, с отверстиями и без отверстий, соединяемые на сварке</t>
        </is>
      </c>
      <c r="E243" s="374" t="inlineStr">
        <is>
          <t>т</t>
        </is>
      </c>
      <c r="F243" s="374" t="n">
        <v>6.4015</v>
      </c>
      <c r="G243" s="290" t="n">
        <v>11255</v>
      </c>
      <c r="H243" s="302">
        <f>ROUND(F243*G243,2)</f>
        <v/>
      </c>
      <c r="I243" s="314">
        <f>H243/$H$215</f>
        <v/>
      </c>
    </row>
    <row r="244" ht="38.25" customHeight="1" s="248">
      <c r="A244" s="300" t="n">
        <v>228</v>
      </c>
      <c r="B244" s="346" t="n"/>
      <c r="C244" s="287" t="inlineStr">
        <is>
          <t>12.2.05.05-0037</t>
        </is>
      </c>
      <c r="D244" s="288" t="inlineStr">
        <is>
          <t>Плиты минераловатные на синтетическом связующем Техно (ТУ 5762-043-17925162-2006), марки: ТЕХНОРУФ В70</t>
        </is>
      </c>
      <c r="E244" s="374" t="inlineStr">
        <is>
          <t>м3</t>
        </is>
      </c>
      <c r="F244" s="374" t="n">
        <v>57.77</v>
      </c>
      <c r="G244" s="290" t="n">
        <v>1238.64</v>
      </c>
      <c r="H244" s="302">
        <f>ROUND(F244*G244,2)</f>
        <v/>
      </c>
      <c r="I244" s="314">
        <f>H244/$H$215</f>
        <v/>
      </c>
    </row>
    <row r="245" ht="38.25" customHeight="1" s="248">
      <c r="A245" s="300" t="n">
        <v>229</v>
      </c>
      <c r="B245" s="346" t="n"/>
      <c r="C245" s="287" t="inlineStr">
        <is>
          <t>19.4.02.01-0086</t>
        </is>
      </c>
      <c r="D245" s="288" t="inlineStr">
        <is>
          <t>Глушители шума прямоугольного сечения пластинчатые ГП 7-3 с обтекателем, сечение обечайки 1600x1500 мм</t>
        </is>
      </c>
      <c r="E245" s="374" t="inlineStr">
        <is>
          <t>шт</t>
        </is>
      </c>
      <c r="F245" s="374" t="n">
        <v>8</v>
      </c>
      <c r="G245" s="290" t="n">
        <v>11517.12</v>
      </c>
      <c r="H245" s="302">
        <f>ROUND(F245*G245,2)</f>
        <v/>
      </c>
      <c r="I245" s="314">
        <f>H245/$H$215</f>
        <v/>
      </c>
    </row>
    <row r="246" ht="25.5" customHeight="1" s="248">
      <c r="A246" s="300" t="n">
        <v>230</v>
      </c>
      <c r="B246" s="346" t="n"/>
      <c r="C246" s="287" t="inlineStr">
        <is>
          <t>08.4.03.03-0032</t>
        </is>
      </c>
      <c r="D246" s="288" t="inlineStr">
        <is>
          <t>Сталь арматурная, горячекатаная, периодического профиля, класс А-III, диаметр 12 мм</t>
        </is>
      </c>
      <c r="E246" s="374" t="inlineStr">
        <is>
          <t>т</t>
        </is>
      </c>
      <c r="F246" s="374" t="n">
        <v>8.480370000000001</v>
      </c>
      <c r="G246" s="290" t="n">
        <v>7997.23</v>
      </c>
      <c r="H246" s="302">
        <f>ROUND(F246*G246,2)</f>
        <v/>
      </c>
      <c r="I246" s="314">
        <f>H246/$H$215</f>
        <v/>
      </c>
    </row>
    <row r="247">
      <c r="A247" s="300" t="n">
        <v>231</v>
      </c>
      <c r="B247" s="346" t="n"/>
      <c r="C247" s="287" t="inlineStr">
        <is>
          <t>14.3.02.05-0107</t>
        </is>
      </c>
      <c r="D247" s="288" t="inlineStr">
        <is>
          <t>Краска силикатная фасадная CT-Fassadenfinisch 130</t>
        </is>
      </c>
      <c r="E247" s="374" t="inlineStr">
        <is>
          <t>л</t>
        </is>
      </c>
      <c r="F247" s="374" t="n">
        <v>1019</v>
      </c>
      <c r="G247" s="290" t="n">
        <v>115.66</v>
      </c>
      <c r="H247" s="302">
        <f>ROUND(F247*G247,2)</f>
        <v/>
      </c>
      <c r="I247" s="314">
        <f>H247/$H$215</f>
        <v/>
      </c>
    </row>
    <row r="248">
      <c r="A248" s="300" t="n">
        <v>232</v>
      </c>
      <c r="B248" s="346" t="n"/>
      <c r="C248" s="287" t="inlineStr">
        <is>
          <t>25.2.01.08-0002</t>
        </is>
      </c>
      <c r="D248" s="288" t="inlineStr">
        <is>
          <t>Клемма заземления в комплекте с клыковой шайбой</t>
        </is>
      </c>
      <c r="E248" s="374" t="inlineStr">
        <is>
          <t>шт</t>
        </is>
      </c>
      <c r="F248" s="374" t="n">
        <v>850</v>
      </c>
      <c r="G248" s="290" t="n">
        <v>110.4</v>
      </c>
      <c r="H248" s="302">
        <f>ROUND(F248*G248,2)</f>
        <v/>
      </c>
      <c r="I248" s="314">
        <f>H248/$H$215</f>
        <v/>
      </c>
      <c r="K248" s="307" t="n"/>
    </row>
    <row r="249" ht="25.5" customHeight="1" s="248">
      <c r="A249" s="300" t="n">
        <v>233</v>
      </c>
      <c r="B249" s="346" t="n"/>
      <c r="C249" s="287" t="inlineStr">
        <is>
          <t>04.1.02.05-0028</t>
        </is>
      </c>
      <c r="D249" s="288" t="inlineStr">
        <is>
          <t>Смеси бетонные тяжелого бетона (БСТ), крупность заполнителя 10 мм, класс B22,5 (М300)</t>
        </is>
      </c>
      <c r="E249" s="374" t="inlineStr">
        <is>
          <t>м3</t>
        </is>
      </c>
      <c r="F249" s="374" t="n">
        <v>80.16</v>
      </c>
      <c r="G249" s="290" t="n">
        <v>738.5599999999999</v>
      </c>
      <c r="H249" s="302">
        <f>ROUND(F249*G249,2)</f>
        <v/>
      </c>
      <c r="I249" s="314">
        <f>H249/$H$215</f>
        <v/>
      </c>
      <c r="K249" s="307" t="n"/>
    </row>
    <row r="250" ht="25.5" customHeight="1" s="248">
      <c r="A250" s="300" t="n">
        <v>234</v>
      </c>
      <c r="B250" s="346" t="n"/>
      <c r="C250" s="287" t="inlineStr">
        <is>
          <t>07.1.01.01-0023</t>
        </is>
      </c>
      <c r="D250" s="288" t="inlineStr">
        <is>
          <t>Дверь противопожарная металлическая остекленная двупольная ДПМО-02/30, размером 1500х2100 мм</t>
        </is>
      </c>
      <c r="E250" s="374" t="inlineStr">
        <is>
          <t>шт</t>
        </is>
      </c>
      <c r="F250" s="374" t="n">
        <v>10</v>
      </c>
      <c r="G250" s="290" t="n">
        <v>5825.55</v>
      </c>
      <c r="H250" s="302">
        <f>ROUND(F250*G250,2)</f>
        <v/>
      </c>
      <c r="I250" s="314">
        <f>H250/$H$215</f>
        <v/>
      </c>
      <c r="K250" s="307" t="n"/>
    </row>
    <row r="251" ht="25.5" customHeight="1" s="248">
      <c r="A251" s="300" t="n">
        <v>235</v>
      </c>
      <c r="B251" s="346" t="n"/>
      <c r="C251" s="287" t="inlineStr">
        <is>
          <t>04.3.02.09-1513</t>
        </is>
      </c>
      <c r="D251" s="288" t="inlineStr">
        <is>
          <t>Штукатурка минеральная декоративная CERESIT CT 35 "короед", зерно 2,5 мм (цветная)</t>
        </is>
      </c>
      <c r="E251" s="374" t="inlineStr">
        <is>
          <t>кг</t>
        </is>
      </c>
      <c r="F251" s="374" t="n">
        <v>10194</v>
      </c>
      <c r="G251" s="290" t="n">
        <v>5.68</v>
      </c>
      <c r="H251" s="302">
        <f>ROUND(F251*G251,2)</f>
        <v/>
      </c>
      <c r="I251" s="314">
        <f>H251/$H$215</f>
        <v/>
      </c>
    </row>
    <row r="252" ht="38.25" customHeight="1" s="248">
      <c r="A252" s="300" t="n">
        <v>236</v>
      </c>
      <c r="B252" s="346" t="n"/>
      <c r="C252" s="287" t="inlineStr">
        <is>
          <t>11.3.02.01-0016</t>
        </is>
      </c>
      <c r="D252" s="288" t="inlineStr">
        <is>
          <t>Блок оконный из ПВХ профиля двустворчатый, с глухой и поворотно-откидной створкой, двухкамерным стеклопакетом (32 мм), площадью до 2 м2</t>
        </is>
      </c>
      <c r="E252" s="374" t="inlineStr">
        <is>
          <t>м2</t>
        </is>
      </c>
      <c r="F252" s="374" t="n">
        <v>18</v>
      </c>
      <c r="G252" s="290" t="n">
        <v>3174.78</v>
      </c>
      <c r="H252" s="302">
        <f>ROUND(F252*G252,2)</f>
        <v/>
      </c>
      <c r="I252" s="314">
        <f>H252/$H$215</f>
        <v/>
      </c>
    </row>
    <row r="253">
      <c r="A253" s="300" t="n">
        <v>237</v>
      </c>
      <c r="B253" s="346" t="n"/>
      <c r="C253" s="287" t="inlineStr">
        <is>
          <t>08.3.07.01-0043</t>
        </is>
      </c>
      <c r="D253" s="288" t="inlineStr">
        <is>
          <t>Сталь полосовая: 40х5 мм, марка Ст3сп</t>
        </is>
      </c>
      <c r="E253" s="374" t="inlineStr">
        <is>
          <t>т</t>
        </is>
      </c>
      <c r="F253" s="374" t="n">
        <v>8.823399999999999</v>
      </c>
      <c r="G253" s="290" t="n">
        <v>6159.22</v>
      </c>
      <c r="H253" s="302">
        <f>ROUND(F253*G253,2)</f>
        <v/>
      </c>
      <c r="I253" s="314">
        <f>H253/$H$215</f>
        <v/>
      </c>
    </row>
    <row r="254" ht="25.5" customHeight="1" s="248">
      <c r="A254" s="300" t="n">
        <v>238</v>
      </c>
      <c r="B254" s="346" t="n"/>
      <c r="C254" s="287" t="inlineStr">
        <is>
          <t>14.3.02.01-0219</t>
        </is>
      </c>
      <c r="D254" s="288" t="inlineStr">
        <is>
          <t>Краска универсальная, акриловая для внутренних и наружных работ</t>
        </is>
      </c>
      <c r="E254" s="374" t="inlineStr">
        <is>
          <t>т</t>
        </is>
      </c>
      <c r="F254" s="374" t="n">
        <v>3.1155</v>
      </c>
      <c r="G254" s="290" t="n">
        <v>15481</v>
      </c>
      <c r="H254" s="302">
        <f>ROUND(F254*G254,2)</f>
        <v/>
      </c>
      <c r="I254" s="314">
        <f>H254/$H$215</f>
        <v/>
      </c>
    </row>
    <row r="255" ht="25.5" customHeight="1" s="248">
      <c r="A255" s="300" t="n">
        <v>239</v>
      </c>
      <c r="B255" s="346" t="n"/>
      <c r="C255" s="287" t="inlineStr">
        <is>
          <t>12.2.05.09-0008</t>
        </is>
      </c>
      <c r="D255" s="288" t="inlineStr">
        <is>
          <t>Пенополистирол экструдированный ТЕХНОНИКОЛЬ XPS CARBON 30-280 Стандарт</t>
        </is>
      </c>
      <c r="E255" s="374" t="inlineStr">
        <is>
          <t>м3</t>
        </is>
      </c>
      <c r="F255" s="374" t="n">
        <v>29.861</v>
      </c>
      <c r="G255" s="290" t="n">
        <v>1497.04</v>
      </c>
      <c r="H255" s="302">
        <f>ROUND(F255*G255,2)</f>
        <v/>
      </c>
      <c r="I255" s="314">
        <f>H255/$H$215</f>
        <v/>
      </c>
    </row>
    <row r="256">
      <c r="A256" s="300" t="n">
        <v>240</v>
      </c>
      <c r="B256" s="346" t="n"/>
      <c r="C256" s="287" t="inlineStr">
        <is>
          <t>14.4.02.09-0301</t>
        </is>
      </c>
      <c r="D256" s="288" t="inlineStr">
        <is>
          <t>Композиция антикоррозионная цинкнаполненная</t>
        </is>
      </c>
      <c r="E256" s="374" t="inlineStr">
        <is>
          <t>кг</t>
        </is>
      </c>
      <c r="F256" s="374" t="n">
        <v>182.88</v>
      </c>
      <c r="G256" s="290" t="n">
        <v>238.48</v>
      </c>
      <c r="H256" s="302">
        <f>ROUND(F256*G256,2)</f>
        <v/>
      </c>
      <c r="I256" s="314">
        <f>H256/$H$215</f>
        <v/>
      </c>
    </row>
    <row r="257" ht="25.5" customHeight="1" s="248">
      <c r="A257" s="300" t="n">
        <v>241</v>
      </c>
      <c r="B257" s="346" t="n"/>
      <c r="C257" s="287" t="inlineStr">
        <is>
          <t>19.1.01.03-0079</t>
        </is>
      </c>
      <c r="D257" s="288" t="inlineStr">
        <is>
          <t>Воздуховоды из оцинкованной стали толщиной: 0,7 мм, периметром от 1700 до 4000 мм</t>
        </is>
      </c>
      <c r="E257" s="374" t="inlineStr">
        <is>
          <t>м2</t>
        </is>
      </c>
      <c r="F257" s="374" t="n">
        <v>383.2</v>
      </c>
      <c r="G257" s="290" t="n">
        <v>109.09</v>
      </c>
      <c r="H257" s="302">
        <f>ROUND(F257*G257,2)</f>
        <v/>
      </c>
      <c r="I257" s="314">
        <f>H257/$H$215</f>
        <v/>
      </c>
    </row>
    <row r="258" ht="63.75" customHeight="1" s="248">
      <c r="A258" s="300" t="n">
        <v>242</v>
      </c>
      <c r="B258" s="346" t="n"/>
      <c r="C258" s="287" t="inlineStr">
        <is>
          <t>07.2.05.05-0010</t>
        </is>
      </c>
      <c r="D258" s="288" t="inlineStr">
        <is>
          <t>Сэндвич-панель трехслойная кровельная "Металл Профиль" с наполнителем из минеральной ваты (НГ) плотностью 110кг/м3, марка МП ТСП-K, толщина: 100 мм, тип покрытия полиэстер, толщина металлических облицовок 0,5 мм (Россия)</t>
        </is>
      </c>
      <c r="E258" s="374" t="inlineStr">
        <is>
          <t>м2</t>
        </is>
      </c>
      <c r="F258" s="374" t="n">
        <v>181.4</v>
      </c>
      <c r="G258" s="290" t="n">
        <v>226.28</v>
      </c>
      <c r="H258" s="302">
        <f>ROUND(F258*G258,2)</f>
        <v/>
      </c>
      <c r="I258" s="314">
        <f>H258/$H$215</f>
        <v/>
      </c>
    </row>
    <row r="259" ht="38.25" customHeight="1" s="248">
      <c r="A259" s="300" t="n">
        <v>243</v>
      </c>
      <c r="B259" s="346" t="n"/>
      <c r="C259" s="287" t="inlineStr">
        <is>
          <t>19.3.01.13-0053</t>
        </is>
      </c>
      <c r="D259" s="288" t="inlineStr">
        <is>
          <t>Клапаны противопожарные с пружинным приводом в комбинации с тепловым замком, тип КПС-1 (60), размер 800х800 мм</t>
        </is>
      </c>
      <c r="E259" s="374" t="inlineStr">
        <is>
          <t>шт</t>
        </is>
      </c>
      <c r="F259" s="374" t="n">
        <v>20</v>
      </c>
      <c r="G259" s="290" t="n">
        <v>1983.76</v>
      </c>
      <c r="H259" s="302">
        <f>ROUND(F259*G259,2)</f>
        <v/>
      </c>
      <c r="I259" s="314">
        <f>H259/$H$215</f>
        <v/>
      </c>
    </row>
    <row r="260">
      <c r="A260" s="300" t="n">
        <v>244</v>
      </c>
      <c r="B260" s="346" t="n"/>
      <c r="C260" s="287" t="inlineStr">
        <is>
          <t>12.1.02.03-0179</t>
        </is>
      </c>
      <c r="D260" s="288" t="inlineStr">
        <is>
          <t>Техноэласт: Термо ЭПП</t>
        </is>
      </c>
      <c r="E260" s="374" t="inlineStr">
        <is>
          <t>м2</t>
        </is>
      </c>
      <c r="F260" s="374" t="n">
        <v>1536.065</v>
      </c>
      <c r="G260" s="290" t="n">
        <v>24.94</v>
      </c>
      <c r="H260" s="302">
        <f>ROUND(F260*G260,2)</f>
        <v/>
      </c>
      <c r="I260" s="314">
        <f>H260/$H$215</f>
        <v/>
      </c>
    </row>
    <row r="261" ht="25.5" customHeight="1" s="248">
      <c r="A261" s="300" t="n">
        <v>245</v>
      </c>
      <c r="B261" s="346" t="n"/>
      <c r="C261" s="287" t="inlineStr">
        <is>
          <t>21.1.06.05-0001</t>
        </is>
      </c>
      <c r="D261" s="288" t="inlineStr">
        <is>
          <t>Кабель нагревательный одножильный экранированный, мощность 245 Вт, длина 9,5 м</t>
        </is>
      </c>
      <c r="E261" s="374" t="inlineStr">
        <is>
          <t>компл</t>
        </is>
      </c>
      <c r="F261" s="374" t="n">
        <v>86</v>
      </c>
      <c r="G261" s="290" t="n">
        <v>440.24</v>
      </c>
      <c r="H261" s="302">
        <f>ROUND(F261*G261,2)</f>
        <v/>
      </c>
      <c r="I261" s="314">
        <f>H261/$H$215</f>
        <v/>
      </c>
    </row>
    <row r="262" ht="25.5" customHeight="1" s="248">
      <c r="A262" s="300" t="n">
        <v>246</v>
      </c>
      <c r="B262" s="346" t="n"/>
      <c r="C262" s="287" t="inlineStr">
        <is>
          <t>19.1.01.03-0081</t>
        </is>
      </c>
      <c r="D262" s="288" t="inlineStr">
        <is>
          <t>Воздуховоды из оцинкованной стали толщиной: 0,9 мм, периметром от 4200 до 5200 мм</t>
        </is>
      </c>
      <c r="E262" s="374" t="inlineStr">
        <is>
          <t>м2</t>
        </is>
      </c>
      <c r="F262" s="374" t="n">
        <v>299.2</v>
      </c>
      <c r="G262" s="290" t="n">
        <v>117.94</v>
      </c>
      <c r="H262" s="302">
        <f>ROUND(F262*G262,2)</f>
        <v/>
      </c>
      <c r="I262" s="314">
        <f>H262/$H$215</f>
        <v/>
      </c>
    </row>
    <row r="263" ht="38.25" customHeight="1" s="248">
      <c r="A263" s="300" t="n">
        <v>247</v>
      </c>
      <c r="B263" s="346" t="n"/>
      <c r="C263" s="287" t="inlineStr">
        <is>
          <t>05.1.05.10-0043</t>
        </is>
      </c>
      <c r="D263" s="288" t="inlineStr">
        <is>
          <t>Сваи железобетонные квадратного сечения сплошные, бетон B25 (М350), расход арматуры от 140,1 до 150 кг на м3 бетона, в плотном теле</t>
        </is>
      </c>
      <c r="E263" s="374" t="inlineStr">
        <is>
          <t>м3</t>
        </is>
      </c>
      <c r="F263" s="374" t="n">
        <v>15.99</v>
      </c>
      <c r="G263" s="290" t="n">
        <v>2131.37</v>
      </c>
      <c r="H263" s="302">
        <f>ROUND(F263*G263,2)</f>
        <v/>
      </c>
      <c r="I263" s="314">
        <f>H263/$H$215</f>
        <v/>
      </c>
    </row>
    <row r="264">
      <c r="A264" s="300" t="n">
        <v>248</v>
      </c>
      <c r="B264" s="346" t="n"/>
      <c r="C264" s="287" t="inlineStr">
        <is>
          <t>01.8.01.06-0006</t>
        </is>
      </c>
      <c r="D264" s="288" t="inlineStr">
        <is>
          <t>Сетка стеклянная строительная СС-1</t>
        </is>
      </c>
      <c r="E264" s="374" t="inlineStr">
        <is>
          <t>м2</t>
        </is>
      </c>
      <c r="F264" s="374" t="n">
        <v>3906</v>
      </c>
      <c r="G264" s="290" t="n">
        <v>8.460000000000001</v>
      </c>
      <c r="H264" s="302">
        <f>ROUND(F264*G264,2)</f>
        <v/>
      </c>
      <c r="I264" s="314">
        <f>H264/$H$215</f>
        <v/>
      </c>
    </row>
    <row r="265" ht="25.5" customHeight="1" s="248">
      <c r="A265" s="300" t="n">
        <v>249</v>
      </c>
      <c r="B265" s="346" t="n"/>
      <c r="C265" s="287" t="inlineStr">
        <is>
          <t>04.3.01.12-0111</t>
        </is>
      </c>
      <c r="D265" s="288" t="inlineStr">
        <is>
          <t>Раствор готовый отделочный тяжелый, цементно-известковый, состав 1:1:6</t>
        </is>
      </c>
      <c r="E265" s="374" t="inlineStr">
        <is>
          <t>м3</t>
        </is>
      </c>
      <c r="F265" s="374" t="n">
        <v>62.54</v>
      </c>
      <c r="G265" s="290" t="n">
        <v>517.91</v>
      </c>
      <c r="H265" s="302">
        <f>ROUND(F265*G265,2)</f>
        <v/>
      </c>
      <c r="I265" s="314">
        <f>H265/$H$215</f>
        <v/>
      </c>
    </row>
    <row r="266" ht="25.5" customHeight="1" s="248">
      <c r="A266" s="300" t="n">
        <v>250</v>
      </c>
      <c r="B266" s="346" t="n"/>
      <c r="C266" s="287" t="inlineStr">
        <is>
          <t>21.1.06.10-0374</t>
        </is>
      </c>
      <c r="D266" s="288" t="inlineStr">
        <is>
          <t>Кабель силовой с медными жилами ВВГнг(A)-LS 3х1,5ок-1000</t>
        </is>
      </c>
      <c r="E266" s="374" t="inlineStr">
        <is>
          <t>1000 м</t>
        </is>
      </c>
      <c r="F266" s="374" t="n">
        <v>2.7846</v>
      </c>
      <c r="G266" s="290" t="n">
        <v>10960.87</v>
      </c>
      <c r="H266" s="302">
        <f>ROUND(F266*G266,2)</f>
        <v/>
      </c>
      <c r="I266" s="314">
        <f>H266/$H$215</f>
        <v/>
      </c>
    </row>
    <row r="267" ht="38.25" customHeight="1" s="248">
      <c r="A267" s="300" t="n">
        <v>251</v>
      </c>
      <c r="B267" s="346" t="n"/>
      <c r="C267" s="287" t="inlineStr">
        <is>
          <t>12.2.05.10-0001</t>
        </is>
      </c>
      <c r="D267" s="288" t="inlineStr">
        <is>
          <t>Плиты из минеральной ваты, для вентилируемых фасадов, на основе базальтового волокна, толщина от 50 до 125 мм</t>
        </is>
      </c>
      <c r="E267" s="374" t="inlineStr">
        <is>
          <t>м3</t>
        </is>
      </c>
      <c r="F267" s="374" t="n">
        <v>41.93535</v>
      </c>
      <c r="G267" s="290" t="n">
        <v>717.98</v>
      </c>
      <c r="H267" s="302">
        <f>ROUND(F267*G267,2)</f>
        <v/>
      </c>
      <c r="I267" s="314">
        <f>H267/$H$215</f>
        <v/>
      </c>
    </row>
    <row r="268">
      <c r="A268" s="300" t="n">
        <v>252</v>
      </c>
      <c r="B268" s="346" t="n"/>
      <c r="C268" s="287" t="inlineStr">
        <is>
          <t>04.3.01.12-0003</t>
        </is>
      </c>
      <c r="D268" s="288" t="inlineStr">
        <is>
          <t>Раствор кладочный, цементно-известковый, М50</t>
        </is>
      </c>
      <c r="E268" s="374" t="inlineStr">
        <is>
          <t>м3</t>
        </is>
      </c>
      <c r="F268" s="374" t="n">
        <v>57.67</v>
      </c>
      <c r="G268" s="290" t="n">
        <v>519.8</v>
      </c>
      <c r="H268" s="302">
        <f>ROUND(F268*G268,2)</f>
        <v/>
      </c>
      <c r="I268" s="314" t="n"/>
    </row>
    <row r="269" ht="25.5" customHeight="1" s="248">
      <c r="A269" s="300" t="n">
        <v>253</v>
      </c>
      <c r="B269" s="346" t="n"/>
      <c r="C269" s="287" t="inlineStr">
        <is>
          <t>08.4.01.01-0022</t>
        </is>
      </c>
      <c r="D269" s="288" t="inlineStr">
        <is>
          <t>Детали анкерные с резьбой из прямых или гнутых круглых стержней</t>
        </is>
      </c>
      <c r="E269" s="374" t="inlineStr">
        <is>
          <t>т</t>
        </is>
      </c>
      <c r="F269" s="374" t="n">
        <v>2.815</v>
      </c>
      <c r="G269" s="290" t="n">
        <v>10100</v>
      </c>
      <c r="H269" s="302">
        <f>ROUND(F269*G269,2)</f>
        <v/>
      </c>
      <c r="I269" s="314" t="n"/>
    </row>
    <row r="270" customFormat="1" s="299">
      <c r="A270" s="300" t="n">
        <v>254</v>
      </c>
      <c r="B270" s="346" t="n"/>
      <c r="C270" s="287" t="inlineStr">
        <is>
          <t>01.6.01.02-0006</t>
        </is>
      </c>
      <c r="D270" s="288" t="inlineStr">
        <is>
          <t>Листы гипсокартонные ГКЛ, толщина 12,5 мм</t>
        </is>
      </c>
      <c r="E270" s="374" t="inlineStr">
        <is>
          <t>м2</t>
        </is>
      </c>
      <c r="F270" s="374" t="n">
        <v>1881.4</v>
      </c>
      <c r="G270" s="290" t="n">
        <v>15</v>
      </c>
      <c r="H270" s="302">
        <f>ROUND(F270*G270,2)</f>
        <v/>
      </c>
      <c r="I270" s="314" t="n"/>
    </row>
    <row r="271" ht="38.25" customHeight="1" s="248">
      <c r="A271" s="300" t="n">
        <v>255</v>
      </c>
      <c r="B271" s="346" t="n"/>
      <c r="C271" s="287" t="inlineStr">
        <is>
          <t>05.2.02.01-0049</t>
        </is>
      </c>
      <c r="D271" s="288" t="inlineStr">
        <is>
          <t>Блоки бетонные для стен подвалов полнотелые ФБС12-6-6-Т, бетон B7,5 (М100, объем 0,398 м3, расход арматуры 1,46 кг</t>
        </is>
      </c>
      <c r="E271" s="374" t="inlineStr">
        <is>
          <t>шт</t>
        </is>
      </c>
      <c r="F271" s="374" t="n">
        <v>114</v>
      </c>
      <c r="G271" s="290" t="n">
        <v>238.8</v>
      </c>
      <c r="H271" s="302">
        <f>ROUND(F271*G271,2)</f>
        <v/>
      </c>
      <c r="I271" s="314" t="n"/>
    </row>
    <row r="272" ht="38.25" customHeight="1" s="248">
      <c r="A272" s="300" t="n">
        <v>256</v>
      </c>
      <c r="B272" s="346" t="n"/>
      <c r="C272" s="287" t="inlineStr">
        <is>
          <t>07.2.05.02-0042</t>
        </is>
      </c>
      <c r="D272" s="288" t="inlineStr">
        <is>
          <t>Панели металлические трехслойные стеновые с утеплителем из пенополиуретана. Способ изготовления стендовый 1ПТС1016.61.6-СО.8</t>
        </is>
      </c>
      <c r="E272" s="374" t="inlineStr">
        <is>
          <t>м2</t>
        </is>
      </c>
      <c r="F272" s="374" t="n">
        <v>61.916</v>
      </c>
      <c r="G272" s="290" t="n">
        <v>432.98</v>
      </c>
      <c r="H272" s="302">
        <f>ROUND(F272*G272,2)</f>
        <v/>
      </c>
      <c r="I272" s="314" t="n"/>
      <c r="K272" s="307" t="n"/>
    </row>
    <row r="273" ht="25.5" customHeight="1" s="248">
      <c r="A273" s="300" t="n">
        <v>257</v>
      </c>
      <c r="B273" s="346" t="n"/>
      <c r="C273" s="287" t="inlineStr">
        <is>
          <t>19.3.01.06-0216</t>
        </is>
      </c>
      <c r="D273" s="288" t="inlineStr">
        <is>
          <t>Клапаны воздушные утепленные с ручным приводом КВУ, размер 2400х1000 мм</t>
        </is>
      </c>
      <c r="E273" s="374" t="inlineStr">
        <is>
          <t>шт</t>
        </is>
      </c>
      <c r="F273" s="374" t="n">
        <v>6</v>
      </c>
      <c r="G273" s="290" t="n">
        <v>4449.85</v>
      </c>
      <c r="H273" s="302">
        <f>ROUND(F273*G273,2)</f>
        <v/>
      </c>
      <c r="I273" s="314" t="n"/>
      <c r="K273" s="307" t="n"/>
    </row>
    <row r="274">
      <c r="A274" s="300" t="n">
        <v>258</v>
      </c>
      <c r="B274" s="346" t="n"/>
      <c r="C274" s="287" t="inlineStr">
        <is>
          <t>14.3.01.02-0104</t>
        </is>
      </c>
      <c r="D274" s="288" t="inlineStr">
        <is>
          <t>Грунтовка колерующая CERESIT CT 16</t>
        </is>
      </c>
      <c r="E274" s="374" t="inlineStr">
        <is>
          <t>л</t>
        </is>
      </c>
      <c r="F274" s="374" t="n">
        <v>1360</v>
      </c>
      <c r="G274" s="290" t="n">
        <v>18.96</v>
      </c>
      <c r="H274" s="302">
        <f>ROUND(F274*G274,2)</f>
        <v/>
      </c>
      <c r="I274" s="314" t="n"/>
      <c r="K274" s="307" t="n"/>
    </row>
    <row r="275" ht="63.75" customHeight="1" s="248">
      <c r="A275" s="300" t="n">
        <v>259</v>
      </c>
      <c r="B275" s="346" t="n"/>
      <c r="C275" s="287" t="inlineStr">
        <is>
          <t>08.4.01.02-0013</t>
        </is>
      </c>
      <c r="D275" s="288" t="inlineStr">
        <is>
          <t>Детали закладные и накладные, изготовленные с применением сварки, гнутья, сверления (пробивки) отверстий (при наличии одной из этих операций или всего перечня в любых сочетаниях), поставляемые отдельно</t>
        </is>
      </c>
      <c r="E275" s="374" t="inlineStr">
        <is>
          <t>т</t>
        </is>
      </c>
      <c r="F275" s="374" t="n">
        <v>3.7405</v>
      </c>
      <c r="G275" s="290" t="n">
        <v>6800</v>
      </c>
      <c r="H275" s="302">
        <f>ROUND(F275*G275,2)</f>
        <v/>
      </c>
    </row>
    <row r="276">
      <c r="A276" s="300" t="n">
        <v>260</v>
      </c>
      <c r="B276" s="346" t="n"/>
      <c r="C276" s="287" t="inlineStr">
        <is>
          <t>04.3.01.12-0005</t>
        </is>
      </c>
      <c r="D276" s="288" t="inlineStr">
        <is>
          <t>Раствор кладочный, цементно-известковый, М100</t>
        </is>
      </c>
      <c r="E276" s="374" t="inlineStr">
        <is>
          <t>м3</t>
        </is>
      </c>
      <c r="F276" s="374" t="n">
        <v>45.632</v>
      </c>
      <c r="G276" s="290" t="n">
        <v>529.41</v>
      </c>
      <c r="H276" s="302">
        <f>ROUND(F276*G276,2)</f>
        <v/>
      </c>
    </row>
    <row r="277" ht="38.25" customHeight="1" s="248">
      <c r="A277" s="300" t="n">
        <v>261</v>
      </c>
      <c r="B277" s="346" t="n"/>
      <c r="C277" s="287" t="inlineStr">
        <is>
          <t>08.1.02.17-0097</t>
        </is>
      </c>
      <c r="D277" s="288" t="inlineStr">
        <is>
          <t>Сетка сварная из арматурной проволоки без покрытия, диаметр проволоки 5,0 мм, размер ячейки 100х100 мм</t>
        </is>
      </c>
      <c r="E277" s="374" t="inlineStr">
        <is>
          <t>м2</t>
        </is>
      </c>
      <c r="F277" s="374" t="n">
        <v>997.5</v>
      </c>
      <c r="G277" s="290" t="n">
        <v>23.76</v>
      </c>
      <c r="H277" s="302">
        <f>ROUND(F277*G277,2)</f>
        <v/>
      </c>
    </row>
    <row r="278" ht="38.25" customHeight="1" s="248">
      <c r="A278" s="300" t="n">
        <v>262</v>
      </c>
      <c r="B278" s="346" t="n"/>
      <c r="C278" s="287" t="inlineStr">
        <is>
          <t>11.3.02.01-0004</t>
        </is>
      </c>
      <c r="D278" s="288" t="inlineStr">
        <is>
          <t>Блок оконный пластиковый: двустворчатый, глухой с двухкамерным стеклопакетом (32 мм), площадью до 2 м2</t>
        </is>
      </c>
      <c r="E278" s="374" t="inlineStr">
        <is>
          <t>м2</t>
        </is>
      </c>
      <c r="F278" s="374" t="n">
        <v>10.8</v>
      </c>
      <c r="G278" s="290" t="n">
        <v>2193.46</v>
      </c>
      <c r="H278" s="302">
        <f>ROUND(F278*G278,2)</f>
        <v/>
      </c>
    </row>
    <row r="279" ht="25.5" customHeight="1" s="248">
      <c r="A279" s="300" t="n">
        <v>263</v>
      </c>
      <c r="B279" s="346" t="n"/>
      <c r="C279" s="287" t="inlineStr">
        <is>
          <t>04.1.02.05-0007</t>
        </is>
      </c>
      <c r="D279" s="288" t="inlineStr">
        <is>
          <t>Смеси бетонные тяжелого бетона (БСТ), класс B20 (М250)</t>
        </is>
      </c>
      <c r="E279" s="374" t="inlineStr">
        <is>
          <t>м3</t>
        </is>
      </c>
      <c r="F279" s="374" t="n">
        <v>32.947</v>
      </c>
      <c r="G279" s="290" t="n">
        <v>665</v>
      </c>
      <c r="H279" s="302">
        <f>ROUND(F279*G279,2)</f>
        <v/>
      </c>
    </row>
    <row r="280">
      <c r="A280" s="300" t="n">
        <v>264</v>
      </c>
      <c r="B280" s="346" t="n"/>
      <c r="C280" s="287" t="inlineStr">
        <is>
          <t>14.1.06.04-0016</t>
        </is>
      </c>
      <c r="D280" s="288" t="inlineStr">
        <is>
          <t>Клей плиточный «Боларс Элит» (Клей Кнауф Флекс)</t>
        </is>
      </c>
      <c r="E280" s="374" t="inlineStr">
        <is>
          <t>кг</t>
        </is>
      </c>
      <c r="F280" s="374" t="n">
        <v>4083.9</v>
      </c>
      <c r="G280" s="290" t="n">
        <v>5.03</v>
      </c>
      <c r="H280" s="302">
        <f>ROUND(F280*G280,2)</f>
        <v/>
      </c>
    </row>
    <row r="281" ht="25.5" customHeight="1" s="248">
      <c r="A281" s="300" t="n">
        <v>265</v>
      </c>
      <c r="B281" s="346" t="n"/>
      <c r="C281" s="287" t="inlineStr">
        <is>
          <t>19.3.01.06-0207</t>
        </is>
      </c>
      <c r="D281" s="288" t="inlineStr">
        <is>
          <t>Клапаны воздушные утепленные под электропривод КВУ, размер 2400х1400 мм</t>
        </is>
      </c>
      <c r="E281" s="374" t="inlineStr">
        <is>
          <t>шт</t>
        </is>
      </c>
      <c r="F281" s="374" t="n">
        <v>4</v>
      </c>
      <c r="G281" s="290" t="n">
        <v>5053.96</v>
      </c>
      <c r="H281" s="302">
        <f>ROUND(F281*G281,2)</f>
        <v/>
      </c>
    </row>
    <row r="282" ht="38.25" customHeight="1" s="248">
      <c r="A282" s="300" t="n">
        <v>266</v>
      </c>
      <c r="B282" s="346" t="n"/>
      <c r="C282" s="287" t="inlineStr">
        <is>
          <t>07.2.07.12-0019</t>
        </is>
      </c>
      <c r="D282" s="288" t="inlineStr">
        <is>
          <t>Элементы конструктивные зданий и сооружений с преобладанием горячекатаных профилей, средняя масса сборочной единицы до 0,1 т</t>
        </is>
      </c>
      <c r="E282" s="374" t="inlineStr">
        <is>
          <t>т</t>
        </is>
      </c>
      <c r="F282" s="374" t="n">
        <v>2.4859</v>
      </c>
      <c r="G282" s="290" t="n">
        <v>8060</v>
      </c>
      <c r="H282" s="302">
        <f>ROUND(F282*G282,2)</f>
        <v/>
      </c>
    </row>
    <row r="283">
      <c r="A283" s="300" t="n">
        <v>267</v>
      </c>
      <c r="B283" s="346" t="n"/>
      <c r="C283" s="287" t="inlineStr">
        <is>
          <t>14.1.06.04-0001</t>
        </is>
      </c>
      <c r="D283" s="288" t="inlineStr">
        <is>
          <t>Клей для приклеивания минеральной ваты</t>
        </is>
      </c>
      <c r="E283" s="374" t="inlineStr">
        <is>
          <t>кг</t>
        </is>
      </c>
      <c r="F283" s="374" t="n">
        <v>3230.6</v>
      </c>
      <c r="G283" s="290" t="n">
        <v>6.2</v>
      </c>
      <c r="H283" s="302">
        <f>ROUND(F283*G283,2)</f>
        <v/>
      </c>
    </row>
    <row r="284">
      <c r="A284" s="300" t="n">
        <v>268</v>
      </c>
      <c r="B284" s="346" t="n"/>
      <c r="C284" s="287" t="inlineStr">
        <is>
          <t>14.5.09.11-0102</t>
        </is>
      </c>
      <c r="D284" s="288" t="inlineStr">
        <is>
          <t>Уайт-спирит</t>
        </is>
      </c>
      <c r="E284" s="374" t="inlineStr">
        <is>
          <t>кг</t>
        </is>
      </c>
      <c r="F284" s="374" t="n">
        <v>2915.169</v>
      </c>
      <c r="G284" s="290" t="n">
        <v>6.67</v>
      </c>
      <c r="H284" s="302">
        <f>ROUND(F284*G284,2)</f>
        <v/>
      </c>
    </row>
    <row r="285" ht="38.25" customHeight="1" s="248">
      <c r="A285" s="300" t="n">
        <v>269</v>
      </c>
      <c r="B285" s="346" t="n"/>
      <c r="C285" s="287" t="inlineStr">
        <is>
          <t>14.4.01.09-0405</t>
        </is>
      </c>
      <c r="D285" s="288" t="inlineStr">
        <is>
          <t>Грунтовка эпоксидная, антикоррозионная, универсальная, для защиты от агрессивного воздействия окружающей среды</t>
        </is>
      </c>
      <c r="E285" s="374" t="inlineStr">
        <is>
          <t>т</t>
        </is>
      </c>
      <c r="F285" s="374" t="n">
        <v>0.471552</v>
      </c>
      <c r="G285" s="290" t="n">
        <v>40329.7</v>
      </c>
      <c r="H285" s="302">
        <f>ROUND(F285*G285,2)</f>
        <v/>
      </c>
      <c r="I285" s="314" t="n"/>
    </row>
    <row r="286" ht="25.5" customHeight="1" s="248">
      <c r="A286" s="300" t="n">
        <v>270</v>
      </c>
      <c r="B286" s="346" t="n"/>
      <c r="C286" s="287" t="inlineStr">
        <is>
          <t>19.3.01.06-0213</t>
        </is>
      </c>
      <c r="D286" s="288" t="inlineStr">
        <is>
          <t>Клапаны воздушные утепленные с ручным приводом КВУ, размер 1600х1000 мм</t>
        </is>
      </c>
      <c r="E286" s="374" t="inlineStr">
        <is>
          <t>шт</t>
        </is>
      </c>
      <c r="F286" s="374" t="n">
        <v>6</v>
      </c>
      <c r="G286" s="290" t="n">
        <v>3094.04</v>
      </c>
      <c r="H286" s="302">
        <f>ROUND(F286*G286,2)</f>
        <v/>
      </c>
      <c r="I286" s="314" t="n"/>
    </row>
    <row r="287" ht="25.5" customHeight="1" s="248">
      <c r="A287" s="300" t="n">
        <v>271</v>
      </c>
      <c r="B287" s="346" t="n"/>
      <c r="C287" s="287" t="inlineStr">
        <is>
          <t>19.1.01.03-0075</t>
        </is>
      </c>
      <c r="D287" s="288" t="inlineStr">
        <is>
          <t>Воздуховоды из оцинкованной стали, толщина 0,7 мм, диаметр до 800 мм</t>
        </is>
      </c>
      <c r="E287" s="374" t="inlineStr">
        <is>
          <t>м2</t>
        </is>
      </c>
      <c r="F287" s="374" t="n">
        <v>213.336</v>
      </c>
      <c r="G287" s="290" t="n">
        <v>84.25</v>
      </c>
      <c r="H287" s="302">
        <f>ROUND(F287*G287,2)</f>
        <v/>
      </c>
      <c r="I287" s="314" t="n"/>
    </row>
    <row r="288" ht="25.5" customHeight="1" s="248">
      <c r="A288" s="300" t="n">
        <v>272</v>
      </c>
      <c r="B288" s="346" t="n"/>
      <c r="C288" s="287" t="inlineStr">
        <is>
          <t>25.1.05.05-0063</t>
        </is>
      </c>
      <c r="D288" s="288" t="inlineStr">
        <is>
          <t>Рельсы железнодорожные Р-50, широкой колеи, 2 группа, марка стали М74</t>
        </is>
      </c>
      <c r="E288" s="374" t="inlineStr">
        <is>
          <t>м</t>
        </is>
      </c>
      <c r="F288" s="374" t="n">
        <v>72</v>
      </c>
      <c r="G288" s="290" t="n">
        <v>236.5</v>
      </c>
      <c r="H288" s="302">
        <f>ROUND(F288*G288,2)</f>
        <v/>
      </c>
      <c r="I288" s="314" t="n"/>
    </row>
    <row r="289" ht="25.5" customHeight="1" s="248">
      <c r="A289" s="300" t="n">
        <v>273</v>
      </c>
      <c r="B289" s="346" t="n"/>
      <c r="C289" s="287" t="inlineStr">
        <is>
          <t>04.1.02.05-0044</t>
        </is>
      </c>
      <c r="D289" s="288" t="inlineStr">
        <is>
          <t>Смеси бетонные тяжелого бетона (БСТ), крупность заполнителя 20 мм, класс B20 (М250)</t>
        </is>
      </c>
      <c r="E289" s="374" t="inlineStr">
        <is>
          <t>м3</t>
        </is>
      </c>
      <c r="F289" s="374" t="n">
        <v>24.77</v>
      </c>
      <c r="G289" s="290" t="n">
        <v>667.83</v>
      </c>
      <c r="H289" s="302">
        <f>ROUND(F289*G289,2)</f>
        <v/>
      </c>
      <c r="I289" s="314" t="n"/>
    </row>
    <row r="290" ht="63.75" customHeight="1" s="248">
      <c r="A290" s="300" t="n">
        <v>274</v>
      </c>
      <c r="B290" s="346" t="n"/>
      <c r="C290" s="287" t="inlineStr">
        <is>
          <t>18.1.10.01-1034</t>
        </is>
      </c>
      <c r="D290" s="288" t="inlineStr">
        <is>
          <t>Вентиль запорный из углеродистой стали, номинальное давление 4,0 МПа (40 кгс/см2), номинальный диаметр 15 мм, с графитовым уплотнением, присоединение к трубопроводу фланцевое</t>
        </is>
      </c>
      <c r="E290" s="374" t="inlineStr">
        <is>
          <t>шт</t>
        </is>
      </c>
      <c r="F290" s="374" t="n">
        <v>22</v>
      </c>
      <c r="G290" s="290" t="n">
        <v>741.6799999999999</v>
      </c>
      <c r="H290" s="302">
        <f>ROUND(F290*G290,2)</f>
        <v/>
      </c>
      <c r="I290" s="314" t="n"/>
    </row>
    <row r="291">
      <c r="A291" s="300" t="n">
        <v>275</v>
      </c>
      <c r="B291" s="346" t="n"/>
      <c r="C291" s="287" t="inlineStr">
        <is>
          <t>08.3.05.05-0058</t>
        </is>
      </c>
      <c r="D291" s="288" t="inlineStr">
        <is>
          <t>Сталь листовая оцинкованная, толщина 1,0 мм</t>
        </is>
      </c>
      <c r="E291" s="374" t="inlineStr">
        <is>
          <t>т</t>
        </is>
      </c>
      <c r="F291" s="374" t="n">
        <v>1.55</v>
      </c>
      <c r="G291" s="290" t="n">
        <v>10500</v>
      </c>
      <c r="H291" s="302">
        <f>ROUND(F291*G291,2)</f>
        <v/>
      </c>
      <c r="I291" s="314" t="n"/>
    </row>
    <row r="292" ht="25.5" customHeight="1" s="248">
      <c r="A292" s="300" t="n">
        <v>276</v>
      </c>
      <c r="B292" s="346" t="n"/>
      <c r="C292" s="287" t="inlineStr">
        <is>
          <t>07.1.01.01-0013</t>
        </is>
      </c>
      <c r="D292" s="288" t="inlineStr">
        <is>
          <t>Дверь противопожарная металлическая однопольная ДПМ-01/30, размером 900х2100 мм</t>
        </is>
      </c>
      <c r="E292" s="374" t="inlineStr">
        <is>
          <t>шт</t>
        </is>
      </c>
      <c r="F292" s="374" t="n">
        <v>6</v>
      </c>
      <c r="G292" s="290" t="n">
        <v>2640.46</v>
      </c>
      <c r="H292" s="302">
        <f>ROUND(F292*G292,2)</f>
        <v/>
      </c>
      <c r="I292" s="314" t="n"/>
    </row>
    <row r="293" ht="25.5" customHeight="1" s="248">
      <c r="A293" s="300" t="n">
        <v>277</v>
      </c>
      <c r="B293" s="346" t="n"/>
      <c r="C293" s="287" t="inlineStr">
        <is>
          <t>07.1.01.01-0004</t>
        </is>
      </c>
      <c r="D293" s="288" t="inlineStr">
        <is>
          <t>Дверь противопожарная металлическая двупольная ДПМ-02/30, размером 1500х2100 мм</t>
        </is>
      </c>
      <c r="E293" s="374" t="inlineStr">
        <is>
          <t>шт</t>
        </is>
      </c>
      <c r="F293" s="374" t="n">
        <v>3</v>
      </c>
      <c r="G293" s="290" t="n">
        <v>5274.66</v>
      </c>
      <c r="H293" s="302">
        <f>ROUND(F293*G293,2)</f>
        <v/>
      </c>
      <c r="I293" s="314" t="n"/>
    </row>
    <row r="294" ht="51" customHeight="1" s="248">
      <c r="A294" s="300" t="n">
        <v>278</v>
      </c>
      <c r="B294" s="346" t="n"/>
      <c r="C294" s="287" t="inlineStr">
        <is>
          <t>19.1.01.11-0001</t>
        </is>
      </c>
      <c r="D294" s="288" t="inlineStr">
        <is>
          <t>Крепления для воздуховодов оцинкованные (подвески СТД, подвески регулируемые СТД, тяги, хомуты, кронштейны, траверсы, ленты, шпильки, профили)</t>
        </is>
      </c>
      <c r="E294" s="374" t="inlineStr">
        <is>
          <t>т</t>
        </is>
      </c>
      <c r="F294" s="374" t="n">
        <v>1.2377</v>
      </c>
      <c r="G294" s="290" t="n">
        <v>12676.79</v>
      </c>
      <c r="H294" s="302">
        <f>ROUND(F294*G294,2)</f>
        <v/>
      </c>
      <c r="I294" s="314" t="n"/>
    </row>
    <row r="295" ht="25.5" customHeight="1" s="248">
      <c r="A295" s="300" t="n">
        <v>279</v>
      </c>
      <c r="B295" s="346" t="n"/>
      <c r="C295" s="287" t="inlineStr">
        <is>
          <t>08.1.06.04-0031</t>
        </is>
      </c>
      <c r="D295" s="288" t="inlineStr">
        <is>
          <t>Полотна ворот глухие металлические из листового металла по каркасу из уголков</t>
        </is>
      </c>
      <c r="E295" s="374" t="inlineStr">
        <is>
          <t>т</t>
        </is>
      </c>
      <c r="F295" s="374" t="n">
        <v>0.956602</v>
      </c>
      <c r="G295" s="290" t="n">
        <v>16344.58</v>
      </c>
      <c r="H295" s="302">
        <f>ROUND(F295*G295,2)</f>
        <v/>
      </c>
      <c r="I295" s="314" t="n"/>
    </row>
    <row r="296">
      <c r="A296" s="300" t="n">
        <v>280</v>
      </c>
      <c r="B296" s="346" t="n"/>
      <c r="C296" s="287" t="inlineStr">
        <is>
          <t>20.2.08.05-0021</t>
        </is>
      </c>
      <c r="D296" s="288" t="inlineStr">
        <is>
          <t>Профиль монтажный перфорированный</t>
        </is>
      </c>
      <c r="E296" s="374" t="inlineStr">
        <is>
          <t>шт</t>
        </is>
      </c>
      <c r="F296" s="374" t="n">
        <v>202</v>
      </c>
      <c r="G296" s="290" t="n">
        <v>76.84</v>
      </c>
      <c r="H296" s="302">
        <f>ROUND(F296*G296,2)</f>
        <v/>
      </c>
      <c r="I296" s="314" t="n"/>
    </row>
    <row r="297" ht="38.25" customHeight="1" s="248">
      <c r="A297" s="300" t="n">
        <v>281</v>
      </c>
      <c r="B297" s="346" t="n"/>
      <c r="C297" s="287" t="inlineStr">
        <is>
          <t>05.2.02.01-0048</t>
        </is>
      </c>
      <c r="D297" s="288" t="inlineStr">
        <is>
          <t>Блоки бетонные для стен подвалов полнотелые ФБС12-6-3-Т, бетон B7,5 (М100, объем 0,191 м3, расход арматуры 0,74 кг</t>
        </is>
      </c>
      <c r="E297" s="374" t="inlineStr">
        <is>
          <t>шт</t>
        </is>
      </c>
      <c r="F297" s="374" t="n">
        <v>127</v>
      </c>
      <c r="G297" s="290" t="n">
        <v>118.42</v>
      </c>
      <c r="H297" s="302">
        <f>ROUND(F297*G297,2)</f>
        <v/>
      </c>
      <c r="I297" s="314" t="n"/>
    </row>
    <row r="298" ht="25.5" customHeight="1" s="248">
      <c r="A298" s="300" t="n">
        <v>282</v>
      </c>
      <c r="B298" s="346" t="n"/>
      <c r="C298" s="287" t="inlineStr">
        <is>
          <t>04.1.02.05-0043</t>
        </is>
      </c>
      <c r="D298" s="288" t="inlineStr">
        <is>
          <t>Смеси бетонные тяжелого бетона (БСТ), крупность заполнителя 20 мм, класс В15 (М200)</t>
        </is>
      </c>
      <c r="E298" s="374" t="inlineStr">
        <is>
          <t>м3</t>
        </is>
      </c>
      <c r="F298" s="374" t="n">
        <v>22.46</v>
      </c>
      <c r="G298" s="290" t="n">
        <v>665</v>
      </c>
      <c r="H298" s="302">
        <f>ROUND(F298*G298,2)</f>
        <v/>
      </c>
      <c r="I298" s="314" t="n"/>
    </row>
    <row r="299" ht="25.5" customHeight="1" s="248">
      <c r="A299" s="300" t="n">
        <v>283</v>
      </c>
      <c r="B299" s="346" t="n"/>
      <c r="C299" s="287" t="inlineStr">
        <is>
          <t>19.3.01.06-0165</t>
        </is>
      </c>
      <c r="D299" s="288" t="inlineStr">
        <is>
          <t>Клапаны воздушные под ручной или электропривод ВК, размер 900х600 мм</t>
        </is>
      </c>
      <c r="E299" s="374" t="inlineStr">
        <is>
          <t>шт</t>
        </is>
      </c>
      <c r="F299" s="374" t="n">
        <v>10</v>
      </c>
      <c r="G299" s="290" t="n">
        <v>1477.05</v>
      </c>
      <c r="H299" s="302">
        <f>ROUND(F299*G299,2)</f>
        <v/>
      </c>
      <c r="I299" s="314" t="n"/>
    </row>
    <row r="300" ht="25.5" customHeight="1" s="248">
      <c r="A300" s="300" t="n">
        <v>284</v>
      </c>
      <c r="B300" s="346" t="n"/>
      <c r="C300" s="287" t="inlineStr">
        <is>
          <t>08.4.02.05-0003</t>
        </is>
      </c>
      <c r="D300" s="288" t="inlineStr">
        <is>
          <t>Сетка сварная с ячейкой 10 из арматурной стали: А-I и А-II диаметром 10 мм</t>
        </is>
      </c>
      <c r="E300" s="374" t="inlineStr">
        <is>
          <t>т</t>
        </is>
      </c>
      <c r="F300" s="374" t="n">
        <v>1.9914</v>
      </c>
      <c r="G300" s="290" t="n">
        <v>7200</v>
      </c>
      <c r="H300" s="302">
        <f>ROUND(F300*G300,2)</f>
        <v/>
      </c>
      <c r="I300" s="314" t="n"/>
    </row>
    <row r="301">
      <c r="A301" s="300" t="n">
        <v>285</v>
      </c>
      <c r="B301" s="346" t="n"/>
      <c r="C301" s="287" t="inlineStr">
        <is>
          <t>08.3.11.01-0052</t>
        </is>
      </c>
      <c r="D301" s="288" t="inlineStr">
        <is>
          <t>Швеллеры № 12, марка стали Ст3пс</t>
        </is>
      </c>
      <c r="E301" s="374" t="inlineStr">
        <is>
          <t>т</t>
        </is>
      </c>
      <c r="F301" s="374" t="n">
        <v>2.90992</v>
      </c>
      <c r="G301" s="290" t="n">
        <v>4900</v>
      </c>
      <c r="H301" s="302">
        <f>ROUND(F301*G301,2)</f>
        <v/>
      </c>
      <c r="I301" s="314" t="n"/>
    </row>
    <row r="302" ht="25.5" customFormat="1" customHeight="1" s="299">
      <c r="A302" s="300" t="n">
        <v>286</v>
      </c>
      <c r="B302" s="346" t="n"/>
      <c r="C302" s="287" t="inlineStr">
        <is>
          <t>08.4.03.03-0034</t>
        </is>
      </c>
      <c r="D302" s="288" t="inlineStr">
        <is>
          <t>Сталь арматурная, горячекатаная, периодического профиля, класс А-III, диаметр 16-18 мм</t>
        </is>
      </c>
      <c r="E302" s="374" t="inlineStr">
        <is>
          <t>т</t>
        </is>
      </c>
      <c r="F302" s="374" t="n">
        <v>1.74048</v>
      </c>
      <c r="G302" s="290" t="n">
        <v>7956.21</v>
      </c>
      <c r="H302" s="302">
        <f>ROUND(F302*G302,2)</f>
        <v/>
      </c>
      <c r="I302" s="314" t="n"/>
    </row>
    <row r="303">
      <c r="A303" s="300" t="n">
        <v>287</v>
      </c>
      <c r="B303" s="346" t="n"/>
      <c r="C303" s="287" t="inlineStr">
        <is>
          <t>14.4.01.01-0003</t>
        </is>
      </c>
      <c r="D303" s="288" t="inlineStr">
        <is>
          <t>Грунтовка ГФ-021</t>
        </is>
      </c>
      <c r="E303" s="374" t="inlineStr">
        <is>
          <t>т</t>
        </is>
      </c>
      <c r="F303" s="374" t="n">
        <v>0.8826000000000001</v>
      </c>
      <c r="G303" s="290" t="n">
        <v>15620</v>
      </c>
      <c r="H303" s="302">
        <f>ROUND(F303*G303,2)</f>
        <v/>
      </c>
      <c r="I303" s="314" t="n"/>
    </row>
    <row r="304" ht="25.5" customHeight="1" s="248">
      <c r="A304" s="300" t="n">
        <v>288</v>
      </c>
      <c r="B304" s="346" t="n"/>
      <c r="C304" s="287" t="inlineStr">
        <is>
          <t>01.7.15.14-0121</t>
        </is>
      </c>
      <c r="D304" s="288" t="inlineStr">
        <is>
          <t>Шурупы для крепления утеплителя и гидроизоляции к профилированному листу 4,8х60 мм</t>
        </is>
      </c>
      <c r="E304" s="374" t="inlineStr">
        <is>
          <t>100 шт</t>
        </is>
      </c>
      <c r="F304" s="374" t="n">
        <v>93.36</v>
      </c>
      <c r="G304" s="290" t="n">
        <v>147</v>
      </c>
      <c r="H304" s="302">
        <f>ROUND(F304*G304,2)</f>
        <v/>
      </c>
      <c r="I304" s="314" t="n"/>
      <c r="K304" s="307" t="n"/>
    </row>
    <row r="305">
      <c r="A305" s="300" t="n">
        <v>289</v>
      </c>
      <c r="B305" s="346" t="n"/>
      <c r="C305" s="287" t="inlineStr">
        <is>
          <t>Прайс из СД ОП</t>
        </is>
      </c>
      <c r="D305" s="288" t="inlineStr">
        <is>
          <t xml:space="preserve">Решетка АМР 800х600 </t>
        </is>
      </c>
      <c r="E305" s="374" t="inlineStr">
        <is>
          <t>шт.</t>
        </is>
      </c>
      <c r="F305" s="374" t="n">
        <v>20</v>
      </c>
      <c r="G305" s="290" t="n">
        <v>678.2</v>
      </c>
      <c r="H305" s="302">
        <f>ROUND(F305*G305,2)</f>
        <v/>
      </c>
      <c r="I305" s="314" t="n"/>
      <c r="K305" s="307" t="n"/>
    </row>
    <row r="306">
      <c r="A306" s="300" t="n">
        <v>290</v>
      </c>
      <c r="B306" s="346" t="n"/>
      <c r="C306" s="287" t="inlineStr">
        <is>
          <t>14.2.01.05-0003</t>
        </is>
      </c>
      <c r="D306" s="288" t="inlineStr">
        <is>
          <t>Композиция цинконаполненная</t>
        </is>
      </c>
      <c r="E306" s="374" t="inlineStr">
        <is>
          <t>кг</t>
        </is>
      </c>
      <c r="F306" s="374" t="n">
        <v>117.59154</v>
      </c>
      <c r="G306" s="290" t="n">
        <v>114.42</v>
      </c>
      <c r="H306" s="302">
        <f>ROUND(F306*G306,2)</f>
        <v/>
      </c>
      <c r="I306" s="314" t="n"/>
      <c r="K306" s="307" t="n"/>
    </row>
    <row r="307" ht="25.5" customHeight="1" s="248">
      <c r="A307" s="300" t="n">
        <v>291</v>
      </c>
      <c r="B307" s="346" t="n"/>
      <c r="C307" s="287" t="inlineStr">
        <is>
          <t>21.1.06.09-0177</t>
        </is>
      </c>
      <c r="D307" s="288" t="inlineStr">
        <is>
          <t>Кабель силовой с медными жилами ВВГнг(A)-LS 5х4-660</t>
        </is>
      </c>
      <c r="E307" s="374" t="inlineStr">
        <is>
          <t>1000 м</t>
        </is>
      </c>
      <c r="F307" s="374" t="n">
        <v>0.7446</v>
      </c>
      <c r="G307" s="290" t="n">
        <v>18047.85</v>
      </c>
      <c r="H307" s="302">
        <f>ROUND(F307*G307,2)</f>
        <v/>
      </c>
      <c r="I307" s="314" t="n"/>
    </row>
    <row r="308" ht="51" customHeight="1" s="248">
      <c r="A308" s="300" t="n">
        <v>292</v>
      </c>
      <c r="B308" s="346" t="n"/>
      <c r="C308" s="287" t="inlineStr">
        <is>
          <t>11.3.01.05-0003</t>
        </is>
      </c>
      <c r="D308" s="288" t="inlineStr">
        <is>
          <t>Блоки дверные внутренние: светлые (со светопрозрачным заполнением верхней части и глухим заполнением нижней части полотна) (ГОСТ 30970-2002)</t>
        </is>
      </c>
      <c r="E308" s="374" t="inlineStr">
        <is>
          <t>м2</t>
        </is>
      </c>
      <c r="F308" s="374" t="n">
        <v>9.260999999999999</v>
      </c>
      <c r="G308" s="290" t="n">
        <v>1428.35</v>
      </c>
      <c r="H308" s="302">
        <f>ROUND(F308*G308,2)</f>
        <v/>
      </c>
      <c r="I308" s="314" t="n"/>
    </row>
    <row r="309">
      <c r="A309" s="300" t="n">
        <v>293</v>
      </c>
      <c r="B309" s="346" t="n"/>
      <c r="C309" s="287" t="inlineStr">
        <is>
          <t>01.7.11.07-0032</t>
        </is>
      </c>
      <c r="D309" s="288" t="inlineStr">
        <is>
          <t>Электроды сварочные Э42, диаметр 4 мм</t>
        </is>
      </c>
      <c r="E309" s="374" t="inlineStr">
        <is>
          <t>т</t>
        </is>
      </c>
      <c r="F309" s="374" t="n">
        <v>1.2412</v>
      </c>
      <c r="G309" s="290" t="n">
        <v>10315.01</v>
      </c>
      <c r="H309" s="302">
        <f>ROUND(F309*G309,2)</f>
        <v/>
      </c>
      <c r="I309" s="314" t="n"/>
    </row>
    <row r="310">
      <c r="A310" s="300" t="n">
        <v>294</v>
      </c>
      <c r="B310" s="346" t="n"/>
      <c r="C310" s="287" t="inlineStr">
        <is>
          <t>01.6.04.02-0011</t>
        </is>
      </c>
      <c r="D310" s="288" t="inlineStr">
        <is>
          <t>Панели потолочные с комплектующими</t>
        </is>
      </c>
      <c r="E310" s="374" t="inlineStr">
        <is>
          <t>м2</t>
        </is>
      </c>
      <c r="F310" s="374" t="n">
        <v>246.64</v>
      </c>
      <c r="G310" s="290" t="n">
        <v>51.8</v>
      </c>
      <c r="H310" s="302">
        <f>ROUND(F310*G310,2)</f>
        <v/>
      </c>
      <c r="I310" s="314" t="n"/>
    </row>
    <row r="311">
      <c r="A311" s="300" t="n">
        <v>295</v>
      </c>
      <c r="B311" s="346" t="n"/>
      <c r="C311" s="287" t="inlineStr">
        <is>
          <t>Прайс из СД ОП</t>
        </is>
      </c>
      <c r="D311" s="288" t="inlineStr">
        <is>
          <t xml:space="preserve">Решетка декоративная Р100-1200х2000-С </t>
        </is>
      </c>
      <c r="E311" s="374" t="inlineStr">
        <is>
          <t>шт.</t>
        </is>
      </c>
      <c r="F311" s="374" t="n">
        <v>6</v>
      </c>
      <c r="G311" s="290" t="n">
        <v>2080.89</v>
      </c>
      <c r="H311" s="302">
        <f>ROUND(F311*G311,2)</f>
        <v/>
      </c>
      <c r="I311" s="314" t="n"/>
    </row>
    <row r="312">
      <c r="A312" s="300" t="n">
        <v>296</v>
      </c>
      <c r="B312" s="346" t="n"/>
      <c r="C312" s="287" t="inlineStr">
        <is>
          <t>01.7.11.07-0036</t>
        </is>
      </c>
      <c r="D312" s="288" t="inlineStr">
        <is>
          <t>Электроды сварочные Э46, диаметр 4 мм</t>
        </is>
      </c>
      <c r="E312" s="374" t="inlineStr">
        <is>
          <t>кг</t>
        </is>
      </c>
      <c r="F312" s="374" t="n">
        <v>1160.536</v>
      </c>
      <c r="G312" s="290" t="n">
        <v>10.75</v>
      </c>
      <c r="H312" s="302">
        <f>ROUND(F312*G312,2)</f>
        <v/>
      </c>
      <c r="I312" s="314" t="n"/>
    </row>
    <row r="313">
      <c r="A313" s="300" t="n">
        <v>297</v>
      </c>
      <c r="B313" s="346" t="n"/>
      <c r="C313" s="287" t="inlineStr">
        <is>
          <t>01.7.15.03-0042</t>
        </is>
      </c>
      <c r="D313" s="288" t="inlineStr">
        <is>
          <t>Болты с гайками и шайбами строительные</t>
        </is>
      </c>
      <c r="E313" s="374" t="inlineStr">
        <is>
          <t>кг</t>
        </is>
      </c>
      <c r="F313" s="374" t="n">
        <v>1376.9406</v>
      </c>
      <c r="G313" s="290" t="n">
        <v>9.039999999999999</v>
      </c>
      <c r="H313" s="302">
        <f>ROUND(F313*G313,2)</f>
        <v/>
      </c>
      <c r="I313" s="314" t="n"/>
    </row>
    <row r="314">
      <c r="A314" s="300" t="n">
        <v>298</v>
      </c>
      <c r="B314" s="346" t="n"/>
      <c r="C314" s="287" t="inlineStr">
        <is>
          <t>14.4.04.08-0003</t>
        </is>
      </c>
      <c r="D314" s="288" t="inlineStr">
        <is>
          <t>Эмаль ПФ-115, серая</t>
        </is>
      </c>
      <c r="E314" s="374" t="inlineStr">
        <is>
          <t>т</t>
        </is>
      </c>
      <c r="F314" s="374" t="n">
        <v>0.861</v>
      </c>
      <c r="G314" s="290" t="n">
        <v>14312.87</v>
      </c>
      <c r="H314" s="302">
        <f>ROUND(F314*G314,2)</f>
        <v/>
      </c>
      <c r="I314" s="314" t="n"/>
    </row>
    <row r="315" ht="38.25" customFormat="1" customHeight="1" s="299">
      <c r="A315" s="300" t="n">
        <v>299</v>
      </c>
      <c r="B315" s="346" t="n"/>
      <c r="C315" s="287" t="inlineStr">
        <is>
          <t>04.1.01.01-0024</t>
        </is>
      </c>
      <c r="D315" s="288" t="inlineStr">
        <is>
          <t>Смеси бетонные легкого бетона (БСЛ) на пористых заполнителях, средняя плотность D1000 кг/м3, крупность заполнителя 10 мм, класс B7,5 (М100)</t>
        </is>
      </c>
      <c r="E315" s="374" t="inlineStr">
        <is>
          <t>м3</t>
        </is>
      </c>
      <c r="F315" s="374" t="n">
        <v>16.76656</v>
      </c>
      <c r="G315" s="290" t="n">
        <v>729.6</v>
      </c>
      <c r="H315" s="302">
        <f>ROUND(F315*G315,2)</f>
        <v/>
      </c>
      <c r="I315" s="314" t="n"/>
    </row>
    <row r="316" ht="38.25" customHeight="1" s="248">
      <c r="A316" s="300" t="n">
        <v>300</v>
      </c>
      <c r="B316" s="346" t="n"/>
      <c r="C316" s="287" t="inlineStr">
        <is>
          <t>12.1.01.05-0014</t>
        </is>
      </c>
      <c r="D316" s="288" t="inlineStr">
        <is>
          <t>Кронштейн желоба металлический для водосточных систем, покрытие полиэстер, диаметр 185 мм, длина 350 мм</t>
        </is>
      </c>
      <c r="E316" s="374" t="inlineStr">
        <is>
          <t>шт</t>
        </is>
      </c>
      <c r="F316" s="374" t="n">
        <v>211</v>
      </c>
      <c r="G316" s="290" t="n">
        <v>57.82</v>
      </c>
      <c r="H316" s="302">
        <f>ROUND(F316*G316,2)</f>
        <v/>
      </c>
      <c r="I316" s="314" t="n"/>
    </row>
    <row r="317" ht="38.25" customHeight="1" s="248">
      <c r="A317" s="300" t="n">
        <v>301</v>
      </c>
      <c r="B317" s="346" t="n"/>
      <c r="C317" s="287" t="inlineStr">
        <is>
          <t>10.2.02.02-0054</t>
        </is>
      </c>
      <c r="D317" s="288" t="inlineStr">
        <is>
          <t>Ленты медные общего назначения марок М2 и М3 твердые, нормальной точности, шириной: 20-50 мм, толщиной 0,50 мм</t>
        </is>
      </c>
      <c r="E317" s="374" t="inlineStr">
        <is>
          <t>т</t>
        </is>
      </c>
      <c r="F317" s="374" t="n">
        <v>0.168</v>
      </c>
      <c r="G317" s="290" t="n">
        <v>72495.14999999999</v>
      </c>
      <c r="H317" s="302">
        <f>ROUND(F317*G317,2)</f>
        <v/>
      </c>
      <c r="I317" s="314" t="n"/>
      <c r="K317" s="307" t="n"/>
    </row>
    <row r="318">
      <c r="A318" s="300" t="n">
        <v>302</v>
      </c>
      <c r="B318" s="346" t="n"/>
      <c r="C318" s="287" t="inlineStr">
        <is>
          <t>Прайс из СД ОП</t>
        </is>
      </c>
      <c r="D318" s="288" t="inlineStr">
        <is>
          <t>Зажим подключения экрана  KLBUE 4-13.5</t>
        </is>
      </c>
      <c r="E318" s="374" t="inlineStr">
        <is>
          <t>шт.</t>
        </is>
      </c>
      <c r="F318" s="374" t="n">
        <v>3100</v>
      </c>
      <c r="G318" s="290" t="n">
        <v>3.85</v>
      </c>
      <c r="H318" s="302">
        <f>ROUND(F318*G318,2)</f>
        <v/>
      </c>
      <c r="I318" s="314" t="n"/>
      <c r="K318" s="307" t="n"/>
    </row>
    <row r="319" ht="25.5" customHeight="1" s="248">
      <c r="A319" s="300" t="n">
        <v>303</v>
      </c>
      <c r="B319" s="346" t="n"/>
      <c r="C319" s="287" t="inlineStr">
        <is>
          <t>12.1.01.05-0068</t>
        </is>
      </c>
      <c r="D319" s="288" t="inlineStr">
        <is>
          <t>Труба металлическая для водосточных систем, покрытие полиэстер, диаметр 150 мм, длина 3000 мм</t>
        </is>
      </c>
      <c r="E319" s="374" t="inlineStr">
        <is>
          <t>шт</t>
        </is>
      </c>
      <c r="F319" s="374" t="n">
        <v>33.333333</v>
      </c>
      <c r="G319" s="290" t="n">
        <v>357.8</v>
      </c>
      <c r="H319" s="302">
        <f>ROUND(F319*G319,2)</f>
        <v/>
      </c>
      <c r="I319" s="314" t="n"/>
      <c r="K319" s="307" t="n"/>
    </row>
    <row r="320" ht="38.25" customHeight="1" s="248">
      <c r="A320" s="300" t="n">
        <v>304</v>
      </c>
      <c r="B320" s="346" t="n"/>
      <c r="C320" s="287" t="inlineStr">
        <is>
          <t>05.1.06.05-0003</t>
        </is>
      </c>
      <c r="D320" s="288" t="inlineStr">
        <is>
          <t>Плиты перекрытия плоские из бетона В15 (М200), объемом: от 0,2 до 1,0 м3 с расходом арматуры 40 кг/м3</t>
        </is>
      </c>
      <c r="E320" s="374" t="inlineStr">
        <is>
          <t>м3</t>
        </is>
      </c>
      <c r="F320" s="374" t="n">
        <v>7.944</v>
      </c>
      <c r="G320" s="290" t="n">
        <v>1474.65</v>
      </c>
      <c r="H320" s="302">
        <f>ROUND(F320*G320,2)</f>
        <v/>
      </c>
    </row>
    <row r="321" ht="51" customHeight="1" s="248">
      <c r="A321" s="300" t="n">
        <v>305</v>
      </c>
      <c r="B321" s="346" t="n"/>
      <c r="C321" s="287" t="inlineStr">
        <is>
          <t>20.5.02.06-0023</t>
        </is>
      </c>
      <c r="D321" s="288" t="inlineStr">
        <is>
          <t>Коробки типа КЗНС-16, для соединения и разветвления электрических цепей с сальниковыми вводами, стальные, степень защиты IP65, количество зажимов 16, размер 272х234х82 мм</t>
        </is>
      </c>
      <c r="E321" s="374" t="inlineStr">
        <is>
          <t>10 шт</t>
        </is>
      </c>
      <c r="F321" s="374" t="n">
        <v>2.4</v>
      </c>
      <c r="G321" s="290" t="n">
        <v>4747.3</v>
      </c>
      <c r="H321" s="302">
        <f>ROUND(F321*G321,2)</f>
        <v/>
      </c>
    </row>
    <row r="322" ht="25.5" customHeight="1" s="248">
      <c r="A322" s="300" t="n">
        <v>306</v>
      </c>
      <c r="B322" s="346" t="n"/>
      <c r="C322" s="287" t="inlineStr">
        <is>
          <t>08.4.03.03-0030</t>
        </is>
      </c>
      <c r="D322" s="288" t="inlineStr">
        <is>
          <t>Сталь арматурная, горячекатаная, периодического профиля, класс А-III, диаметр 8 мм</t>
        </is>
      </c>
      <c r="E322" s="374" t="inlineStr">
        <is>
          <t>т</t>
        </is>
      </c>
      <c r="F322" s="374" t="n">
        <v>1.38557</v>
      </c>
      <c r="G322" s="290" t="n">
        <v>8102.64</v>
      </c>
      <c r="H322" s="302">
        <f>ROUND(F322*G322,2)</f>
        <v/>
      </c>
    </row>
    <row r="323">
      <c r="A323" s="300" t="n">
        <v>307</v>
      </c>
      <c r="B323" s="346" t="n"/>
      <c r="C323" s="287" t="inlineStr">
        <is>
          <t>14.5.11.01-0001</t>
        </is>
      </c>
      <c r="D323" s="288" t="inlineStr">
        <is>
          <t>Шпатлевка клеевая</t>
        </is>
      </c>
      <c r="E323" s="374" t="inlineStr">
        <is>
          <t>т</t>
        </is>
      </c>
      <c r="F323" s="374" t="n">
        <v>2.6055</v>
      </c>
      <c r="G323" s="290" t="n">
        <v>4294</v>
      </c>
      <c r="H323" s="302">
        <f>ROUND(F323*G323,2)</f>
        <v/>
      </c>
    </row>
    <row r="324" ht="25.5" customHeight="1" s="248">
      <c r="A324" s="300" t="n">
        <v>308</v>
      </c>
      <c r="B324" s="346" t="n"/>
      <c r="C324" s="287" t="inlineStr">
        <is>
          <t>Прайс из СД ОП</t>
        </is>
      </c>
      <c r="D324" s="288" t="inlineStr">
        <is>
          <t xml:space="preserve">Клапан воздушный ГЕРМИК-С-500х500-Н-1*LF230-S-1-УХЛ2 </t>
        </is>
      </c>
      <c r="E324" s="374" t="inlineStr">
        <is>
          <t>шт.</t>
        </is>
      </c>
      <c r="F324" s="374" t="n">
        <v>4</v>
      </c>
      <c r="G324" s="290" t="n">
        <v>2741.81</v>
      </c>
      <c r="H324" s="302">
        <f>ROUND(F324*G324,2)</f>
        <v/>
      </c>
    </row>
    <row r="325" ht="25.5" customHeight="1" s="248">
      <c r="A325" s="300" t="n">
        <v>309</v>
      </c>
      <c r="B325" s="346" t="n"/>
      <c r="C325" s="287" t="inlineStr">
        <is>
          <t>08.4.03.03-0033</t>
        </is>
      </c>
      <c r="D325" s="288" t="inlineStr">
        <is>
          <t>Сталь арматурная, горячекатаная, периодического профиля, класс А-III, диаметр 14 мм</t>
        </is>
      </c>
      <c r="E325" s="374" t="inlineStr">
        <is>
          <t>т</t>
        </is>
      </c>
      <c r="F325" s="374" t="n">
        <v>1.282</v>
      </c>
      <c r="G325" s="290" t="n">
        <v>7997.23</v>
      </c>
      <c r="H325" s="302">
        <f>ROUND(F325*G325,2)</f>
        <v/>
      </c>
    </row>
    <row r="326" ht="25.5" customHeight="1" s="248">
      <c r="A326" s="300" t="n">
        <v>310</v>
      </c>
      <c r="B326" s="346" t="n"/>
      <c r="C326" s="287" t="inlineStr">
        <is>
          <t>04.1.02.05-0003</t>
        </is>
      </c>
      <c r="D326" s="288" t="inlineStr">
        <is>
          <t>Смеси бетонные тяжелого бетона (БСТ), класс В7,5 (М100)</t>
        </is>
      </c>
      <c r="E326" s="374" t="inlineStr">
        <is>
          <t>м3</t>
        </is>
      </c>
      <c r="F326" s="374" t="n">
        <v>18.054</v>
      </c>
      <c r="G326" s="290" t="n">
        <v>560</v>
      </c>
      <c r="H326" s="302">
        <f>ROUND(F326*G326,2)</f>
        <v/>
      </c>
    </row>
    <row r="327">
      <c r="A327" s="300" t="n">
        <v>311</v>
      </c>
      <c r="B327" s="346" t="n"/>
      <c r="C327" s="287" t="inlineStr">
        <is>
          <t>07.2.05.01-0001</t>
        </is>
      </c>
      <c r="D327" s="288" t="inlineStr">
        <is>
          <t>Косоуры</t>
        </is>
      </c>
      <c r="E327" s="374" t="inlineStr">
        <is>
          <t>т</t>
        </is>
      </c>
      <c r="F327" s="374" t="n">
        <v>1.027</v>
      </c>
      <c r="G327" s="290" t="n">
        <v>9820.99</v>
      </c>
      <c r="H327" s="302">
        <f>ROUND(F327*G327,2)</f>
        <v/>
      </c>
    </row>
    <row r="328">
      <c r="A328" s="300" t="n">
        <v>312</v>
      </c>
      <c r="B328" s="346" t="n"/>
      <c r="C328" s="287" t="inlineStr">
        <is>
          <t>Прайс из СД ОП</t>
        </is>
      </c>
      <c r="D328" s="288" t="inlineStr">
        <is>
          <t>Кабельный ввод IP68 PG-M-36</t>
        </is>
      </c>
      <c r="E328" s="374" t="inlineStr">
        <is>
          <t>шт.</t>
        </is>
      </c>
      <c r="F328" s="374" t="n">
        <v>100</v>
      </c>
      <c r="G328" s="290" t="n">
        <v>100.61</v>
      </c>
      <c r="H328" s="302">
        <f>ROUND(F328*G328,2)</f>
        <v/>
      </c>
    </row>
    <row r="329" ht="25.5" customHeight="1" s="248">
      <c r="A329" s="300" t="n">
        <v>313</v>
      </c>
      <c r="B329" s="346" t="n"/>
      <c r="C329" s="287" t="inlineStr">
        <is>
          <t>24.2.05.03-0001</t>
        </is>
      </c>
      <c r="D329" s="288" t="inlineStr">
        <is>
          <t>Трубы хризотилцементные напорные, класс ВТ6, номинальный диаметр 100 мм</t>
        </is>
      </c>
      <c r="E329" s="374" t="inlineStr">
        <is>
          <t>м</t>
        </is>
      </c>
      <c r="F329" s="374" t="n">
        <v>671</v>
      </c>
      <c r="G329" s="290" t="n">
        <v>14.74</v>
      </c>
      <c r="H329" s="302">
        <f>ROUND(F329*G329,2)</f>
        <v/>
      </c>
    </row>
    <row r="330" ht="38.25" customHeight="1" s="248">
      <c r="A330" s="300" t="n">
        <v>314</v>
      </c>
      <c r="B330" s="346" t="n"/>
      <c r="C330" s="287" t="inlineStr">
        <is>
          <t>02.3.01.02-0016</t>
        </is>
      </c>
      <c r="D330" s="288" t="inlineStr">
        <is>
          <t>Песок природный для строительных: работ средний с крупностью зерен размером свыше 5 мм - до 5% по массе</t>
        </is>
      </c>
      <c r="E330" s="374" t="inlineStr">
        <is>
          <t>м3</t>
        </is>
      </c>
      <c r="F330" s="374" t="n">
        <v>177.344</v>
      </c>
      <c r="G330" s="290" t="n">
        <v>55.26</v>
      </c>
      <c r="H330" s="302">
        <f>ROUND(F330*G330,2)</f>
        <v/>
      </c>
      <c r="I330" s="314" t="n"/>
    </row>
    <row r="331">
      <c r="A331" s="300" t="n">
        <v>315</v>
      </c>
      <c r="B331" s="346" t="n"/>
      <c r="C331" s="287" t="inlineStr">
        <is>
          <t>12.2.05.10-1004</t>
        </is>
      </c>
      <c r="D331" s="288" t="inlineStr">
        <is>
          <t>Плиты минераловатные, толщина 120 мм</t>
        </is>
      </c>
      <c r="E331" s="374" t="inlineStr">
        <is>
          <t>м2</t>
        </is>
      </c>
      <c r="F331" s="374" t="n">
        <v>285</v>
      </c>
      <c r="G331" s="290" t="n">
        <v>34.33</v>
      </c>
      <c r="H331" s="302">
        <f>ROUND(F331*G331,2)</f>
        <v/>
      </c>
      <c r="I331" s="314" t="n"/>
    </row>
    <row r="332" ht="63.75" customHeight="1" s="248">
      <c r="A332" s="300" t="n">
        <v>316</v>
      </c>
      <c r="B332" s="346" t="n"/>
      <c r="C332" s="287" t="inlineStr">
        <is>
          <t>12.1.02.11-0014</t>
        </is>
      </c>
      <c r="D332" s="288" t="inlineStr">
        <is>
          <t>Мембрана полипропиленовая ветро-влагозащитная паропроницаемая, пожарно-технические характеристики Г3, РП1, В2, плотность потока водяного пара 2000 г/(м2*24ч), водоупорность не менее 300 мм.вод.ст</t>
        </is>
      </c>
      <c r="E332" s="374" t="inlineStr">
        <is>
          <t>10 м2</t>
        </is>
      </c>
      <c r="F332" s="374" t="n">
        <v>246.2217</v>
      </c>
      <c r="G332" s="290" t="n">
        <v>39.2</v>
      </c>
      <c r="H332" s="302">
        <f>ROUND(F332*G332,2)</f>
        <v/>
      </c>
      <c r="I332" s="314" t="n"/>
    </row>
    <row r="333">
      <c r="A333" s="300" t="n">
        <v>317</v>
      </c>
      <c r="B333" s="346" t="n"/>
      <c r="C333" s="287" t="inlineStr">
        <is>
          <t>01.7.15.14-0217</t>
        </is>
      </c>
      <c r="D333" s="288" t="inlineStr">
        <is>
          <t>Шурупы самосверлящие для втулок 4,8х150 мм</t>
        </is>
      </c>
      <c r="E333" s="374" t="inlineStr">
        <is>
          <t>100 шт</t>
        </is>
      </c>
      <c r="F333" s="374" t="n">
        <v>34.14</v>
      </c>
      <c r="G333" s="290" t="n">
        <v>279</v>
      </c>
      <c r="H333" s="302">
        <f>ROUND(F333*G333,2)</f>
        <v/>
      </c>
      <c r="I333" s="314" t="n"/>
    </row>
    <row r="334" ht="25.5" customHeight="1" s="248">
      <c r="A334" s="300" t="n">
        <v>318</v>
      </c>
      <c r="B334" s="346" t="n"/>
      <c r="C334" s="287" t="inlineStr">
        <is>
          <t>08.4.03.03-0032</t>
        </is>
      </c>
      <c r="D334" s="288" t="inlineStr">
        <is>
          <t>Сталь арматурная, горячекатаная, периодического профиля, класс А-III, диаметр 12 мм (для сетки 2С)</t>
        </is>
      </c>
      <c r="E334" s="374" t="inlineStr">
        <is>
          <t>т</t>
        </is>
      </c>
      <c r="F334" s="374" t="n">
        <v>1.17568</v>
      </c>
      <c r="G334" s="290" t="n">
        <v>7997.23</v>
      </c>
      <c r="H334" s="302">
        <f>ROUND(F334*G334,2)</f>
        <v/>
      </c>
      <c r="I334" s="314" t="n"/>
    </row>
    <row r="335">
      <c r="A335" s="300" t="n">
        <v>319</v>
      </c>
      <c r="B335" s="346" t="n"/>
      <c r="C335" s="287" t="inlineStr">
        <is>
          <t>11.2.13.04-0011</t>
        </is>
      </c>
      <c r="D335" s="288" t="inlineStr">
        <is>
          <t>Щиты из досок, толщина 25 мм</t>
        </is>
      </c>
      <c r="E335" s="374" t="inlineStr">
        <is>
          <t>м2</t>
        </is>
      </c>
      <c r="F335" s="374" t="n">
        <v>263.3656</v>
      </c>
      <c r="G335" s="290" t="n">
        <v>35.53</v>
      </c>
      <c r="H335" s="302">
        <f>ROUND(F335*G335,2)</f>
        <v/>
      </c>
      <c r="I335" s="314" t="n"/>
    </row>
    <row r="336" ht="25.5" customHeight="1" s="248">
      <c r="A336" s="300" t="n">
        <v>320</v>
      </c>
      <c r="B336" s="346" t="n"/>
      <c r="C336" s="287" t="inlineStr">
        <is>
          <t>Прайс из СД ОП</t>
        </is>
      </c>
      <c r="D336" s="288" t="inlineStr">
        <is>
          <t>Кабельный ввод для светильников ВЭЛ-51-СД.Л, ВЭЛАН-73 ВК-Н-ВЭЛ4Т-М25-Exd-G3/4</t>
        </is>
      </c>
      <c r="E336" s="374" t="inlineStr">
        <is>
          <t>шт.</t>
        </is>
      </c>
      <c r="F336" s="374" t="n">
        <v>87</v>
      </c>
      <c r="G336" s="290" t="n">
        <v>107.54</v>
      </c>
      <c r="H336" s="302">
        <f>ROUND(F336*G336,2)</f>
        <v/>
      </c>
      <c r="I336" s="314" t="n"/>
    </row>
    <row r="337" ht="25.5" customHeight="1" s="248">
      <c r="A337" s="300" t="n">
        <v>321</v>
      </c>
      <c r="B337" s="346" t="n"/>
      <c r="C337" s="287" t="inlineStr">
        <is>
          <t>19.3.01.06-0155</t>
        </is>
      </c>
      <c r="D337" s="288" t="inlineStr">
        <is>
          <t>Клапаны воздушные под ручной или электропривод ВК, размер 800х800 мм</t>
        </is>
      </c>
      <c r="E337" s="374" t="inlineStr">
        <is>
          <t>шт</t>
        </is>
      </c>
      <c r="F337" s="374" t="n">
        <v>6</v>
      </c>
      <c r="G337" s="290" t="n">
        <v>1502.17</v>
      </c>
      <c r="H337" s="302">
        <f>ROUND(F337*G337,2)</f>
        <v/>
      </c>
      <c r="I337" s="314" t="n"/>
    </row>
    <row r="338" ht="25.5" customHeight="1" s="248">
      <c r="A338" s="300" t="n">
        <v>322</v>
      </c>
      <c r="B338" s="346" t="n"/>
      <c r="C338" s="287" t="inlineStr">
        <is>
          <t>07.2.07.04-0007</t>
        </is>
      </c>
      <c r="D338" s="288" t="inlineStr">
        <is>
          <t>Конструкции стальные индивидуальные решетчатые сварные, масса до 0,1 т</t>
        </is>
      </c>
      <c r="E338" s="374" t="inlineStr">
        <is>
          <t>т</t>
        </is>
      </c>
      <c r="F338" s="374" t="n">
        <v>0.783</v>
      </c>
      <c r="G338" s="290" t="n">
        <v>11500</v>
      </c>
      <c r="H338" s="302">
        <f>ROUND(F338*G338,2)</f>
        <v/>
      </c>
      <c r="I338" s="314" t="n"/>
    </row>
    <row r="339" ht="38.25" customHeight="1" s="248">
      <c r="A339" s="300" t="n">
        <v>323</v>
      </c>
      <c r="B339" s="346" t="n"/>
      <c r="C339" s="287" t="inlineStr">
        <is>
          <t>05.2.02.01-0057</t>
        </is>
      </c>
      <c r="D339" s="288" t="inlineStr">
        <is>
          <t>Блоки бетонные для стен подвалов полнотелые ФБС24-6-6-Т, бетон B7,5 (М100, объем 0,815 м3, расход арматуры 2,36 кг</t>
        </is>
      </c>
      <c r="E339" s="374" t="inlineStr">
        <is>
          <t>шт</t>
        </is>
      </c>
      <c r="F339" s="374" t="n">
        <v>19</v>
      </c>
      <c r="G339" s="290" t="n">
        <v>472.7</v>
      </c>
      <c r="H339" s="302">
        <f>ROUND(F339*G339,2)</f>
        <v/>
      </c>
      <c r="I339" s="314" t="n"/>
    </row>
    <row r="340" ht="38.25" customHeight="1" s="248">
      <c r="A340" s="300" t="n">
        <v>324</v>
      </c>
      <c r="B340" s="346" t="n"/>
      <c r="C340" s="287" t="inlineStr">
        <is>
          <t>12.1.01.05-0025</t>
        </is>
      </c>
      <c r="D340" s="288" t="inlineStr">
        <is>
          <t>Хомут для труб (на твердое основание) металлический для водосточных систем, покрытие полиэстер, с крепежом, диаметр 150 мм</t>
        </is>
      </c>
      <c r="E340" s="374" t="inlineStr">
        <is>
          <t>шт</t>
        </is>
      </c>
      <c r="F340" s="374" t="n">
        <v>135</v>
      </c>
      <c r="G340" s="290" t="n">
        <v>65.06</v>
      </c>
      <c r="H340" s="302">
        <f>ROUND(F340*G340,2)</f>
        <v/>
      </c>
      <c r="I340" s="314" t="n"/>
    </row>
    <row r="341">
      <c r="A341" s="300" t="n">
        <v>325</v>
      </c>
      <c r="B341" s="346" t="n"/>
      <c r="C341" s="287" t="inlineStr">
        <is>
          <t>01.2.03.03-0013</t>
        </is>
      </c>
      <c r="D341" s="288" t="inlineStr">
        <is>
          <t>Мастика битумная кровельная горячая</t>
        </is>
      </c>
      <c r="E341" s="374" t="inlineStr">
        <is>
          <t>т</t>
        </is>
      </c>
      <c r="F341" s="374" t="n">
        <v>2.579</v>
      </c>
      <c r="G341" s="290" t="n">
        <v>3390</v>
      </c>
      <c r="H341" s="302">
        <f>ROUND(F341*G341,2)</f>
        <v/>
      </c>
      <c r="I341" s="314" t="n"/>
      <c r="K341" s="307" t="n"/>
    </row>
    <row r="342" ht="25.5" customHeight="1" s="248">
      <c r="A342" s="300" t="n">
        <v>326</v>
      </c>
      <c r="B342" s="346" t="n"/>
      <c r="C342" s="287" t="inlineStr">
        <is>
          <t>07.1.01.01-0015</t>
        </is>
      </c>
      <c r="D342" s="288" t="inlineStr">
        <is>
          <t>Дверь противопожарная металлическая однопольная ДПМ-01/30, размером 1000х2100 мм</t>
        </is>
      </c>
      <c r="E342" s="374" t="inlineStr">
        <is>
          <t>шт</t>
        </is>
      </c>
      <c r="F342" s="374" t="n">
        <v>3</v>
      </c>
      <c r="G342" s="290" t="n">
        <v>2900.88</v>
      </c>
      <c r="H342" s="302">
        <f>ROUND(F342*G342,2)</f>
        <v/>
      </c>
      <c r="I342" s="314" t="n"/>
    </row>
    <row r="343" ht="38.25" customHeight="1" s="248">
      <c r="A343" s="300" t="n">
        <v>327</v>
      </c>
      <c r="B343" s="346" t="n"/>
      <c r="C343" s="287" t="inlineStr">
        <is>
          <t>23.3.06.02-0004</t>
        </is>
      </c>
      <c r="D343" s="288" t="inlineStr">
        <is>
          <t>Трубы стальные сварные оцинкованные водогазопроводные с резьбой, обыкновенные, номинальный диаметр 32 мм, толщина стенки 3,2 мм</t>
        </is>
      </c>
      <c r="E343" s="374" t="inlineStr">
        <is>
          <t>м</t>
        </is>
      </c>
      <c r="F343" s="374" t="n">
        <v>213.9</v>
      </c>
      <c r="G343" s="290" t="n">
        <v>40.5</v>
      </c>
      <c r="H343" s="302">
        <f>ROUND(F343*G343,2)</f>
        <v/>
      </c>
      <c r="I343" s="314" t="n"/>
    </row>
    <row r="344" ht="25.5" customHeight="1" s="248">
      <c r="A344" s="300" t="n">
        <v>328</v>
      </c>
      <c r="B344" s="346" t="n"/>
      <c r="C344" s="287" t="inlineStr">
        <is>
          <t>01.6.01.01-0001</t>
        </is>
      </c>
      <c r="D344" s="288" t="inlineStr">
        <is>
          <t>Лист гипсоволокнистый влагостойкий ГВЛВ, толщина 10 мм</t>
        </is>
      </c>
      <c r="E344" s="374" t="inlineStr">
        <is>
          <t>м2</t>
        </is>
      </c>
      <c r="F344" s="374" t="n">
        <v>360.09</v>
      </c>
      <c r="G344" s="290" t="n">
        <v>23.52</v>
      </c>
      <c r="H344" s="302">
        <f>ROUND(F344*G344,2)</f>
        <v/>
      </c>
      <c r="I344" s="314" t="n"/>
    </row>
    <row r="345">
      <c r="A345" s="300" t="n">
        <v>329</v>
      </c>
      <c r="B345" s="346" t="n"/>
      <c r="C345" s="287" t="inlineStr">
        <is>
          <t>14.2.02.06-0001</t>
        </is>
      </c>
      <c r="D345" s="288" t="inlineStr">
        <is>
          <t>Материал базальтовый огнезащитный рулонный</t>
        </is>
      </c>
      <c r="E345" s="374" t="inlineStr">
        <is>
          <t>м2</t>
        </is>
      </c>
      <c r="F345" s="374" t="n">
        <v>213.18</v>
      </c>
      <c r="G345" s="290" t="n">
        <v>39.57</v>
      </c>
      <c r="H345" s="302">
        <f>ROUND(F345*G345,2)</f>
        <v/>
      </c>
      <c r="I345" s="314" t="n"/>
    </row>
    <row r="346">
      <c r="A346" s="300" t="n">
        <v>330</v>
      </c>
      <c r="B346" s="346" t="n"/>
      <c r="C346" s="287" t="inlineStr">
        <is>
          <t>14.1.06.04-0010</t>
        </is>
      </c>
      <c r="D346" s="288" t="inlineStr">
        <is>
          <t>Клей плиточный «Боларс Аква»</t>
        </is>
      </c>
      <c r="E346" s="374" t="inlineStr">
        <is>
          <t>кг</t>
        </is>
      </c>
      <c r="F346" s="374" t="n">
        <v>1686.6</v>
      </c>
      <c r="G346" s="290" t="n">
        <v>4.93</v>
      </c>
      <c r="H346" s="302">
        <f>ROUND(F346*G346,2)</f>
        <v/>
      </c>
      <c r="I346" s="314" t="n"/>
    </row>
    <row r="347" ht="38.25" customHeight="1" s="248">
      <c r="A347" s="300" t="n">
        <v>331</v>
      </c>
      <c r="B347" s="346" t="n"/>
      <c r="C347" s="287" t="inlineStr">
        <is>
          <t>07.2.07.12-0020</t>
        </is>
      </c>
      <c r="D347" s="288" t="inlineStr">
        <is>
          <t>Элементы конструктивные зданий и сооружений с преобладанием горячекатаных профилей, средняя масса сборочной единицы от 0,1 до 0,5 т</t>
        </is>
      </c>
      <c r="E347" s="374" t="inlineStr">
        <is>
          <t>т</t>
        </is>
      </c>
      <c r="F347" s="374" t="n">
        <v>1.0509</v>
      </c>
      <c r="G347" s="290" t="n">
        <v>7712</v>
      </c>
      <c r="H347" s="302">
        <f>ROUND(F347*G347,2)</f>
        <v/>
      </c>
      <c r="I347" s="314" t="n"/>
    </row>
    <row r="348" ht="38.25" customHeight="1" s="248">
      <c r="A348" s="300" t="n">
        <v>332</v>
      </c>
      <c r="B348" s="346" t="n"/>
      <c r="C348" s="287" t="inlineStr">
        <is>
          <t>05.2.02.01-0035</t>
        </is>
      </c>
      <c r="D348" s="288" t="inlineStr">
        <is>
          <t>Блоки бетонные для стен подвалов полнотелые ФБС9-3-6-Т, бетон B7,5 (М100, объем 0,146 м3, расход арматуры 0,76 кг</t>
        </is>
      </c>
      <c r="E348" s="374" t="inlineStr">
        <is>
          <t>шт</t>
        </is>
      </c>
      <c r="F348" s="374" t="n">
        <v>88</v>
      </c>
      <c r="G348" s="290" t="n">
        <v>90.53</v>
      </c>
      <c r="H348" s="302">
        <f>ROUND(F348*G348,2)</f>
        <v/>
      </c>
      <c r="I348" s="314" t="n"/>
    </row>
    <row r="349" ht="25.5" customHeight="1" s="248">
      <c r="A349" s="300" t="n">
        <v>333</v>
      </c>
      <c r="B349" s="346" t="n"/>
      <c r="C349" s="287" t="inlineStr">
        <is>
          <t>11.1.03.06-0094</t>
        </is>
      </c>
      <c r="D349" s="288" t="inlineStr">
        <is>
          <t>Доска обрезная, хвойных пород, ширина 75-150 мм, толщина 44 мм и более, длина 4-6,5 м, сорт II</t>
        </is>
      </c>
      <c r="E349" s="374" t="inlineStr">
        <is>
          <t>м3</t>
        </is>
      </c>
      <c r="F349" s="374" t="n">
        <v>6.006</v>
      </c>
      <c r="G349" s="290" t="n">
        <v>1320</v>
      </c>
      <c r="H349" s="302">
        <f>ROUND(F349*G349,2)</f>
        <v/>
      </c>
      <c r="I349" s="314" t="n"/>
    </row>
    <row r="350" customFormat="1" s="299">
      <c r="A350" s="300" t="n">
        <v>334</v>
      </c>
      <c r="B350" s="346" t="n"/>
      <c r="C350" s="287" t="inlineStr">
        <is>
          <t>Прайс из СД ОП</t>
        </is>
      </c>
      <c r="D350" s="288" t="inlineStr">
        <is>
          <t xml:space="preserve">Клапан ГЕРМИК-П-Н-1100х1100-1*SM230A-1-УХЛ2 </t>
        </is>
      </c>
      <c r="E350" s="374" t="inlineStr">
        <is>
          <t>шт.</t>
        </is>
      </c>
      <c r="F350" s="374" t="n">
        <v>2</v>
      </c>
      <c r="G350" s="290" t="n">
        <v>3879.25</v>
      </c>
      <c r="H350" s="302">
        <f>ROUND(F350*G350,2)</f>
        <v/>
      </c>
      <c r="I350" s="314" t="n"/>
    </row>
    <row r="351" ht="25.5" customHeight="1" s="248">
      <c r="A351" s="300" t="n">
        <v>335</v>
      </c>
      <c r="B351" s="346" t="n"/>
      <c r="C351" s="287" t="inlineStr">
        <is>
          <t>19.3.01.06-0152</t>
        </is>
      </c>
      <c r="D351" s="288" t="inlineStr">
        <is>
          <t>Клапаны воздушные под ручной или электропривод ВК, размер 800х500 мм</t>
        </is>
      </c>
      <c r="E351" s="374" t="inlineStr">
        <is>
          <t>шт</t>
        </is>
      </c>
      <c r="F351" s="374" t="n">
        <v>6</v>
      </c>
      <c r="G351" s="290" t="n">
        <v>1267.91</v>
      </c>
      <c r="H351" s="302">
        <f>ROUND(F351*G351,2)</f>
        <v/>
      </c>
      <c r="I351" s="314" t="n"/>
    </row>
    <row r="352">
      <c r="A352" s="300" t="n">
        <v>336</v>
      </c>
      <c r="B352" s="346" t="n"/>
      <c r="C352" s="287" t="inlineStr">
        <is>
          <t>Прайс из СД ОП</t>
        </is>
      </c>
      <c r="D352" s="288" t="inlineStr">
        <is>
          <t>Кабельный подвес Т2-10-1(37,4)</t>
        </is>
      </c>
      <c r="E352" s="374" t="inlineStr">
        <is>
          <t>шт.</t>
        </is>
      </c>
      <c r="F352" s="374" t="n">
        <v>40</v>
      </c>
      <c r="G352" s="290" t="n">
        <v>189.38</v>
      </c>
      <c r="H352" s="302">
        <f>ROUND(F352*G352,2)</f>
        <v/>
      </c>
      <c r="I352" s="314" t="n"/>
      <c r="K352" s="307" t="n"/>
    </row>
    <row r="353" ht="25.5" customHeight="1" s="248">
      <c r="A353" s="300" t="n">
        <v>337</v>
      </c>
      <c r="B353" s="346" t="n"/>
      <c r="C353" s="287" t="inlineStr">
        <is>
          <t>07.1.01.01-0028</t>
        </is>
      </c>
      <c r="D353" s="288" t="inlineStr">
        <is>
          <t>Дверь противопожарная металлическая: остекленная однопольная ДПМО-01/60, размером 900х2100 мм</t>
        </is>
      </c>
      <c r="E353" s="374" t="inlineStr">
        <is>
          <t>шт</t>
        </is>
      </c>
      <c r="F353" s="374" t="n">
        <v>2</v>
      </c>
      <c r="G353" s="290" t="n">
        <v>3756</v>
      </c>
      <c r="H353" s="302">
        <f>ROUND(F353*G353,2)</f>
        <v/>
      </c>
      <c r="I353" s="314" t="n"/>
      <c r="K353" s="307" t="n"/>
    </row>
    <row r="354" ht="25.5" customHeight="1" s="248">
      <c r="A354" s="300" t="n">
        <v>338</v>
      </c>
      <c r="B354" s="346" t="n"/>
      <c r="C354" s="287" t="inlineStr">
        <is>
          <t>12.1.01.05-0036</t>
        </is>
      </c>
      <c r="D354" s="288" t="inlineStr">
        <is>
          <t>Желоб металлический для водосточных систем, покрытие полиэстер, диаметр 185 мм, длина 3000 мм</t>
        </is>
      </c>
      <c r="E354" s="374" t="inlineStr">
        <is>
          <t>шт</t>
        </is>
      </c>
      <c r="F354" s="374" t="n">
        <v>27.266667</v>
      </c>
      <c r="G354" s="290" t="n">
        <v>271.07</v>
      </c>
      <c r="H354" s="302">
        <f>ROUND(F354*G354,2)</f>
        <v/>
      </c>
      <c r="I354" s="314" t="n"/>
      <c r="K354" s="307" t="n"/>
    </row>
    <row r="355" ht="25.5" customHeight="1" s="248">
      <c r="A355" s="300" t="n">
        <v>339</v>
      </c>
      <c r="B355" s="346" t="n"/>
      <c r="C355" s="287" t="inlineStr">
        <is>
          <t>Прайс из СД ОП</t>
        </is>
      </c>
      <c r="D355" s="288" t="inlineStr">
        <is>
          <t>Кабельный ввод для светильников ВЭЛ-51-СД.Л.20... ВЭЛАН-31-СД.Л.60 ВК-Н-ВЭЛ4Т-G1/2-Exd-G1/2</t>
        </is>
      </c>
      <c r="E355" s="374" t="inlineStr">
        <is>
          <t>шт.</t>
        </is>
      </c>
      <c r="F355" s="374" t="n">
        <v>66</v>
      </c>
      <c r="G355" s="290" t="n">
        <v>107.54</v>
      </c>
      <c r="H355" s="302">
        <f>ROUND(F355*G355,2)</f>
        <v/>
      </c>
    </row>
    <row r="356">
      <c r="A356" s="300" t="n">
        <v>340</v>
      </c>
      <c r="B356" s="346" t="n"/>
      <c r="C356" s="287" t="inlineStr">
        <is>
          <t>21.1.05.01-0063</t>
        </is>
      </c>
      <c r="D356" s="288" t="inlineStr">
        <is>
          <t>Кабель силовой гибкий КГ 5х16-660</t>
        </is>
      </c>
      <c r="E356" s="374" t="inlineStr">
        <is>
          <t>1000 м</t>
        </is>
      </c>
      <c r="F356" s="374" t="n">
        <v>0.08160000000000001</v>
      </c>
      <c r="G356" s="290" t="n">
        <v>86269.31</v>
      </c>
      <c r="H356" s="302">
        <f>ROUND(F356*G356,2)</f>
        <v/>
      </c>
    </row>
    <row r="357" ht="25.5" customHeight="1" s="248">
      <c r="A357" s="300" t="n">
        <v>341</v>
      </c>
      <c r="B357" s="346" t="n"/>
      <c r="C357" s="287" t="inlineStr">
        <is>
          <t>21.1.05.01-0063</t>
        </is>
      </c>
      <c r="D357" s="288" t="inlineStr">
        <is>
          <t>Кабель силовой гибкий КГ 5х16-660 (прим. КГ-0,66 5х25)</t>
        </is>
      </c>
      <c r="E357" s="374" t="inlineStr">
        <is>
          <t>1000 м</t>
        </is>
      </c>
      <c r="F357" s="374" t="n">
        <v>0.08160000000000001</v>
      </c>
      <c r="G357" s="290" t="n">
        <v>86269.31</v>
      </c>
      <c r="H357" s="302">
        <f>ROUND(F357*G357,2)</f>
        <v/>
      </c>
    </row>
    <row r="358">
      <c r="A358" s="300" t="n">
        <v>342</v>
      </c>
      <c r="B358" s="346" t="n"/>
      <c r="C358" s="287" t="inlineStr">
        <is>
          <t>06.2.05.03-1000</t>
        </is>
      </c>
      <c r="D358" s="288" t="inlineStr">
        <is>
          <t>Плитка керамогранитная, размер 300х300х8 мм</t>
        </is>
      </c>
      <c r="E358" s="374" t="inlineStr">
        <is>
          <t>м2</t>
        </is>
      </c>
      <c r="F358" s="374" t="n">
        <v>143.361</v>
      </c>
      <c r="G358" s="290" t="n">
        <v>47.83</v>
      </c>
      <c r="H358" s="302">
        <f>ROUND(F358*G358,2)</f>
        <v/>
      </c>
    </row>
    <row r="359" ht="25.5" customHeight="1" s="248">
      <c r="A359" s="300" t="n">
        <v>343</v>
      </c>
      <c r="B359" s="346" t="n"/>
      <c r="C359" s="287" t="inlineStr">
        <is>
          <t>Прайс из СД ОП</t>
        </is>
      </c>
      <c r="D359" s="288" t="inlineStr">
        <is>
          <t xml:space="preserve">Клапан воздушный ГЕРМИК-С-200х200-Н-1*LF230-S-1-УХЛ2 </t>
        </is>
      </c>
      <c r="E359" s="374" t="inlineStr">
        <is>
          <t>шт.</t>
        </is>
      </c>
      <c r="F359" s="374" t="n">
        <v>3</v>
      </c>
      <c r="G359" s="290" t="n">
        <v>2267.07</v>
      </c>
      <c r="H359" s="302">
        <f>ROUND(F359*G359,2)</f>
        <v/>
      </c>
    </row>
    <row r="360" ht="25.5" customHeight="1" s="248">
      <c r="A360" s="300" t="n">
        <v>344</v>
      </c>
      <c r="B360" s="346" t="n"/>
      <c r="C360" s="287" t="inlineStr">
        <is>
          <t>Прайс из СД ОП</t>
        </is>
      </c>
      <c r="D360" s="288" t="inlineStr">
        <is>
          <t>Соединитель полоса-полоса с разделительной пластиной 100х100 мм NG3106</t>
        </is>
      </c>
      <c r="E360" s="374" t="inlineStr">
        <is>
          <t>шт.</t>
        </is>
      </c>
      <c r="F360" s="374" t="n">
        <v>80</v>
      </c>
      <c r="G360" s="290" t="n">
        <v>84.98</v>
      </c>
      <c r="H360" s="302">
        <f>ROUND(F360*G360,2)</f>
        <v/>
      </c>
    </row>
    <row r="361" ht="51" customHeight="1" s="248">
      <c r="A361" s="300" t="n">
        <v>345</v>
      </c>
      <c r="B361" s="346" t="n"/>
      <c r="C361" s="287" t="inlineStr">
        <is>
          <t>07.2.07.12-0006</t>
        </is>
      </c>
      <c r="D361" s="288" t="inlineStr">
        <is>
          <t>Элементы конструктивные вспомогательного назначения, с преобладанием профильного проката, собираемые из двух и более деталей, с отверстиями и без отверстий, соединяемые на сварке</t>
        </is>
      </c>
      <c r="E361" s="374" t="inlineStr">
        <is>
          <t>т</t>
        </is>
      </c>
      <c r="F361" s="374" t="n">
        <v>0.67</v>
      </c>
      <c r="G361" s="290" t="n">
        <v>10045</v>
      </c>
      <c r="H361" s="302">
        <f>ROUND(F361*G361,2)</f>
        <v/>
      </c>
    </row>
    <row r="362" ht="25.5" customHeight="1" s="248">
      <c r="A362" s="300" t="n">
        <v>346</v>
      </c>
      <c r="B362" s="346" t="n"/>
      <c r="C362" s="287" t="inlineStr">
        <is>
          <t>19.1.01.03-0082</t>
        </is>
      </c>
      <c r="D362" s="288" t="inlineStr">
        <is>
          <t>Воздуховоды из оцинкованной стали, толщина 1,0 мм, диаметр до 1000 мм</t>
        </is>
      </c>
      <c r="E362" s="374" t="inlineStr">
        <is>
          <t>м2</t>
        </is>
      </c>
      <c r="F362" s="374" t="n">
        <v>65.94</v>
      </c>
      <c r="G362" s="290" t="n">
        <v>102.06</v>
      </c>
      <c r="H362" s="302">
        <f>ROUND(F362*G362,2)</f>
        <v/>
      </c>
    </row>
    <row r="363" ht="25.5" customHeight="1" s="248">
      <c r="A363" s="300" t="n">
        <v>347</v>
      </c>
      <c r="B363" s="346" t="n"/>
      <c r="C363" s="287" t="inlineStr">
        <is>
          <t>11.2.02.02-0011</t>
        </is>
      </c>
      <c r="D363" s="288" t="inlineStr">
        <is>
          <t>Блок дверной деревянный однопольный ДН 21-9Щ, площадь 1,84 м2</t>
        </is>
      </c>
      <c r="E363" s="374" t="inlineStr">
        <is>
          <t>м2</t>
        </is>
      </c>
      <c r="F363" s="374" t="n">
        <v>28.035</v>
      </c>
      <c r="G363" s="290" t="n">
        <v>239.56</v>
      </c>
      <c r="H363" s="302">
        <f>ROUND(F363*G363,2)</f>
        <v/>
      </c>
    </row>
    <row r="364" ht="38.25" customHeight="1" s="248">
      <c r="A364" s="300" t="n">
        <v>348</v>
      </c>
      <c r="B364" s="346" t="n"/>
      <c r="C364" s="287" t="inlineStr">
        <is>
          <t>07.2.06.03-0195</t>
        </is>
      </c>
      <c r="D364" s="288" t="inlineStr">
        <is>
          <t>Профиль стоечный, стальной, оцинкованный, для монтажа гипсовых перегородок, длина 3 м, сечение 50х50х0,6 мм</t>
        </is>
      </c>
      <c r="E364" s="374" t="inlineStr">
        <is>
          <t>м</t>
        </is>
      </c>
      <c r="F364" s="374" t="n">
        <v>976.9</v>
      </c>
      <c r="G364" s="290" t="n">
        <v>6.86</v>
      </c>
      <c r="H364" s="302">
        <f>ROUND(F364*G364,2)</f>
        <v/>
      </c>
    </row>
    <row r="365" ht="25.5" customHeight="1" s="248">
      <c r="A365" s="300" t="n">
        <v>349</v>
      </c>
      <c r="B365" s="346" t="n"/>
      <c r="C365" s="287" t="inlineStr">
        <is>
          <t>01.7.16.02-0003</t>
        </is>
      </c>
      <c r="D365" s="288" t="inlineStr">
        <is>
          <t>Детали стальных трубчатых лесов, укомплектованные пробками, крючками и хомутами, окрашенные</t>
        </is>
      </c>
      <c r="E365" s="374" t="inlineStr">
        <is>
          <t>т</t>
        </is>
      </c>
      <c r="F365" s="374" t="n">
        <v>1.0973</v>
      </c>
      <c r="G365" s="290" t="n">
        <v>6102</v>
      </c>
      <c r="H365" s="302">
        <f>ROUND(F365*G365,2)</f>
        <v/>
      </c>
      <c r="I365" s="314" t="n"/>
    </row>
    <row r="366">
      <c r="A366" s="300" t="n">
        <v>350</v>
      </c>
      <c r="B366" s="346" t="n"/>
      <c r="C366" s="287" t="inlineStr">
        <is>
          <t>Прайс из СД ОП</t>
        </is>
      </c>
      <c r="D366" s="288" t="inlineStr">
        <is>
          <t xml:space="preserve">Клапан противопожарный КПУ-1Н-О-Н-600х600 </t>
        </is>
      </c>
      <c r="E366" s="374" t="inlineStr">
        <is>
          <t>шт.</t>
        </is>
      </c>
      <c r="F366" s="374" t="n">
        <v>4</v>
      </c>
      <c r="G366" s="290" t="n">
        <v>1656.57</v>
      </c>
      <c r="H366" s="302">
        <f>ROUND(F366*G366,2)</f>
        <v/>
      </c>
      <c r="I366" s="314" t="n"/>
    </row>
    <row r="367" ht="25.5" customHeight="1" s="248">
      <c r="A367" s="300" t="n">
        <v>351</v>
      </c>
      <c r="B367" s="346" t="n"/>
      <c r="C367" s="287" t="inlineStr">
        <is>
          <t>08.4.03.02-0002</t>
        </is>
      </c>
      <c r="D367" s="288" t="inlineStr">
        <is>
          <t>Сталь арматурная, горячекатаная, гладкая, класс А-I, диаметр 8 мм</t>
        </is>
      </c>
      <c r="E367" s="374" t="inlineStr">
        <is>
          <t>т</t>
        </is>
      </c>
      <c r="F367" s="374" t="n">
        <v>0.97378</v>
      </c>
      <c r="G367" s="290" t="n">
        <v>6780</v>
      </c>
      <c r="H367" s="302">
        <f>ROUND(F367*G367,2)</f>
        <v/>
      </c>
      <c r="I367" s="314" t="n"/>
    </row>
    <row r="368" ht="25.5" customHeight="1" s="248">
      <c r="A368" s="300" t="n">
        <v>352</v>
      </c>
      <c r="B368" s="346" t="n"/>
      <c r="C368" s="287" t="inlineStr">
        <is>
          <t>01.7.16.03-0011</t>
        </is>
      </c>
      <c r="D368" s="288" t="inlineStr">
        <is>
          <t>Стойки деревометаллические раздвижные инвентарные</t>
        </is>
      </c>
      <c r="E368" s="374" t="inlineStr">
        <is>
          <t>шт</t>
        </is>
      </c>
      <c r="F368" s="374" t="n">
        <v>6.4578</v>
      </c>
      <c r="G368" s="290" t="n">
        <v>1010</v>
      </c>
      <c r="H368" s="302">
        <f>ROUND(F368*G368,2)</f>
        <v/>
      </c>
      <c r="I368" s="314" t="n"/>
    </row>
    <row r="369" ht="25.5" customHeight="1" s="248">
      <c r="A369" s="300" t="n">
        <v>353</v>
      </c>
      <c r="B369" s="346" t="n"/>
      <c r="C369" s="287" t="inlineStr">
        <is>
          <t>Прайс из СД ОП</t>
        </is>
      </c>
      <c r="D369" s="288" t="inlineStr">
        <is>
          <t xml:space="preserve">Клапан воздушный ГЕРМИК-С-Н-1100х800-1*LM230А-1УХЛ2 </t>
        </is>
      </c>
      <c r="E369" s="374" t="inlineStr">
        <is>
          <t>шт.</t>
        </is>
      </c>
      <c r="F369" s="374" t="n">
        <v>2</v>
      </c>
      <c r="G369" s="290" t="n">
        <v>3255.37</v>
      </c>
      <c r="H369" s="302">
        <f>ROUND(F369*G369,2)</f>
        <v/>
      </c>
      <c r="I369" s="314" t="n"/>
    </row>
    <row r="370" ht="25.5" customHeight="1" s="248">
      <c r="A370" s="300" t="n">
        <v>354</v>
      </c>
      <c r="B370" s="346" t="n"/>
      <c r="C370" s="287" t="inlineStr">
        <is>
          <t>Прайс из СД ОП</t>
        </is>
      </c>
      <c r="D370" s="288" t="inlineStr">
        <is>
          <t xml:space="preserve">Клапан воздушный ГЕРМИК-С-Н-1100х800-1*NM230А-1УХЛ2 </t>
        </is>
      </c>
      <c r="E370" s="374" t="inlineStr">
        <is>
          <t>шт.</t>
        </is>
      </c>
      <c r="F370" s="374" t="n">
        <v>2</v>
      </c>
      <c r="G370" s="290" t="n">
        <v>3255.37</v>
      </c>
      <c r="H370" s="302">
        <f>ROUND(F370*G370,2)</f>
        <v/>
      </c>
      <c r="I370" s="314" t="n"/>
    </row>
    <row r="371">
      <c r="A371" s="300" t="n">
        <v>355</v>
      </c>
      <c r="B371" s="346" t="n"/>
      <c r="C371" s="287" t="inlineStr">
        <is>
          <t>Прайс из СД ОП</t>
        </is>
      </c>
      <c r="D371" s="288" t="inlineStr">
        <is>
          <t xml:space="preserve">Пешеходная дорожка LOGICROOF WalkWay Puzzle </t>
        </is>
      </c>
      <c r="E371" s="374" t="inlineStr">
        <is>
          <t>шт</t>
        </is>
      </c>
      <c r="F371" s="374" t="n">
        <v>94</v>
      </c>
      <c r="G371" s="290" t="n">
        <v>69.23999999999999</v>
      </c>
      <c r="H371" s="302">
        <f>ROUND(F371*G371,2)</f>
        <v/>
      </c>
      <c r="I371" s="314" t="n"/>
    </row>
    <row r="372" ht="25.5" customHeight="1" s="248">
      <c r="A372" s="300" t="n">
        <v>356</v>
      </c>
      <c r="B372" s="346" t="n"/>
      <c r="C372" s="287" t="inlineStr">
        <is>
          <t>Прайс из СД ОП</t>
        </is>
      </c>
      <c r="D372" s="288" t="inlineStr">
        <is>
          <t xml:space="preserve">Клапан воздушный ГЕРМИК-С-Н-700х500-1*LM230А-1УХЛ2 </t>
        </is>
      </c>
      <c r="E372" s="374" t="inlineStr">
        <is>
          <t>шт.</t>
        </is>
      </c>
      <c r="F372" s="374" t="n">
        <v>3</v>
      </c>
      <c r="G372" s="290" t="n">
        <v>2115.09</v>
      </c>
      <c r="H372" s="302">
        <f>ROUND(F372*G372,2)</f>
        <v/>
      </c>
      <c r="I372" s="314" t="n"/>
    </row>
    <row r="373" ht="25.5" customHeight="1" s="248">
      <c r="A373" s="300" t="n">
        <v>357</v>
      </c>
      <c r="B373" s="346" t="n"/>
      <c r="C373" s="287" t="inlineStr">
        <is>
          <t>01.7.19.04-0031</t>
        </is>
      </c>
      <c r="D373" s="288" t="inlineStr">
        <is>
          <t>Прокладки резиновые (пластина техническая прессованная)</t>
        </is>
      </c>
      <c r="E373" s="374" t="inlineStr">
        <is>
          <t>кг</t>
        </is>
      </c>
      <c r="F373" s="374" t="n">
        <v>272.8076</v>
      </c>
      <c r="G373" s="290" t="n">
        <v>23.09</v>
      </c>
      <c r="H373" s="302">
        <f>ROUND(F373*G373,2)</f>
        <v/>
      </c>
      <c r="I373" s="314" t="n"/>
    </row>
    <row r="374">
      <c r="A374" s="300" t="n">
        <v>358</v>
      </c>
      <c r="B374" s="346" t="n"/>
      <c r="C374" s="287" t="inlineStr">
        <is>
          <t>Прайс из СД ОП</t>
        </is>
      </c>
      <c r="D374" s="288" t="inlineStr">
        <is>
          <t>Кабельный подвес Т2-6-1(30,9)</t>
        </is>
      </c>
      <c r="E374" s="374" t="inlineStr">
        <is>
          <t>шт.</t>
        </is>
      </c>
      <c r="F374" s="374" t="n">
        <v>40</v>
      </c>
      <c r="G374" s="290" t="n">
        <v>153.87</v>
      </c>
      <c r="H374" s="302">
        <f>ROUND(F374*G374,2)</f>
        <v/>
      </c>
      <c r="I374" s="314" t="n"/>
    </row>
    <row r="375">
      <c r="A375" s="300" t="n">
        <v>359</v>
      </c>
      <c r="B375" s="346" t="n"/>
      <c r="C375" s="287" t="inlineStr">
        <is>
          <t>08.4.03.04-0001</t>
        </is>
      </c>
      <c r="D375" s="288" t="inlineStr">
        <is>
          <t>Сталь арматурная, горячекатаная, класс А-I, А-II, А-III</t>
        </is>
      </c>
      <c r="E375" s="374" t="inlineStr">
        <is>
          <t>т</t>
        </is>
      </c>
      <c r="F375" s="374" t="n">
        <v>1.08</v>
      </c>
      <c r="G375" s="290" t="n">
        <v>5650</v>
      </c>
      <c r="H375" s="302">
        <f>ROUND(F375*G375,2)</f>
        <v/>
      </c>
      <c r="I375" s="314" t="n"/>
    </row>
    <row r="376" ht="25.5" customHeight="1" s="248">
      <c r="A376" s="300" t="n">
        <v>360</v>
      </c>
      <c r="B376" s="346" t="n"/>
      <c r="C376" s="287" t="inlineStr">
        <is>
          <t>08.1.02.17-0161</t>
        </is>
      </c>
      <c r="D376" s="288" t="inlineStr">
        <is>
          <t>Сетка тканая с квадратными ячейками № 05, без покрытия</t>
        </is>
      </c>
      <c r="E376" s="374" t="inlineStr">
        <is>
          <t>м2</t>
        </is>
      </c>
      <c r="F376" s="374" t="n">
        <v>212.77</v>
      </c>
      <c r="G376" s="290" t="n">
        <v>28.25</v>
      </c>
      <c r="H376" s="302">
        <f>ROUND(F376*G376,2)</f>
        <v/>
      </c>
      <c r="I376" s="314" t="n"/>
      <c r="K376" s="307" t="n"/>
    </row>
    <row r="377" ht="38.25" customHeight="1" s="248">
      <c r="A377" s="300" t="n">
        <v>361</v>
      </c>
      <c r="B377" s="346" t="n"/>
      <c r="C377" s="287" t="inlineStr">
        <is>
          <t>24.3.01.02-0003</t>
        </is>
      </c>
      <c r="D377" s="288" t="inlineStr">
        <is>
          <t>Трубы из самозатухающего ПВХ гибкие гофрированные, легкие, без протяжки, номинальный внутренний диаметр 16 мм</t>
        </is>
      </c>
      <c r="E377" s="374" t="inlineStr">
        <is>
          <t>м</t>
        </is>
      </c>
      <c r="F377" s="374" t="n">
        <v>2680</v>
      </c>
      <c r="G377" s="290" t="n">
        <v>2.24</v>
      </c>
      <c r="H377" s="302">
        <f>ROUND(F377*G377,2)</f>
        <v/>
      </c>
      <c r="I377" s="314" t="n"/>
    </row>
    <row r="378" ht="25.5" customHeight="1" s="248">
      <c r="A378" s="300" t="n">
        <v>362</v>
      </c>
      <c r="B378" s="346" t="n"/>
      <c r="C378" s="287" t="inlineStr">
        <is>
          <t>19.1.01.03-0074</t>
        </is>
      </c>
      <c r="D378" s="288" t="inlineStr">
        <is>
          <t>Воздуховоды из оцинкованной стали, толщина 0,6 мм, диаметр до 450 мм</t>
        </is>
      </c>
      <c r="E378" s="374" t="inlineStr">
        <is>
          <t>м2</t>
        </is>
      </c>
      <c r="F378" s="374" t="n">
        <v>65.312</v>
      </c>
      <c r="G378" s="290" t="n">
        <v>84.05</v>
      </c>
      <c r="H378" s="302">
        <f>ROUND(F378*G378,2)</f>
        <v/>
      </c>
      <c r="I378" s="314" t="n"/>
    </row>
    <row r="379" ht="25.5" customHeight="1" s="248">
      <c r="A379" s="300" t="n">
        <v>363</v>
      </c>
      <c r="B379" s="346" t="n"/>
      <c r="C379" s="287" t="inlineStr">
        <is>
          <t>07.1.01.01-0008</t>
        </is>
      </c>
      <c r="D379" s="288" t="inlineStr">
        <is>
          <t>Дверь противопожарная металлическая двупольная ДПМ-02/60, размером 1500х2100 мм</t>
        </is>
      </c>
      <c r="E379" s="374" t="inlineStr">
        <is>
          <t>шт</t>
        </is>
      </c>
      <c r="F379" s="374" t="n">
        <v>1</v>
      </c>
      <c r="G379" s="290" t="n">
        <v>5451.21</v>
      </c>
      <c r="H379" s="302">
        <f>ROUND(F379*G379,2)</f>
        <v/>
      </c>
      <c r="I379" s="314" t="n"/>
    </row>
    <row r="380">
      <c r="A380" s="300" t="n">
        <v>364</v>
      </c>
      <c r="B380" s="346" t="n"/>
      <c r="C380" s="287" t="inlineStr">
        <is>
          <t>Прайс из СД ОП</t>
        </is>
      </c>
      <c r="D380" s="288" t="inlineStr">
        <is>
          <t>Решетка декоративная ВЕЗА Р100 2400*1500</t>
        </is>
      </c>
      <c r="E380" s="374" t="inlineStr">
        <is>
          <t>шт.</t>
        </is>
      </c>
      <c r="F380" s="374" t="n">
        <v>2</v>
      </c>
      <c r="G380" s="290" t="n">
        <v>2721.21</v>
      </c>
      <c r="H380" s="302">
        <f>ROUND(F380*G380,2)</f>
        <v/>
      </c>
      <c r="I380" s="314" t="n"/>
    </row>
    <row r="381">
      <c r="A381" s="300" t="n">
        <v>365</v>
      </c>
      <c r="B381" s="346" t="n"/>
      <c r="C381" s="287" t="inlineStr">
        <is>
          <t>Прайс из СД ОП</t>
        </is>
      </c>
      <c r="D381" s="288" t="inlineStr">
        <is>
          <t>Решетка декоративная ВЕЗА Р100-2400*1500</t>
        </is>
      </c>
      <c r="E381" s="374" t="inlineStr">
        <is>
          <t>шт.</t>
        </is>
      </c>
      <c r="F381" s="374" t="n">
        <v>2</v>
      </c>
      <c r="G381" s="290" t="n">
        <v>2721.21</v>
      </c>
      <c r="H381" s="302">
        <f>ROUND(F381*G381,2)</f>
        <v/>
      </c>
      <c r="I381" s="314" t="n"/>
    </row>
    <row r="382">
      <c r="A382" s="300" t="n">
        <v>366</v>
      </c>
      <c r="B382" s="346" t="n"/>
      <c r="C382" s="287" t="inlineStr">
        <is>
          <t>01.7.15.06-0111</t>
        </is>
      </c>
      <c r="D382" s="288" t="inlineStr">
        <is>
          <t>Гвозди строительные</t>
        </is>
      </c>
      <c r="E382" s="374" t="inlineStr">
        <is>
          <t>т</t>
        </is>
      </c>
      <c r="F382" s="374" t="n">
        <v>0.4412</v>
      </c>
      <c r="G382" s="290" t="n">
        <v>11978</v>
      </c>
      <c r="H382" s="302">
        <f>ROUND(F382*G382,2)</f>
        <v/>
      </c>
      <c r="I382" s="314" t="n"/>
    </row>
    <row r="383" ht="25.5" customHeight="1" s="248">
      <c r="A383" s="300" t="n">
        <v>367</v>
      </c>
      <c r="B383" s="346" t="n"/>
      <c r="C383" s="287" t="inlineStr">
        <is>
          <t>05.1.07.28-0052</t>
        </is>
      </c>
      <c r="D383" s="288" t="inlineStr">
        <is>
          <t>Ступени железобетонные лестничные ЛС 14-1, бетон B15, объем 0,060 м3, расход арматуры 1,54 кг</t>
        </is>
      </c>
      <c r="E383" s="374" t="inlineStr">
        <is>
          <t>шт</t>
        </is>
      </c>
      <c r="F383" s="374" t="n">
        <v>51</v>
      </c>
      <c r="G383" s="290" t="n">
        <v>101.63</v>
      </c>
      <c r="H383" s="302">
        <f>ROUND(F383*G383,2)</f>
        <v/>
      </c>
      <c r="I383" s="314" t="n"/>
    </row>
    <row r="384">
      <c r="A384" s="300" t="n">
        <v>368</v>
      </c>
      <c r="B384" s="346" t="n"/>
      <c r="C384" s="287" t="inlineStr">
        <is>
          <t>01.2.03.05-0006</t>
        </is>
      </c>
      <c r="D384" s="288" t="inlineStr">
        <is>
          <t>Праймер битумно-полимерный ТЕХНОНИКОЛЬ №03</t>
        </is>
      </c>
      <c r="E384" s="374" t="inlineStr">
        <is>
          <t>л</t>
        </is>
      </c>
      <c r="F384" s="374" t="n">
        <v>398.046</v>
      </c>
      <c r="G384" s="290" t="n">
        <v>12.71</v>
      </c>
      <c r="H384" s="302">
        <f>ROUND(F384*G384,2)</f>
        <v/>
      </c>
      <c r="I384" s="314" t="n"/>
    </row>
    <row r="385" ht="25.5" customFormat="1" customHeight="1" s="299">
      <c r="A385" s="300" t="n">
        <v>369</v>
      </c>
      <c r="B385" s="346" t="n"/>
      <c r="C385" s="287" t="inlineStr">
        <is>
          <t>08.1.02.03-0021</t>
        </is>
      </c>
      <c r="D385" s="288" t="inlineStr">
        <is>
          <t>Водоотлив оконный из оцинкованной стали с полимерным покрытием, ширина планки 250 мм</t>
        </is>
      </c>
      <c r="E385" s="374" t="inlineStr">
        <is>
          <t>м</t>
        </is>
      </c>
      <c r="F385" s="374" t="n">
        <v>191.4</v>
      </c>
      <c r="G385" s="290" t="n">
        <v>26.41</v>
      </c>
      <c r="H385" s="302">
        <f>ROUND(F385*G385,2)</f>
        <v/>
      </c>
      <c r="I385" s="314" t="n"/>
    </row>
    <row r="386" ht="25.5" customHeight="1" s="248">
      <c r="A386" s="300" t="n">
        <v>370</v>
      </c>
      <c r="B386" s="346" t="n"/>
      <c r="C386" s="287" t="inlineStr">
        <is>
          <t>Прайс из СД ОП</t>
        </is>
      </c>
      <c r="D386" s="288" t="inlineStr">
        <is>
          <t xml:space="preserve">Клапан воздушный ГЕРМИК-С-Н-800х600-1*LM230А-1УХЛ2 </t>
        </is>
      </c>
      <c r="E386" s="374" t="inlineStr">
        <is>
          <t>шт.</t>
        </is>
      </c>
      <c r="F386" s="374" t="n">
        <v>2</v>
      </c>
      <c r="G386" s="290" t="n">
        <v>2511.84</v>
      </c>
      <c r="H386" s="302">
        <f>ROUND(F386*G386,2)</f>
        <v/>
      </c>
      <c r="I386" s="314" t="n"/>
    </row>
    <row r="387" ht="25.5" customHeight="1" s="248">
      <c r="A387" s="300" t="n">
        <v>371</v>
      </c>
      <c r="B387" s="346" t="n"/>
      <c r="C387" s="287" t="inlineStr">
        <is>
          <t>04.1.02.05-0061</t>
        </is>
      </c>
      <c r="D387" s="288" t="inlineStr">
        <is>
          <t>Смеси бетонные тяжелого бетона (БСТ), крупность заполнителя 40 мм, класс B20 (М250)</t>
        </is>
      </c>
      <c r="E387" s="374" t="inlineStr">
        <is>
          <t>м3</t>
        </is>
      </c>
      <c r="F387" s="374" t="n">
        <v>7.511</v>
      </c>
      <c r="G387" s="290" t="n">
        <v>667.83</v>
      </c>
      <c r="H387" s="302">
        <f>ROUND(F387*G387,2)</f>
        <v/>
      </c>
      <c r="I387" s="314" t="n"/>
      <c r="K387" s="307" t="n"/>
    </row>
    <row r="388" ht="25.5" customHeight="1" s="248">
      <c r="A388" s="300" t="n">
        <v>372</v>
      </c>
      <c r="B388" s="346" t="n"/>
      <c r="C388" s="287" t="inlineStr">
        <is>
          <t>Прайс из СД ОП</t>
        </is>
      </c>
      <c r="D388" s="288" t="inlineStr">
        <is>
          <t xml:space="preserve">Коробка коммутационная на 5 клеммных зажимов 1,5  мм2 </t>
        </is>
      </c>
      <c r="E388" s="374" t="inlineStr">
        <is>
          <t>шт.</t>
        </is>
      </c>
      <c r="F388" s="374" t="n">
        <v>21</v>
      </c>
      <c r="G388" s="290" t="n">
        <v>236.72</v>
      </c>
      <c r="H388" s="302">
        <f>ROUND(F388*G388,2)</f>
        <v/>
      </c>
      <c r="I388" s="314" t="n"/>
      <c r="K388" s="307" t="n"/>
    </row>
    <row r="389" ht="25.5" customHeight="1" s="248">
      <c r="A389" s="300" t="n">
        <v>373</v>
      </c>
      <c r="B389" s="346" t="n"/>
      <c r="C389" s="287" t="inlineStr">
        <is>
          <t>21.1.06.10-0406</t>
        </is>
      </c>
      <c r="D389" s="288" t="inlineStr">
        <is>
          <t>Кабель силовой с медными жилами ВВГнг(A)-LS 5х1,5ок(N, PE)-1000</t>
        </is>
      </c>
      <c r="E389" s="374" t="inlineStr">
        <is>
          <t>1000 м</t>
        </is>
      </c>
      <c r="F389" s="374" t="n">
        <v>0.31824</v>
      </c>
      <c r="G389" s="290" t="n">
        <v>15576.85</v>
      </c>
      <c r="H389" s="302">
        <f>ROUND(F389*G389,2)</f>
        <v/>
      </c>
      <c r="I389" s="314" t="n"/>
      <c r="K389" s="307" t="n"/>
    </row>
    <row r="390" ht="38.25" customHeight="1" s="248">
      <c r="A390" s="300" t="n">
        <v>374</v>
      </c>
      <c r="B390" s="346" t="n"/>
      <c r="C390" s="287" t="inlineStr">
        <is>
          <t>05.2.02.01-0051</t>
        </is>
      </c>
      <c r="D390" s="288" t="inlineStr">
        <is>
          <t>Блоки бетонные для стен подвалов полнотелые ФБС24-3-6-Т, бетон B7,5 (М100, объем 0,406 м3, расход арматуры 0,97 кг</t>
        </is>
      </c>
      <c r="E390" s="374" t="inlineStr">
        <is>
          <t>шт</t>
        </is>
      </c>
      <c r="F390" s="374" t="n">
        <v>20</v>
      </c>
      <c r="G390" s="290" t="n">
        <v>243.6</v>
      </c>
      <c r="H390" s="302">
        <f>ROUND(F390*G390,2)</f>
        <v/>
      </c>
    </row>
    <row r="391" ht="38.25" customHeight="1" s="248">
      <c r="A391" s="300" t="n">
        <v>375</v>
      </c>
      <c r="B391" s="346" t="n"/>
      <c r="C391" s="287" t="inlineStr">
        <is>
          <t>01.6.03.04-0172</t>
        </is>
      </c>
      <c r="D391" s="288" t="inlineStr">
        <is>
          <t>Линолеум поливинилхлоридный на теплоизолирующей подоснове марок: ПР-Х, ВК-Х, ЭК-Х</t>
        </is>
      </c>
      <c r="E391" s="374" t="inlineStr">
        <is>
          <t>м2</t>
        </is>
      </c>
      <c r="F391" s="374" t="n">
        <v>63.842</v>
      </c>
      <c r="G391" s="290" t="n">
        <v>75.45999999999999</v>
      </c>
      <c r="H391" s="302">
        <f>ROUND(F391*G391,2)</f>
        <v/>
      </c>
    </row>
    <row r="392" ht="25.5" customHeight="1" s="248">
      <c r="A392" s="300" t="n">
        <v>376</v>
      </c>
      <c r="B392" s="346" t="n"/>
      <c r="C392" s="287" t="inlineStr">
        <is>
          <t>06.2.05.03-0003</t>
        </is>
      </c>
      <c r="D392" s="288" t="inlineStr">
        <is>
          <t>Плитка керамогранитная многоцветная неполированная, размер 400х400х9 мм</t>
        </is>
      </c>
      <c r="E392" s="374" t="inlineStr">
        <is>
          <t>м2</t>
        </is>
      </c>
      <c r="F392" s="374" t="n">
        <v>34</v>
      </c>
      <c r="G392" s="290" t="n">
        <v>140.45</v>
      </c>
      <c r="H392" s="302">
        <f>ROUND(F392*G392,2)</f>
        <v/>
      </c>
    </row>
    <row r="393">
      <c r="A393" s="300" t="n">
        <v>377</v>
      </c>
      <c r="B393" s="346" t="n"/>
      <c r="C393" s="287" t="inlineStr">
        <is>
          <t>01.7.07.29-0111</t>
        </is>
      </c>
      <c r="D393" s="288" t="inlineStr">
        <is>
          <t>Пакля пропитанная</t>
        </is>
      </c>
      <c r="E393" s="374" t="inlineStr">
        <is>
          <t>кг</t>
        </is>
      </c>
      <c r="F393" s="374" t="n">
        <v>528.0126</v>
      </c>
      <c r="G393" s="290" t="n">
        <v>9.039999999999999</v>
      </c>
      <c r="H393" s="302">
        <f>ROUND(F393*G393,2)</f>
        <v/>
      </c>
    </row>
    <row r="394">
      <c r="A394" s="300" t="n">
        <v>378</v>
      </c>
      <c r="B394" s="346" t="n"/>
      <c r="C394" s="287" t="inlineStr">
        <is>
          <t>01.7.11.07-0054</t>
        </is>
      </c>
      <c r="D394" s="288" t="inlineStr">
        <is>
          <t>Электроды сварочные Э42, диаметр 6 мм</t>
        </is>
      </c>
      <c r="E394" s="374" t="inlineStr">
        <is>
          <t>т</t>
        </is>
      </c>
      <c r="F394" s="374" t="n">
        <v>0.5013</v>
      </c>
      <c r="G394" s="290" t="n">
        <v>9424</v>
      </c>
      <c r="H394" s="302">
        <f>ROUND(F394*G394,2)</f>
        <v/>
      </c>
    </row>
    <row r="395">
      <c r="A395" s="300" t="n">
        <v>379</v>
      </c>
      <c r="B395" s="346" t="n"/>
      <c r="C395" s="287" t="inlineStr">
        <is>
          <t>11.2.13.06-0011</t>
        </is>
      </c>
      <c r="D395" s="288" t="inlineStr">
        <is>
          <t>Щиты настила, все толщины</t>
        </is>
      </c>
      <c r="E395" s="374" t="inlineStr">
        <is>
          <t>м2</t>
        </is>
      </c>
      <c r="F395" s="374" t="n">
        <v>130.6548</v>
      </c>
      <c r="G395" s="290" t="n">
        <v>35.22</v>
      </c>
      <c r="H395" s="302">
        <f>ROUND(F395*G395,2)</f>
        <v/>
      </c>
    </row>
    <row r="396" ht="38.25" customHeight="1" s="248">
      <c r="A396" s="300" t="n">
        <v>380</v>
      </c>
      <c r="B396" s="346" t="n"/>
      <c r="C396" s="287" t="inlineStr">
        <is>
          <t>12.2.01.01-0013</t>
        </is>
      </c>
      <c r="D396" s="288" t="inlineStr">
        <is>
          <t>Детали защитных покрытий конструкций тепловой изоляции трубопроводов, из стали тонколистовой оцинкованной, толщиной 0,55 мм, криволинейные</t>
        </is>
      </c>
      <c r="E396" s="374" t="inlineStr">
        <is>
          <t>м2</t>
        </is>
      </c>
      <c r="F396" s="374" t="n">
        <v>46.36</v>
      </c>
      <c r="G396" s="290" t="n">
        <v>99.2</v>
      </c>
      <c r="H396" s="302">
        <f>ROUND(F396*G396,2)</f>
        <v/>
      </c>
    </row>
    <row r="397">
      <c r="A397" s="300" t="n">
        <v>381</v>
      </c>
      <c r="B397" s="346" t="n"/>
      <c r="C397" s="287" t="inlineStr">
        <is>
          <t>Прайс из СД ОП</t>
        </is>
      </c>
      <c r="D397" s="288" t="inlineStr">
        <is>
          <t xml:space="preserve">Решетка декоративная Р50-1300х920-С </t>
        </is>
      </c>
      <c r="E397" s="374" t="inlineStr">
        <is>
          <t>шт.</t>
        </is>
      </c>
      <c r="F397" s="374" t="n">
        <v>4</v>
      </c>
      <c r="G397" s="290" t="n">
        <v>1132.82</v>
      </c>
      <c r="H397" s="302">
        <f>ROUND(F397*G397,2)</f>
        <v/>
      </c>
    </row>
    <row r="398">
      <c r="A398" s="300" t="n">
        <v>382</v>
      </c>
      <c r="B398" s="346" t="n"/>
      <c r="C398" s="287" t="inlineStr">
        <is>
          <t>01.7.07.14-0057</t>
        </is>
      </c>
      <c r="D398" s="288" t="inlineStr">
        <is>
          <t>Прокладки уплотнительные ПРП, диаметр 30 мм</t>
        </is>
      </c>
      <c r="E398" s="374" t="inlineStr">
        <is>
          <t>100 м</t>
        </is>
      </c>
      <c r="F398" s="374" t="n">
        <v>1.81</v>
      </c>
      <c r="G398" s="290" t="n">
        <v>2500</v>
      </c>
      <c r="H398" s="302">
        <f>ROUND(F398*G398,2)</f>
        <v/>
      </c>
    </row>
    <row r="399" ht="25.5" customHeight="1" s="248">
      <c r="A399" s="300" t="n">
        <v>383</v>
      </c>
      <c r="B399" s="346" t="n"/>
      <c r="C399" s="287" t="inlineStr">
        <is>
          <t>Прайс из СД ОП</t>
        </is>
      </c>
      <c r="D399" s="288" t="inlineStr">
        <is>
          <t xml:space="preserve">Клапан воздушный ГЕРМИК-С-Н-800х600-1*LM230А-1УХЛ2 </t>
        </is>
      </c>
      <c r="E399" s="374" t="inlineStr">
        <is>
          <t>шт.</t>
        </is>
      </c>
      <c r="F399" s="374" t="n">
        <v>2</v>
      </c>
      <c r="G399" s="290" t="n">
        <v>2216.65</v>
      </c>
      <c r="H399" s="302">
        <f>ROUND(F399*G399,2)</f>
        <v/>
      </c>
    </row>
    <row r="400">
      <c r="A400" s="300" t="n">
        <v>384</v>
      </c>
      <c r="B400" s="346" t="n"/>
      <c r="C400" s="287" t="inlineStr">
        <is>
          <t>08.3.11.01-0091</t>
        </is>
      </c>
      <c r="D400" s="288" t="inlineStr">
        <is>
          <t>Швеллеры № 40, марка стали Ст0</t>
        </is>
      </c>
      <c r="E400" s="374" t="inlineStr">
        <is>
          <t>т</t>
        </is>
      </c>
      <c r="F400" s="374" t="n">
        <v>0.8966</v>
      </c>
      <c r="G400" s="290" t="n">
        <v>4920</v>
      </c>
      <c r="H400" s="302">
        <f>ROUND(F400*G400,2)</f>
        <v/>
      </c>
      <c r="I400" s="314" t="n"/>
    </row>
    <row r="401" ht="25.5" customHeight="1" s="248">
      <c r="A401" s="300" t="n">
        <v>385</v>
      </c>
      <c r="B401" s="346" t="n"/>
      <c r="C401" s="287" t="inlineStr">
        <is>
          <t>Прайс из СД ОП</t>
        </is>
      </c>
      <c r="D401" s="288" t="inlineStr">
        <is>
          <t>Короб для крепления светильников, L=2000мм КЛ-1 УЗ, ТУ 36-13-80</t>
        </is>
      </c>
      <c r="E401" s="374" t="inlineStr">
        <is>
          <t>шт.</t>
        </is>
      </c>
      <c r="F401" s="374" t="n">
        <v>39</v>
      </c>
      <c r="G401" s="290" t="n">
        <v>112.32</v>
      </c>
      <c r="H401" s="302">
        <f>ROUND(F401*G401,2)</f>
        <v/>
      </c>
      <c r="I401" s="314" t="n"/>
    </row>
    <row r="402">
      <c r="A402" s="300" t="n">
        <v>386</v>
      </c>
      <c r="B402" s="346" t="n"/>
      <c r="C402" s="287" t="inlineStr">
        <is>
          <t>14.2.01.05-0001</t>
        </is>
      </c>
      <c r="D402" s="288" t="inlineStr">
        <is>
          <t>Композиция на основе термопластичных полимеров</t>
        </is>
      </c>
      <c r="E402" s="374" t="inlineStr">
        <is>
          <t>кг</t>
        </is>
      </c>
      <c r="F402" s="374" t="n">
        <v>76.39436000000001</v>
      </c>
      <c r="G402" s="290" t="n">
        <v>54.99</v>
      </c>
      <c r="H402" s="302">
        <f>ROUND(F402*G402,2)</f>
        <v/>
      </c>
      <c r="I402" s="314" t="n"/>
    </row>
    <row r="403">
      <c r="A403" s="300" t="n">
        <v>387</v>
      </c>
      <c r="B403" s="346" t="n"/>
      <c r="C403" s="287" t="inlineStr">
        <is>
          <t>01.3.02.08-0001</t>
        </is>
      </c>
      <c r="D403" s="288" t="inlineStr">
        <is>
          <t>Кислород газообразный технический</t>
        </is>
      </c>
      <c r="E403" s="374" t="inlineStr">
        <is>
          <t>м3</t>
        </is>
      </c>
      <c r="F403" s="374" t="n">
        <v>673.2596</v>
      </c>
      <c r="G403" s="290" t="n">
        <v>6.22</v>
      </c>
      <c r="H403" s="302">
        <f>ROUND(F403*G403,2)</f>
        <v/>
      </c>
      <c r="I403" s="314" t="n"/>
    </row>
    <row r="404" ht="25.5" customHeight="1" s="248">
      <c r="A404" s="300" t="n">
        <v>388</v>
      </c>
      <c r="B404" s="346" t="n"/>
      <c r="C404" s="287" t="inlineStr">
        <is>
          <t>01.7.15.14-0088</t>
        </is>
      </c>
      <c r="D404" s="288" t="inlineStr">
        <is>
          <t>Шурупы-саморезы кровельные оцинкованные 5,5х38 мм</t>
        </is>
      </c>
      <c r="E404" s="374" t="inlineStr">
        <is>
          <t>100 шт</t>
        </is>
      </c>
      <c r="F404" s="374" t="n">
        <v>101.58</v>
      </c>
      <c r="G404" s="290" t="n">
        <v>41</v>
      </c>
      <c r="H404" s="302">
        <f>ROUND(F404*G404,2)</f>
        <v/>
      </c>
      <c r="I404" s="314" t="n"/>
    </row>
    <row r="405">
      <c r="A405" s="300" t="n">
        <v>389</v>
      </c>
      <c r="B405" s="346" t="n"/>
      <c r="C405" s="287" t="inlineStr">
        <is>
          <t>01.7.06.03-0022</t>
        </is>
      </c>
      <c r="D405" s="288" t="inlineStr">
        <is>
          <t>Лента полиэтиленовая с липким слоем А50</t>
        </is>
      </c>
      <c r="E405" s="374" t="inlineStr">
        <is>
          <t>кг</t>
        </is>
      </c>
      <c r="F405" s="374" t="n">
        <v>37.11</v>
      </c>
      <c r="G405" s="290" t="n">
        <v>112</v>
      </c>
      <c r="H405" s="302">
        <f>ROUND(F405*G405,2)</f>
        <v/>
      </c>
      <c r="I405" s="314" t="n"/>
    </row>
    <row r="406">
      <c r="A406" s="300" t="n">
        <v>390</v>
      </c>
      <c r="B406" s="346" t="n"/>
      <c r="C406" s="287" t="inlineStr">
        <is>
          <t>Прайс из СД ОП</t>
        </is>
      </c>
      <c r="D406" s="288" t="inlineStr">
        <is>
          <t>Металлический держатель  100 мм ND2106</t>
        </is>
      </c>
      <c r="E406" s="374" t="inlineStr">
        <is>
          <t>шт.</t>
        </is>
      </c>
      <c r="F406" s="374" t="n">
        <v>300</v>
      </c>
      <c r="G406" s="290" t="n">
        <v>13.85</v>
      </c>
      <c r="H406" s="302">
        <f>ROUND(F406*G406,2)</f>
        <v/>
      </c>
      <c r="I406" s="314" t="n"/>
    </row>
    <row r="407" ht="63.75" customHeight="1" s="248">
      <c r="A407" s="300" t="n">
        <v>391</v>
      </c>
      <c r="B407" s="346" t="n"/>
      <c r="C407" s="287" t="inlineStr">
        <is>
          <t>18.1.10.01-1046</t>
        </is>
      </c>
      <c r="D407" s="288" t="inlineStr">
        <is>
          <t>Вентиль запорный из углеродистой стали, номинальное давление 4,0 МПа (40 кгс/см2), номинальный диаметр 50 мм, с графитовым уплотнением, присоединение к трубопроводу фланцевое</t>
        </is>
      </c>
      <c r="E407" s="374" t="inlineStr">
        <is>
          <t>шт</t>
        </is>
      </c>
      <c r="F407" s="374" t="n">
        <v>2</v>
      </c>
      <c r="G407" s="290" t="n">
        <v>2074.86</v>
      </c>
      <c r="H407" s="302">
        <f>ROUND(F407*G407,2)</f>
        <v/>
      </c>
      <c r="I407" s="314" t="n"/>
    </row>
    <row r="408" ht="25.5" customHeight="1" s="248">
      <c r="A408" s="300" t="n">
        <v>392</v>
      </c>
      <c r="B408" s="346" t="n"/>
      <c r="C408" s="287" t="inlineStr">
        <is>
          <t>12.2.05.05-0008</t>
        </is>
      </c>
      <c r="D408" s="288" t="inlineStr">
        <is>
          <t>Плиты из минеральной ваты, на синтетическом связующем, П-125, толщина 50 мм</t>
        </is>
      </c>
      <c r="E408" s="374" t="inlineStr">
        <is>
          <t>м3</t>
        </is>
      </c>
      <c r="F408" s="374" t="n">
        <v>11.5</v>
      </c>
      <c r="G408" s="290" t="n">
        <v>359.64</v>
      </c>
      <c r="H408" s="302">
        <f>ROUND(F408*G408,2)</f>
        <v/>
      </c>
      <c r="I408" s="314" t="n"/>
    </row>
    <row r="409">
      <c r="A409" s="300" t="n">
        <v>393</v>
      </c>
      <c r="B409" s="346" t="n"/>
      <c r="C409" s="287" t="inlineStr">
        <is>
          <t>Прайс из СД ОП</t>
        </is>
      </c>
      <c r="D409" s="288" t="inlineStr">
        <is>
          <t xml:space="preserve">Решетка декоративная Р50-800х520-С </t>
        </is>
      </c>
      <c r="E409" s="374" t="inlineStr">
        <is>
          <t>шт.</t>
        </is>
      </c>
      <c r="F409" s="374" t="n">
        <v>8</v>
      </c>
      <c r="G409" s="290" t="n">
        <v>514.51</v>
      </c>
      <c r="H409" s="302">
        <f>ROUND(F409*G409,2)</f>
        <v/>
      </c>
      <c r="I409" s="314" t="n"/>
    </row>
    <row r="410">
      <c r="A410" s="300" t="n">
        <v>394</v>
      </c>
      <c r="B410" s="346" t="n"/>
      <c r="C410" s="287" t="inlineStr">
        <is>
          <t>Прайс из СД ОП</t>
        </is>
      </c>
      <c r="D410" s="288" t="inlineStr">
        <is>
          <t>Зажим подключения экрана  KLBUE 15-32</t>
        </is>
      </c>
      <c r="E410" s="374" t="inlineStr">
        <is>
          <t>шт.</t>
        </is>
      </c>
      <c r="F410" s="374" t="n">
        <v>650</v>
      </c>
      <c r="G410" s="290" t="n">
        <v>6.31</v>
      </c>
      <c r="H410" s="302">
        <f>ROUND(F410*G410,2)</f>
        <v/>
      </c>
      <c r="I410" s="314" t="n"/>
    </row>
    <row r="411" ht="25.5" customHeight="1" s="248">
      <c r="A411" s="300" t="n">
        <v>395</v>
      </c>
      <c r="B411" s="346" t="n"/>
      <c r="C411" s="287" t="inlineStr">
        <is>
          <t>Прайс из СД ОП</t>
        </is>
      </c>
      <c r="D411" s="288" t="inlineStr">
        <is>
          <t xml:space="preserve">Клапан воздушный ГЕРМИК-С-Н-1400х720-1*NM230А-1УХЛ2 </t>
        </is>
      </c>
      <c r="E411" s="374" t="inlineStr">
        <is>
          <t>шт.</t>
        </is>
      </c>
      <c r="F411" s="374" t="n">
        <v>1</v>
      </c>
      <c r="G411" s="290" t="n">
        <v>3827.88</v>
      </c>
      <c r="H411" s="302">
        <f>ROUND(F411*G411,2)</f>
        <v/>
      </c>
      <c r="I411" s="314" t="n"/>
      <c r="K411" s="307" t="n"/>
    </row>
    <row r="412" ht="25.5" customHeight="1" s="248">
      <c r="A412" s="300" t="n">
        <v>396</v>
      </c>
      <c r="B412" s="346" t="n"/>
      <c r="C412" s="287" t="inlineStr">
        <is>
          <t>04.1.02.05-0040</t>
        </is>
      </c>
      <c r="D412" s="288" t="inlineStr">
        <is>
          <t>Смеси бетонные тяжелого бетона (БСТ), крупность заполнителя 20 мм, класс B7,5 (М100)</t>
        </is>
      </c>
      <c r="E412" s="374" t="inlineStr">
        <is>
          <t>м3</t>
        </is>
      </c>
      <c r="F412" s="374" t="n">
        <v>7.089</v>
      </c>
      <c r="G412" s="290" t="n">
        <v>535.46</v>
      </c>
      <c r="H412" s="302">
        <f>ROUND(F412*G412,2)</f>
        <v/>
      </c>
      <c r="I412" s="314" t="n"/>
    </row>
    <row r="413">
      <c r="A413" s="300" t="n">
        <v>397</v>
      </c>
      <c r="B413" s="346" t="n"/>
      <c r="C413" s="287" t="inlineStr">
        <is>
          <t>Прайс из СД ОП</t>
        </is>
      </c>
      <c r="D413" s="288" t="inlineStr">
        <is>
          <t>Решетка декоративная Р50-900х620-С</t>
        </is>
      </c>
      <c r="E413" s="374" t="inlineStr">
        <is>
          <t>шт.</t>
        </is>
      </c>
      <c r="F413" s="374" t="n">
        <v>6</v>
      </c>
      <c r="G413" s="290" t="n">
        <v>632.28</v>
      </c>
      <c r="H413" s="302">
        <f>ROUND(F413*G413,2)</f>
        <v/>
      </c>
      <c r="I413" s="314" t="n"/>
    </row>
    <row r="414" ht="25.5" customHeight="1" s="248">
      <c r="A414" s="300" t="n">
        <v>398</v>
      </c>
      <c r="B414" s="346" t="n"/>
      <c r="C414" s="287" t="inlineStr">
        <is>
          <t>05.1.01.13-0043</t>
        </is>
      </c>
      <c r="D414" s="288" t="inlineStr">
        <is>
          <t>Плита железобетонная покрытий, перекрытий и днищ (Плита ПТП 36-16)</t>
        </is>
      </c>
      <c r="E414" s="374" t="inlineStr">
        <is>
          <t>м3</t>
        </is>
      </c>
      <c r="F414" s="374" t="n">
        <v>2.742</v>
      </c>
      <c r="G414" s="290" t="n">
        <v>1382.9</v>
      </c>
      <c r="H414" s="302">
        <f>ROUND(F414*G414,2)</f>
        <v/>
      </c>
      <c r="I414" s="314" t="n"/>
    </row>
    <row r="415">
      <c r="A415" s="300" t="n">
        <v>399</v>
      </c>
      <c r="B415" s="346" t="n"/>
      <c r="C415" s="287" t="inlineStr">
        <is>
          <t>Прайс из СД ОП</t>
        </is>
      </c>
      <c r="D415" s="288" t="inlineStr">
        <is>
          <t xml:space="preserve">Кронштейн ТС.10.005 </t>
        </is>
      </c>
      <c r="E415" s="374" t="inlineStr">
        <is>
          <t>шт.</t>
        </is>
      </c>
      <c r="F415" s="374" t="n">
        <v>270</v>
      </c>
      <c r="G415" s="290" t="n">
        <v>14</v>
      </c>
      <c r="H415" s="302">
        <f>ROUND(F415*G415,2)</f>
        <v/>
      </c>
      <c r="I415" s="314" t="n"/>
    </row>
    <row r="416">
      <c r="A416" s="300" t="n">
        <v>400</v>
      </c>
      <c r="B416" s="346" t="n"/>
      <c r="C416" s="287" t="inlineStr">
        <is>
          <t>Прайс из СД ОП</t>
        </is>
      </c>
      <c r="D416" s="288" t="inlineStr">
        <is>
          <t xml:space="preserve">Клапан ГЕРМИК-С-Н-600х600-1*LM230A-1-УХЛ2 </t>
        </is>
      </c>
      <c r="E416" s="374" t="inlineStr">
        <is>
          <t>шт.</t>
        </is>
      </c>
      <c r="F416" s="374" t="n">
        <v>2</v>
      </c>
      <c r="G416" s="290" t="n">
        <v>1862.87</v>
      </c>
      <c r="H416" s="302">
        <f>ROUND(F416*G416,2)</f>
        <v/>
      </c>
      <c r="I416" s="314" t="n"/>
    </row>
    <row r="417">
      <c r="A417" s="300" t="n">
        <v>401</v>
      </c>
      <c r="B417" s="346" t="n"/>
      <c r="C417" s="287" t="inlineStr">
        <is>
          <t>04.3.01.09-0018</t>
        </is>
      </c>
      <c r="D417" s="288" t="inlineStr">
        <is>
          <t>Раствор готовый кладочный, цементный, М300</t>
        </is>
      </c>
      <c r="E417" s="374" t="inlineStr">
        <is>
          <t>м3</t>
        </is>
      </c>
      <c r="F417" s="374" t="n">
        <v>5.0986</v>
      </c>
      <c r="G417" s="290" t="n">
        <v>711.5</v>
      </c>
      <c r="H417" s="302">
        <f>ROUND(F417*G417,2)</f>
        <v/>
      </c>
      <c r="I417" s="314" t="n"/>
    </row>
    <row r="418">
      <c r="A418" s="300" t="n">
        <v>402</v>
      </c>
      <c r="B418" s="346" t="n"/>
      <c r="C418" s="287" t="inlineStr">
        <is>
          <t>Прайс из СД ОП</t>
        </is>
      </c>
      <c r="D418" s="288" t="inlineStr">
        <is>
          <t xml:space="preserve">Входной коллектор ВКО-ОСА-063-С </t>
        </is>
      </c>
      <c r="E418" s="374" t="inlineStr">
        <is>
          <t>шт.</t>
        </is>
      </c>
      <c r="F418" s="374" t="n">
        <v>6</v>
      </c>
      <c r="G418" s="290" t="n">
        <v>595.47</v>
      </c>
      <c r="H418" s="302">
        <f>ROUND(F418*G418,2)</f>
        <v/>
      </c>
      <c r="I418" s="314" t="n"/>
    </row>
    <row r="419" ht="25.5" customHeight="1" s="248">
      <c r="A419" s="300" t="n">
        <v>403</v>
      </c>
      <c r="B419" s="346" t="n"/>
      <c r="C419" s="287" t="inlineStr">
        <is>
          <t>01.7.17.11-0011</t>
        </is>
      </c>
      <c r="D419" s="288" t="inlineStr">
        <is>
          <t>Шкурка шлифовальная двухслойная с зернистостью 40-25</t>
        </is>
      </c>
      <c r="E419" s="374" t="inlineStr">
        <is>
          <t>м2</t>
        </is>
      </c>
      <c r="F419" s="374" t="n">
        <v>48.9322</v>
      </c>
      <c r="G419" s="290" t="n">
        <v>72.31999999999999</v>
      </c>
      <c r="H419" s="302">
        <f>ROUND(F419*G419,2)</f>
        <v/>
      </c>
      <c r="I419" s="314" t="n"/>
    </row>
    <row r="420" ht="25.5" customFormat="1" customHeight="1" s="299">
      <c r="A420" s="300" t="n">
        <v>404</v>
      </c>
      <c r="B420" s="346" t="n"/>
      <c r="C420" s="287" t="inlineStr">
        <is>
          <t>Прайс из СД ОП</t>
        </is>
      </c>
      <c r="D420" s="288" t="inlineStr">
        <is>
          <t xml:space="preserve">Клапан воздушный ГЕРМИК-П-Н-1000х1000-1*NM230А-1-УХЛ2 </t>
        </is>
      </c>
      <c r="E420" s="374" t="inlineStr">
        <is>
          <t>шт.</t>
        </is>
      </c>
      <c r="F420" s="374" t="n">
        <v>1</v>
      </c>
      <c r="G420" s="290" t="n">
        <v>3535.06</v>
      </c>
      <c r="H420" s="302">
        <f>ROUND(F420*G420,2)</f>
        <v/>
      </c>
      <c r="I420" s="314" t="n"/>
    </row>
    <row r="421" ht="25.5" customHeight="1" s="248">
      <c r="A421" s="300" t="n">
        <v>405</v>
      </c>
      <c r="B421" s="346" t="n"/>
      <c r="C421" s="287" t="inlineStr">
        <is>
          <t>20.1.02.19-0015</t>
        </is>
      </c>
      <c r="D421" s="288" t="inlineStr">
        <is>
          <t>Канат стальной арматурный 1х7, диаметр каната 4,5 мм, диаметр проволоки 1,5 мм</t>
        </is>
      </c>
      <c r="E421" s="374" t="inlineStr">
        <is>
          <t>м</t>
        </is>
      </c>
      <c r="F421" s="374" t="n">
        <v>279</v>
      </c>
      <c r="G421" s="290" t="n">
        <v>12.03</v>
      </c>
      <c r="H421" s="302">
        <f>ROUND(F421*G421,2)</f>
        <v/>
      </c>
      <c r="I421" s="314" t="n"/>
    </row>
    <row r="422" ht="38.25" customHeight="1" s="248">
      <c r="A422" s="300" t="n">
        <v>406</v>
      </c>
      <c r="B422" s="346" t="n"/>
      <c r="C422" s="287" t="inlineStr">
        <is>
          <t>19.4.02.02-0001</t>
        </is>
      </c>
      <c r="D422" s="288" t="inlineStr">
        <is>
          <t>Глушители шума прямоугольного сечения на бандажном соединении ГТП 1-1, сечение обечайки 200х100 мм, масса наполнителя 1,96 кг</t>
        </is>
      </c>
      <c r="E422" s="374" t="inlineStr">
        <is>
          <t>шт</t>
        </is>
      </c>
      <c r="F422" s="374" t="n">
        <v>6</v>
      </c>
      <c r="G422" s="290" t="n">
        <v>553.5</v>
      </c>
      <c r="H422" s="302">
        <f>ROUND(F422*G422,2)</f>
        <v/>
      </c>
      <c r="I422" s="314" t="n"/>
      <c r="K422" s="307" t="n"/>
    </row>
    <row r="423">
      <c r="A423" s="300" t="n">
        <v>407</v>
      </c>
      <c r="B423" s="346" t="n"/>
      <c r="C423" s="287" t="inlineStr">
        <is>
          <t>Прайс из СД ОП</t>
        </is>
      </c>
      <c r="D423" s="288" t="inlineStr">
        <is>
          <t xml:space="preserve">Зажим крепёжный СР/В.2-75 </t>
        </is>
      </c>
      <c r="E423" s="374" t="inlineStr">
        <is>
          <t>шт.</t>
        </is>
      </c>
      <c r="F423" s="374" t="n">
        <v>810</v>
      </c>
      <c r="G423" s="290" t="n">
        <v>4.08</v>
      </c>
      <c r="H423" s="302">
        <f>ROUND(F423*G423,2)</f>
        <v/>
      </c>
      <c r="I423" s="314" t="n"/>
      <c r="K423" s="307" t="n"/>
    </row>
    <row r="424">
      <c r="A424" s="300" t="n">
        <v>408</v>
      </c>
      <c r="B424" s="346" t="n"/>
      <c r="C424" s="287" t="inlineStr">
        <is>
          <t>04.3.01.09-0014</t>
        </is>
      </c>
      <c r="D424" s="288" t="inlineStr">
        <is>
          <t>Раствор готовый кладочный, цементный, М100</t>
        </is>
      </c>
      <c r="E424" s="374" t="inlineStr">
        <is>
          <t>м3</t>
        </is>
      </c>
      <c r="F424" s="374" t="n">
        <v>6.2565</v>
      </c>
      <c r="G424" s="290" t="n">
        <v>519.8</v>
      </c>
      <c r="H424" s="302">
        <f>ROUND(F424*G424,2)</f>
        <v/>
      </c>
      <c r="I424" s="314" t="n"/>
      <c r="K424" s="307" t="n"/>
    </row>
    <row r="425" ht="38.25" customHeight="1" s="248">
      <c r="A425" s="300" t="n">
        <v>409</v>
      </c>
      <c r="B425" s="346" t="n"/>
      <c r="C425" s="287" t="inlineStr">
        <is>
          <t>07.2.06.03-0155</t>
        </is>
      </c>
      <c r="D425" s="288" t="inlineStr">
        <is>
          <t>Профиль направляющий, стальной, оцинкованный, для монтажа гипсовых перегородок и подвесных потолков, длина 3 м, сечение 60х27х0,6 мм</t>
        </is>
      </c>
      <c r="E425" s="374" t="inlineStr">
        <is>
          <t>м</t>
        </is>
      </c>
      <c r="F425" s="374" t="n">
        <v>585.4299999999999</v>
      </c>
      <c r="G425" s="290" t="n">
        <v>5.5</v>
      </c>
      <c r="H425" s="302">
        <f>ROUND(F425*G425,2)</f>
        <v/>
      </c>
    </row>
    <row r="426" ht="25.5" customHeight="1" s="248">
      <c r="A426" s="300" t="n">
        <v>410</v>
      </c>
      <c r="B426" s="346" t="n"/>
      <c r="C426" s="287" t="inlineStr">
        <is>
          <t>07.1.01.01-0020</t>
        </is>
      </c>
      <c r="D426" s="288" t="inlineStr">
        <is>
          <t>Дверь противопожарная металлическая: однопольная ДПМ-01/60, размером 1000х2100 мм</t>
        </is>
      </c>
      <c r="E426" s="374" t="inlineStr">
        <is>
          <t>шт</t>
        </is>
      </c>
      <c r="F426" s="374" t="n">
        <v>1</v>
      </c>
      <c r="G426" s="290" t="n">
        <v>3104.96</v>
      </c>
      <c r="H426" s="302">
        <f>ROUND(F426*G426,2)</f>
        <v/>
      </c>
    </row>
    <row r="427" ht="25.5" customHeight="1" s="248">
      <c r="A427" s="300" t="n">
        <v>411</v>
      </c>
      <c r="B427" s="346" t="n"/>
      <c r="C427" s="287" t="inlineStr">
        <is>
          <t>19.1.01.03-0072</t>
        </is>
      </c>
      <c r="D427" s="288" t="inlineStr">
        <is>
          <t>Воздуховоды из оцинкованной стали толщиной: 0,5 мм, периметром до 600 мм</t>
        </is>
      </c>
      <c r="E427" s="374" t="inlineStr">
        <is>
          <t>м2</t>
        </is>
      </c>
      <c r="F427" s="374" t="n">
        <v>30.3</v>
      </c>
      <c r="G427" s="290" t="n">
        <v>102.41</v>
      </c>
      <c r="H427" s="302">
        <f>ROUND(F427*G427,2)</f>
        <v/>
      </c>
    </row>
    <row r="428" ht="25.5" customHeight="1" s="248">
      <c r="A428" s="300" t="n">
        <v>412</v>
      </c>
      <c r="B428" s="346" t="n"/>
      <c r="C428" s="287" t="inlineStr">
        <is>
          <t>05.1.07.25-0018</t>
        </is>
      </c>
      <c r="D428" s="288" t="inlineStr">
        <is>
          <t>Лестничная площадка ЛП 15.3, бетон B22,5, объем 0,15 м3, расход арматуры 5 кг</t>
        </is>
      </c>
      <c r="E428" s="374" t="inlineStr">
        <is>
          <t>шт</t>
        </is>
      </c>
      <c r="F428" s="374" t="n">
        <v>9</v>
      </c>
      <c r="G428" s="290" t="n">
        <v>343.11</v>
      </c>
      <c r="H428" s="302">
        <f>ROUND(F428*G428,2)</f>
        <v/>
      </c>
    </row>
    <row r="429" ht="51" customHeight="1" s="248">
      <c r="A429" s="300" t="n">
        <v>413</v>
      </c>
      <c r="B429" s="346" t="n"/>
      <c r="C429" s="287" t="inlineStr">
        <is>
          <t>14.5.01.06-0013</t>
        </is>
      </c>
      <c r="D429" s="288" t="inlineStr">
        <is>
          <t>Герметик полиуретановый, однокомпонентный, инъекционный, гидрофобный, гидроактивный, жесткий, с низкой вязкостью, для увеличения несущей способности несвязных грунтов</t>
        </is>
      </c>
      <c r="E429" s="374" t="inlineStr">
        <is>
          <t>кг</t>
        </is>
      </c>
      <c r="F429" s="374" t="n">
        <v>33</v>
      </c>
      <c r="G429" s="290" t="n">
        <v>93.03</v>
      </c>
      <c r="H429" s="302">
        <f>ROUND(F429*G429,2)</f>
        <v/>
      </c>
    </row>
    <row r="430" ht="25.5" customHeight="1" s="248">
      <c r="A430" s="300" t="n">
        <v>414</v>
      </c>
      <c r="B430" s="346" t="n"/>
      <c r="C430" s="287" t="inlineStr">
        <is>
          <t>08.3.08.02-0073</t>
        </is>
      </c>
      <c r="D430" s="288" t="inlineStr">
        <is>
          <t>Сталь угловая равнополочная, марка стали: Ст3пс, шириной полок 100-100 мм</t>
        </is>
      </c>
      <c r="E430" s="374" t="inlineStr">
        <is>
          <t>т</t>
        </is>
      </c>
      <c r="F430" s="374" t="n">
        <v>0.62708</v>
      </c>
      <c r="G430" s="290" t="n">
        <v>4840.65</v>
      </c>
      <c r="H430" s="302">
        <f>ROUND(F430*G430,2)</f>
        <v/>
      </c>
    </row>
    <row r="431">
      <c r="A431" s="300" t="n">
        <v>415</v>
      </c>
      <c r="B431" s="346" t="n"/>
      <c r="C431" s="287" t="inlineStr">
        <is>
          <t>Прайс из СД ОП</t>
        </is>
      </c>
      <c r="D431" s="288" t="inlineStr">
        <is>
          <t xml:space="preserve">Соединитель мягкий СОМ 100-ВРАН-100Б-Ц </t>
        </is>
      </c>
      <c r="E431" s="374" t="inlineStr">
        <is>
          <t>шт.</t>
        </is>
      </c>
      <c r="F431" s="374" t="n">
        <v>6</v>
      </c>
      <c r="G431" s="290" t="n">
        <v>500.54</v>
      </c>
      <c r="H431" s="302">
        <f>ROUND(F431*G431,2)</f>
        <v/>
      </c>
    </row>
    <row r="432" ht="25.5" customHeight="1" s="248">
      <c r="A432" s="300" t="n">
        <v>416</v>
      </c>
      <c r="B432" s="346" t="n"/>
      <c r="C432" s="287" t="inlineStr">
        <is>
          <t>Прайс из СД ОП</t>
        </is>
      </c>
      <c r="D432" s="288" t="inlineStr">
        <is>
          <t xml:space="preserve">Баллон  с ПГС для проверки работоспособности системы </t>
        </is>
      </c>
      <c r="E432" s="374" t="inlineStr">
        <is>
          <t>шт.</t>
        </is>
      </c>
      <c r="F432" s="374" t="n">
        <v>1</v>
      </c>
      <c r="G432" s="290" t="n">
        <v>2959</v>
      </c>
      <c r="H432" s="302">
        <f>ROUND(F432*G432,2)</f>
        <v/>
      </c>
    </row>
    <row r="433">
      <c r="A433" s="300" t="n">
        <v>417</v>
      </c>
      <c r="B433" s="346" t="n"/>
      <c r="C433" s="287" t="inlineStr">
        <is>
          <t>Прайс из СД ОП</t>
        </is>
      </c>
      <c r="D433" s="288" t="inlineStr">
        <is>
          <t xml:space="preserve">Клапан противопожарный КПУ-1Н-О-Н-150х150 </t>
        </is>
      </c>
      <c r="E433" s="374" t="inlineStr">
        <is>
          <t>шт.</t>
        </is>
      </c>
      <c r="F433" s="374" t="n">
        <v>2</v>
      </c>
      <c r="G433" s="290" t="n">
        <v>1473.11</v>
      </c>
      <c r="H433" s="302">
        <f>ROUND(F433*G433,2)</f>
        <v/>
      </c>
    </row>
    <row r="434">
      <c r="A434" s="300" t="n">
        <v>418</v>
      </c>
      <c r="B434" s="346" t="n"/>
      <c r="C434" s="287" t="inlineStr">
        <is>
          <t>12.2.05.10-1008</t>
        </is>
      </c>
      <c r="D434" s="288" t="inlineStr">
        <is>
          <t>Плиты минераловатные, толщина 80 мм</t>
        </is>
      </c>
      <c r="E434" s="374" t="inlineStr">
        <is>
          <t>м2</t>
        </is>
      </c>
      <c r="F434" s="374" t="n">
        <v>127.4</v>
      </c>
      <c r="G434" s="290" t="n">
        <v>22.9</v>
      </c>
      <c r="H434" s="302">
        <f>ROUND(F434*G434,2)</f>
        <v/>
      </c>
    </row>
    <row r="435">
      <c r="A435" s="300" t="n">
        <v>419</v>
      </c>
      <c r="B435" s="346" t="n"/>
      <c r="C435" s="287" t="inlineStr">
        <is>
          <t>08.3.11.01-0058</t>
        </is>
      </c>
      <c r="D435" s="288" t="inlineStr">
        <is>
          <t>Швеллеры № 16, марка стали Ст3пс5</t>
        </is>
      </c>
      <c r="E435" s="374" t="inlineStr">
        <is>
          <t>т</t>
        </is>
      </c>
      <c r="F435" s="374" t="n">
        <v>0.454</v>
      </c>
      <c r="G435" s="290" t="n">
        <v>6423.2</v>
      </c>
      <c r="H435" s="302">
        <f>ROUND(F435*G435,2)</f>
        <v/>
      </c>
      <c r="I435" s="314" t="n"/>
    </row>
    <row r="436" ht="25.5" customHeight="1" s="248">
      <c r="A436" s="300" t="n">
        <v>420</v>
      </c>
      <c r="B436" s="346" t="n"/>
      <c r="C436" s="287" t="inlineStr">
        <is>
          <t>19.1.01.03-0077</t>
        </is>
      </c>
      <c r="D436" s="288" t="inlineStr">
        <is>
          <t>Воздуховоды из оцинкованной стали толщиной: 0,7 мм, периметром до 1000 мм</t>
        </is>
      </c>
      <c r="E436" s="374" t="inlineStr">
        <is>
          <t>м2</t>
        </is>
      </c>
      <c r="F436" s="374" t="n">
        <v>25.8</v>
      </c>
      <c r="G436" s="290" t="n">
        <v>111.37</v>
      </c>
      <c r="H436" s="302">
        <f>ROUND(F436*G436,2)</f>
        <v/>
      </c>
      <c r="I436" s="314" t="n"/>
    </row>
    <row r="437" ht="25.5" customHeight="1" s="248">
      <c r="A437" s="300" t="n">
        <v>421</v>
      </c>
      <c r="B437" s="346" t="n"/>
      <c r="C437" s="287" t="inlineStr">
        <is>
          <t>05.1.03.12-0058</t>
        </is>
      </c>
      <c r="D437" s="288" t="inlineStr">
        <is>
          <t>Прогоны марки ПРГ 32. 1.4-4А-III (бетон B20, объем 0,15 м3, расход арматуры 17,80 кг)</t>
        </is>
      </c>
      <c r="E437" s="374" t="inlineStr">
        <is>
          <t>шт</t>
        </is>
      </c>
      <c r="F437" s="374" t="n">
        <v>8</v>
      </c>
      <c r="G437" s="290" t="n">
        <v>357.1</v>
      </c>
      <c r="H437" s="302">
        <f>ROUND(F437*G437,2)</f>
        <v/>
      </c>
      <c r="I437" s="314" t="n"/>
    </row>
    <row r="438" ht="25.5" customHeight="1" s="248">
      <c r="A438" s="300" t="n">
        <v>422</v>
      </c>
      <c r="B438" s="346" t="n"/>
      <c r="C438" s="287" t="inlineStr">
        <is>
          <t>Прайс из СД ОП</t>
        </is>
      </c>
      <c r="D438" s="288" t="inlineStr">
        <is>
          <t xml:space="preserve">Клапан воздушный ГЕРМИК-С-Н-900х900-1*NM230А-1УХЛ2 </t>
        </is>
      </c>
      <c r="E438" s="374" t="inlineStr">
        <is>
          <t>шт.</t>
        </is>
      </c>
      <c r="F438" s="374" t="n">
        <v>1</v>
      </c>
      <c r="G438" s="290" t="n">
        <v>2852.71</v>
      </c>
      <c r="H438" s="302">
        <f>ROUND(F438*G438,2)</f>
        <v/>
      </c>
      <c r="I438" s="314" t="n"/>
    </row>
    <row r="439" ht="25.5" customHeight="1" s="248">
      <c r="A439" s="300" t="n">
        <v>423</v>
      </c>
      <c r="B439" s="346" t="n"/>
      <c r="C439" s="287" t="inlineStr">
        <is>
          <t>08.4.03.02-0003</t>
        </is>
      </c>
      <c r="D439" s="288" t="inlineStr">
        <is>
          <t>Сталь арматурная, горячекатаная, гладкая, класс А-I, диаметр 10 мм</t>
        </is>
      </c>
      <c r="E439" s="374" t="inlineStr">
        <is>
          <t>т</t>
        </is>
      </c>
      <c r="F439" s="374" t="n">
        <v>0.42272</v>
      </c>
      <c r="G439" s="290" t="n">
        <v>6726.18</v>
      </c>
      <c r="H439" s="302">
        <f>ROUND(F439*G439,2)</f>
        <v/>
      </c>
      <c r="I439" s="314" t="n"/>
    </row>
    <row r="440" ht="25.5" customHeight="1" s="248">
      <c r="A440" s="300" t="n">
        <v>424</v>
      </c>
      <c r="B440" s="346" t="n"/>
      <c r="C440" s="287" t="inlineStr">
        <is>
          <t>04.3.01.07-0012</t>
        </is>
      </c>
      <c r="D440" s="288" t="inlineStr">
        <is>
          <t>Раствор готовый отделочный тяжелый, известковый, состав 1:2,5</t>
        </is>
      </c>
      <c r="E440" s="374" t="inlineStr">
        <is>
          <t>м3</t>
        </is>
      </c>
      <c r="F440" s="374" t="n">
        <v>5.531</v>
      </c>
      <c r="G440" s="290" t="n">
        <v>510.4</v>
      </c>
      <c r="H440" s="302">
        <f>ROUND(F440*G440,2)</f>
        <v/>
      </c>
      <c r="I440" s="314" t="n"/>
    </row>
    <row r="441">
      <c r="A441" s="300" t="n">
        <v>425</v>
      </c>
      <c r="B441" s="346" t="n"/>
      <c r="C441" s="287" t="inlineStr">
        <is>
          <t>08.3.09.01-0003</t>
        </is>
      </c>
      <c r="D441" s="288" t="inlineStr">
        <is>
          <t>Профилированный лист оцинкованный: Н57-750-0,8</t>
        </is>
      </c>
      <c r="E441" s="374" t="inlineStr">
        <is>
          <t>т</t>
        </is>
      </c>
      <c r="F441" s="374" t="n">
        <v>0.32</v>
      </c>
      <c r="G441" s="290" t="n">
        <v>8819.879999999999</v>
      </c>
      <c r="H441" s="302">
        <f>ROUND(F441*G441,2)</f>
        <v/>
      </c>
      <c r="I441" s="314" t="n"/>
    </row>
    <row r="442" ht="25.5" customHeight="1" s="248">
      <c r="A442" s="300" t="n">
        <v>426</v>
      </c>
      <c r="B442" s="346" t="n"/>
      <c r="C442" s="287" t="inlineStr">
        <is>
          <t>01.7.06.14-0023</t>
        </is>
      </c>
      <c r="D442" s="288" t="inlineStr">
        <is>
          <t>Лента «Сэвилен» для подклеивающего слоя, ширина 35-40 мм, толщина 0,2-0,5 мм</t>
        </is>
      </c>
      <c r="E442" s="374" t="inlineStr">
        <is>
          <t>10 м</t>
        </is>
      </c>
      <c r="F442" s="374" t="n">
        <v>52.3</v>
      </c>
      <c r="G442" s="290" t="n">
        <v>53.81</v>
      </c>
      <c r="H442" s="302">
        <f>ROUND(F442*G442,2)</f>
        <v/>
      </c>
      <c r="I442" s="314" t="n"/>
    </row>
    <row r="443">
      <c r="A443" s="300" t="n">
        <v>427</v>
      </c>
      <c r="B443" s="346" t="n"/>
      <c r="C443" s="287" t="inlineStr">
        <is>
          <t>01.3.02.09-0022</t>
        </is>
      </c>
      <c r="D443" s="288" t="inlineStr">
        <is>
          <t>Пропан-бутан смесь техническая</t>
        </is>
      </c>
      <c r="E443" s="374" t="inlineStr">
        <is>
          <t>кг</t>
        </is>
      </c>
      <c r="F443" s="374" t="n">
        <v>461.0486</v>
      </c>
      <c r="G443" s="290" t="n">
        <v>6.09</v>
      </c>
      <c r="H443" s="302">
        <f>ROUND(F443*G443,2)</f>
        <v/>
      </c>
      <c r="I443" s="314" t="n"/>
    </row>
    <row r="444">
      <c r="A444" s="300" t="n">
        <v>428</v>
      </c>
      <c r="B444" s="346" t="n"/>
      <c r="C444" s="287" t="inlineStr">
        <is>
          <t>08.3.09.01-0082</t>
        </is>
      </c>
      <c r="D444" s="288" t="inlineStr">
        <is>
          <t>Профнастил оцинкованный: С8-1150-0,5</t>
        </is>
      </c>
      <c r="E444" s="374" t="inlineStr">
        <is>
          <t>м2</t>
        </is>
      </c>
      <c r="F444" s="374" t="n">
        <v>64.176</v>
      </c>
      <c r="G444" s="290" t="n">
        <v>43.5</v>
      </c>
      <c r="H444" s="302">
        <f>ROUND(F444*G444,2)</f>
        <v/>
      </c>
      <c r="I444" s="314" t="n"/>
    </row>
    <row r="445" ht="25.5" customHeight="1" s="248">
      <c r="A445" s="300" t="n">
        <v>429</v>
      </c>
      <c r="B445" s="346" t="n"/>
      <c r="C445" s="287" t="inlineStr">
        <is>
          <t>21.1.06.09-0152</t>
        </is>
      </c>
      <c r="D445" s="288" t="inlineStr">
        <is>
          <t>Кабель силовой с медными жилами ВВГнг(A)-LS 3х2,5-660</t>
        </is>
      </c>
      <c r="E445" s="374" t="inlineStr">
        <is>
          <t>1000 м</t>
        </is>
      </c>
      <c r="F445" s="374" t="n">
        <v>0.40188</v>
      </c>
      <c r="G445" s="290" t="n">
        <v>6920.41</v>
      </c>
      <c r="H445" s="302">
        <f>ROUND(F445*G445,2)</f>
        <v/>
      </c>
      <c r="I445" s="314" t="n"/>
    </row>
    <row r="446" ht="38.25" customHeight="1" s="248">
      <c r="A446" s="300" t="n">
        <v>430</v>
      </c>
      <c r="B446" s="346" t="n"/>
      <c r="C446" s="287" t="inlineStr">
        <is>
          <t>24.3.01.02-0023</t>
        </is>
      </c>
      <c r="D446" s="288" t="inlineStr">
        <is>
          <t>Трубы гибкие гофрированные легкие из самозатухающего ПВХ (IP55) серии FL, с зондом, диаметром: 25 мм</t>
        </is>
      </c>
      <c r="E446" s="374" t="inlineStr">
        <is>
          <t>10 м</t>
        </is>
      </c>
      <c r="F446" s="374" t="n">
        <v>71.852</v>
      </c>
      <c r="G446" s="290" t="n">
        <v>37.3</v>
      </c>
      <c r="H446" s="302">
        <f>ROUND(F446*G446,2)</f>
        <v/>
      </c>
      <c r="I446" s="314" t="n"/>
      <c r="K446" s="307" t="n"/>
    </row>
    <row r="447">
      <c r="A447" s="300" t="n">
        <v>431</v>
      </c>
      <c r="B447" s="346" t="n"/>
      <c r="C447" s="287" t="inlineStr">
        <is>
          <t>11.1.03.06-0002</t>
        </is>
      </c>
      <c r="D447" s="288" t="inlineStr">
        <is>
          <t>Доска дубовая, сорт II</t>
        </is>
      </c>
      <c r="E447" s="374" t="inlineStr">
        <is>
          <t>м3</t>
        </is>
      </c>
      <c r="F447" s="374" t="n">
        <v>1.8817</v>
      </c>
      <c r="G447" s="290" t="n">
        <v>1410</v>
      </c>
      <c r="H447" s="302">
        <f>ROUND(F447*G447,2)</f>
        <v/>
      </c>
      <c r="I447" s="314" t="n"/>
    </row>
    <row r="448" ht="25.5" customHeight="1" s="248">
      <c r="A448" s="300" t="n">
        <v>432</v>
      </c>
      <c r="B448" s="346" t="n"/>
      <c r="C448" s="287" t="inlineStr">
        <is>
          <t>01.7.15.07-0132</t>
        </is>
      </c>
      <c r="D448" s="288" t="inlineStr">
        <is>
          <t>Дюбели распорные с металлическим стержнем, размер 10х150 мм</t>
        </is>
      </c>
      <c r="E448" s="374" t="inlineStr">
        <is>
          <t>10 шт</t>
        </is>
      </c>
      <c r="F448" s="374" t="n">
        <v>394.95</v>
      </c>
      <c r="G448" s="290" t="n">
        <v>6.62</v>
      </c>
      <c r="H448" s="302">
        <f>ROUND(F448*G448,2)</f>
        <v/>
      </c>
      <c r="I448" s="314" t="n"/>
    </row>
    <row r="449">
      <c r="A449" s="300" t="n">
        <v>433</v>
      </c>
      <c r="B449" s="346" t="n"/>
      <c r="C449" s="287" t="inlineStr">
        <is>
          <t>Прайс из СД ОП</t>
        </is>
      </c>
      <c r="D449" s="288" t="inlineStr">
        <is>
          <t xml:space="preserve">Рулонный огнезащитный материал Logicroof NG </t>
        </is>
      </c>
      <c r="E449" s="374" t="inlineStr">
        <is>
          <t>м2</t>
        </is>
      </c>
      <c r="F449" s="374" t="n">
        <v>15</v>
      </c>
      <c r="G449" s="290" t="n">
        <v>173.1</v>
      </c>
      <c r="H449" s="302">
        <f>ROUND(F449*G449,2)</f>
        <v/>
      </c>
      <c r="I449" s="314" t="n"/>
    </row>
    <row r="450">
      <c r="A450" s="300" t="n">
        <v>434</v>
      </c>
      <c r="B450" s="346" t="n"/>
      <c r="C450" s="287" t="inlineStr">
        <is>
          <t>Прайс из СД ОП</t>
        </is>
      </c>
      <c r="D450" s="288" t="inlineStr">
        <is>
          <t xml:space="preserve">Огнетушитель ОВП-10 </t>
        </is>
      </c>
      <c r="E450" s="374" t="inlineStr">
        <is>
          <t>шт.</t>
        </is>
      </c>
      <c r="F450" s="374" t="n">
        <v>20</v>
      </c>
      <c r="G450" s="290" t="n">
        <v>128.3</v>
      </c>
      <c r="H450" s="302">
        <f>ROUND(F450*G450,2)</f>
        <v/>
      </c>
      <c r="I450" s="314" t="n"/>
    </row>
    <row r="451" ht="25.5" customHeight="1" s="248">
      <c r="A451" s="300" t="n">
        <v>435</v>
      </c>
      <c r="B451" s="346" t="n"/>
      <c r="C451" s="287" t="inlineStr">
        <is>
          <t>04.1.02.05-0004</t>
        </is>
      </c>
      <c r="D451" s="288" t="inlineStr">
        <is>
          <t>Смеси бетонные тяжелого бетона (БСТ), класс B10 (М150)</t>
        </is>
      </c>
      <c r="E451" s="374" t="inlineStr">
        <is>
          <t>м3</t>
        </is>
      </c>
      <c r="F451" s="374" t="n">
        <v>5.202</v>
      </c>
      <c r="G451" s="290" t="n">
        <v>490</v>
      </c>
      <c r="H451" s="302">
        <f>ROUND(F451*G451,2)</f>
        <v/>
      </c>
      <c r="I451" s="314" t="n"/>
    </row>
    <row r="452" ht="25.5" customHeight="1" s="248">
      <c r="A452" s="300" t="n">
        <v>436</v>
      </c>
      <c r="B452" s="346" t="n"/>
      <c r="C452" s="287" t="inlineStr">
        <is>
          <t>08.3.04.02-0092</t>
        </is>
      </c>
      <c r="D452" s="288" t="inlineStr">
        <is>
          <t>Круг стальной горячекатаный, марка стали ВСт3пс5-1, диаметр 10 мм</t>
        </is>
      </c>
      <c r="E452" s="374" t="inlineStr">
        <is>
          <t>т</t>
        </is>
      </c>
      <c r="F452" s="374" t="n">
        <v>0.4872</v>
      </c>
      <c r="G452" s="290" t="n">
        <v>5230.01</v>
      </c>
      <c r="H452" s="302">
        <f>ROUND(F452*G452,2)</f>
        <v/>
      </c>
      <c r="I452" s="314" t="n"/>
    </row>
    <row r="453">
      <c r="A453" s="300" t="n">
        <v>437</v>
      </c>
      <c r="B453" s="346" t="n"/>
      <c r="C453" s="287" t="inlineStr">
        <is>
          <t>14.5.01.07-0134</t>
        </is>
      </c>
      <c r="D453" s="288" t="inlineStr">
        <is>
          <t>Герметик силиконовый для наружных швов</t>
        </is>
      </c>
      <c r="E453" s="374" t="inlineStr">
        <is>
          <t>л</t>
        </is>
      </c>
      <c r="F453" s="374" t="n">
        <v>33</v>
      </c>
      <c r="G453" s="290" t="n">
        <v>76.8</v>
      </c>
      <c r="H453" s="302">
        <f>ROUND(F453*G453,2)</f>
        <v/>
      </c>
      <c r="I453" s="314" t="n"/>
    </row>
    <row r="454" ht="25.5" customHeight="1" s="248">
      <c r="A454" s="300" t="n">
        <v>438</v>
      </c>
      <c r="B454" s="346" t="n"/>
      <c r="C454" s="287" t="inlineStr">
        <is>
          <t>Прайс из СД ОП</t>
        </is>
      </c>
      <c r="D454" s="288" t="inlineStr">
        <is>
          <t xml:space="preserve">Клапан воздушный ГЕРМИК-С-350х350-Н-1*LF230-S-1-УХЛ2 </t>
        </is>
      </c>
      <c r="E454" s="374" t="inlineStr">
        <is>
          <t>шт.</t>
        </is>
      </c>
      <c r="F454" s="374" t="n">
        <v>1</v>
      </c>
      <c r="G454" s="290" t="n">
        <v>2500.95</v>
      </c>
      <c r="H454" s="302">
        <f>ROUND(F454*G454,2)</f>
        <v/>
      </c>
      <c r="I454" s="314" t="n"/>
    </row>
    <row r="455" ht="25.5" customFormat="1" customHeight="1" s="299">
      <c r="A455" s="300" t="n">
        <v>439</v>
      </c>
      <c r="B455" s="346" t="n"/>
      <c r="C455" s="287" t="inlineStr">
        <is>
          <t>Прайс из СД ОП</t>
        </is>
      </c>
      <c r="D455" s="288" t="inlineStr">
        <is>
          <t>Автоматический выключатель трехполюсный, OptiDin BM125-3С100</t>
        </is>
      </c>
      <c r="E455" s="374" t="inlineStr">
        <is>
          <t>шт.</t>
        </is>
      </c>
      <c r="F455" s="374" t="n">
        <v>4</v>
      </c>
      <c r="G455" s="290" t="n">
        <v>621.09</v>
      </c>
      <c r="H455" s="302">
        <f>ROUND(F455*G455,2)</f>
        <v/>
      </c>
      <c r="I455" s="314" t="n"/>
    </row>
    <row r="456" ht="25.5" customHeight="1" s="248">
      <c r="A456" s="300" t="n">
        <v>440</v>
      </c>
      <c r="B456" s="346" t="n"/>
      <c r="C456" s="287" t="inlineStr">
        <is>
          <t>23.3.08.02-0183</t>
        </is>
      </c>
      <c r="D456" s="288" t="inlineStr">
        <is>
          <t>Трубы стальные прямоугольные (ГОСТ 8645-86) размером: 110х40 мм, толщина стенки 4 мм</t>
        </is>
      </c>
      <c r="E456" s="374" t="inlineStr">
        <is>
          <t>м</t>
        </is>
      </c>
      <c r="F456" s="374" t="n">
        <v>34.6</v>
      </c>
      <c r="G456" s="290" t="n">
        <v>70.77</v>
      </c>
      <c r="H456" s="302">
        <f>ROUND(F456*G456,2)</f>
        <v/>
      </c>
      <c r="I456" s="314" t="n"/>
    </row>
    <row r="457">
      <c r="A457" s="300" t="n">
        <v>441</v>
      </c>
      <c r="B457" s="346" t="n"/>
      <c r="C457" s="287" t="inlineStr">
        <is>
          <t>01.7.05.09-0012</t>
        </is>
      </c>
      <c r="D457" s="288" t="inlineStr">
        <is>
          <t>Текстолит листовой ПТ, толщина от 1 до 3 мм</t>
        </is>
      </c>
      <c r="E457" s="374" t="inlineStr">
        <is>
          <t>кг</t>
        </is>
      </c>
      <c r="F457" s="374" t="n">
        <v>31.2</v>
      </c>
      <c r="G457" s="290" t="n">
        <v>76.95</v>
      </c>
      <c r="H457" s="302">
        <f>ROUND(F457*G457,2)</f>
        <v/>
      </c>
      <c r="I457" s="314" t="n"/>
      <c r="K457" s="307" t="n"/>
    </row>
    <row r="458">
      <c r="A458" s="300" t="n">
        <v>442</v>
      </c>
      <c r="B458" s="346" t="n"/>
      <c r="C458" s="287" t="inlineStr">
        <is>
          <t>01.7.07.12-0024</t>
        </is>
      </c>
      <c r="D458" s="288" t="inlineStr">
        <is>
          <t>Пленка полиэтиленовая, толщина 0,15 мм</t>
        </is>
      </c>
      <c r="E458" s="374" t="inlineStr">
        <is>
          <t>м2</t>
        </is>
      </c>
      <c r="F458" s="374" t="n">
        <v>656.987</v>
      </c>
      <c r="G458" s="290" t="n">
        <v>3.62</v>
      </c>
      <c r="H458" s="302">
        <f>ROUND(F458*G458,2)</f>
        <v/>
      </c>
      <c r="I458" s="314" t="n"/>
      <c r="K458" s="307" t="n"/>
    </row>
    <row r="459">
      <c r="A459" s="300" t="n">
        <v>443</v>
      </c>
      <c r="B459" s="346" t="n"/>
      <c r="C459" s="287" t="inlineStr">
        <is>
          <t>01.7.15.07-0014</t>
        </is>
      </c>
      <c r="D459" s="288" t="inlineStr">
        <is>
          <t>Дюбели распорные полипропиленовые</t>
        </is>
      </c>
      <c r="E459" s="374" t="inlineStr">
        <is>
          <t>100 шт</t>
        </is>
      </c>
      <c r="F459" s="374" t="n">
        <v>27.2062</v>
      </c>
      <c r="G459" s="290" t="n">
        <v>86</v>
      </c>
      <c r="H459" s="302">
        <f>ROUND(F459*G459,2)</f>
        <v/>
      </c>
      <c r="I459" s="314" t="n"/>
      <c r="K459" s="307" t="n"/>
    </row>
    <row r="460">
      <c r="A460" s="300" t="n">
        <v>444</v>
      </c>
      <c r="B460" s="346" t="n"/>
      <c r="C460" s="287" t="inlineStr">
        <is>
          <t>04.3.01.09-0023</t>
        </is>
      </c>
      <c r="D460" s="288" t="inlineStr">
        <is>
          <t>Раствор отделочный тяжелый цементный, состав 1:3</t>
        </is>
      </c>
      <c r="E460" s="374" t="inlineStr">
        <is>
          <t>м3</t>
        </is>
      </c>
      <c r="F460" s="374" t="n">
        <v>4.682</v>
      </c>
      <c r="G460" s="290" t="n">
        <v>497</v>
      </c>
      <c r="H460" s="302">
        <f>ROUND(F460*G460,2)</f>
        <v/>
      </c>
    </row>
    <row r="461" ht="25.5" customHeight="1" s="248">
      <c r="A461" s="300" t="n">
        <v>445</v>
      </c>
      <c r="B461" s="346" t="n"/>
      <c r="C461" s="287" t="inlineStr">
        <is>
          <t>Прайс из СД ОП</t>
        </is>
      </c>
      <c r="D461" s="288" t="inlineStr">
        <is>
          <t xml:space="preserve">Клапан противопожарный КПУ-1Н-З-600х600-2хф-МВ220-0-сн-0-0-0-0-0-0-0 </t>
        </is>
      </c>
      <c r="E461" s="374" t="inlineStr">
        <is>
          <t>шт.</t>
        </is>
      </c>
      <c r="F461" s="374" t="n">
        <v>1</v>
      </c>
      <c r="G461" s="290" t="n">
        <v>2325.66</v>
      </c>
      <c r="H461" s="302">
        <f>ROUND(F461*G461,2)</f>
        <v/>
      </c>
    </row>
    <row r="462">
      <c r="A462" s="300" t="n">
        <v>446</v>
      </c>
      <c r="B462" s="346" t="n"/>
      <c r="C462" s="287" t="inlineStr">
        <is>
          <t>08.1.02.11-0001</t>
        </is>
      </c>
      <c r="D462" s="288" t="inlineStr">
        <is>
          <t>Поковки из квадратных заготовок, масса 1,8 кг</t>
        </is>
      </c>
      <c r="E462" s="374" t="inlineStr">
        <is>
          <t>т</t>
        </is>
      </c>
      <c r="F462" s="374" t="n">
        <v>0.3844</v>
      </c>
      <c r="G462" s="290" t="n">
        <v>5989</v>
      </c>
      <c r="H462" s="302">
        <f>ROUND(F462*G462,2)</f>
        <v/>
      </c>
    </row>
    <row r="463" ht="25.5" customHeight="1" s="248">
      <c r="A463" s="300" t="n">
        <v>447</v>
      </c>
      <c r="B463" s="346" t="n"/>
      <c r="C463" s="287" t="inlineStr">
        <is>
          <t>04.3.01.07-0011</t>
        </is>
      </c>
      <c r="D463" s="288" t="inlineStr">
        <is>
          <t>Раствор готовый отделочный тяжелый, известковый, состав 1:2</t>
        </is>
      </c>
      <c r="E463" s="374" t="inlineStr">
        <is>
          <t>м3</t>
        </is>
      </c>
      <c r="F463" s="374" t="n">
        <v>4.994</v>
      </c>
      <c r="G463" s="290" t="n">
        <v>458</v>
      </c>
      <c r="H463" s="302">
        <f>ROUND(F463*G463,2)</f>
        <v/>
      </c>
    </row>
    <row r="464" ht="25.5" customHeight="1" s="248">
      <c r="A464" s="300" t="n">
        <v>448</v>
      </c>
      <c r="B464" s="346" t="n"/>
      <c r="C464" s="287" t="inlineStr">
        <is>
          <t>Прайс из СД ОП</t>
        </is>
      </c>
      <c r="D464" s="288" t="inlineStr">
        <is>
          <t xml:space="preserve">Клапан воздушный ГЕРМИК-С-200х200-Н-1*LF230-S-1-УХЛ2 </t>
        </is>
      </c>
      <c r="E464" s="374" t="inlineStr">
        <is>
          <t>шт.</t>
        </is>
      </c>
      <c r="F464" s="374" t="n">
        <v>1</v>
      </c>
      <c r="G464" s="290" t="n">
        <v>2267.07</v>
      </c>
      <c r="H464" s="302">
        <f>ROUND(F464*G464,2)</f>
        <v/>
      </c>
    </row>
    <row r="465">
      <c r="A465" s="300" t="n">
        <v>449</v>
      </c>
      <c r="B465" s="346" t="n"/>
      <c r="C465" s="287" t="inlineStr">
        <is>
          <t>Прайс из СД ОП</t>
        </is>
      </c>
      <c r="D465" s="288" t="inlineStr">
        <is>
          <t>Решетка декоративная Р50-1300х920-С</t>
        </is>
      </c>
      <c r="E465" s="374" t="inlineStr">
        <is>
          <t>шт.</t>
        </is>
      </c>
      <c r="F465" s="374" t="n">
        <v>2</v>
      </c>
      <c r="G465" s="290" t="n">
        <v>1132.82</v>
      </c>
      <c r="H465" s="302">
        <f>ROUND(F465*G465,2)</f>
        <v/>
      </c>
    </row>
    <row r="466" ht="25.5" customHeight="1" s="248">
      <c r="A466" s="300" t="n">
        <v>450</v>
      </c>
      <c r="B466" s="346" t="n"/>
      <c r="C466" s="287" t="inlineStr">
        <is>
          <t>11.1.03.06-0091</t>
        </is>
      </c>
      <c r="D466" s="288" t="inlineStr">
        <is>
          <t>Доска обрезная, хвойных пород, ширина 75-150 мм, толщина 32-40 мм, длина 4-6,5 м, сорт III</t>
        </is>
      </c>
      <c r="E466" s="374" t="inlineStr">
        <is>
          <t>м3</t>
        </is>
      </c>
      <c r="F466" s="374" t="n">
        <v>1.954</v>
      </c>
      <c r="G466" s="290" t="n">
        <v>1155</v>
      </c>
      <c r="H466" s="302">
        <f>ROUND(F466*G466,2)</f>
        <v/>
      </c>
    </row>
    <row r="467" ht="25.5" customHeight="1" s="248">
      <c r="A467" s="300" t="n">
        <v>451</v>
      </c>
      <c r="B467" s="346" t="n"/>
      <c r="C467" s="287" t="inlineStr">
        <is>
          <t>12.1.01.05-0006</t>
        </is>
      </c>
      <c r="D467" s="288" t="inlineStr">
        <is>
          <t>Воронка выпускная металлическая для водосточных систем, покрытие полиэстер, диаметр 185/150 мм</t>
        </is>
      </c>
      <c r="E467" s="374" t="inlineStr">
        <is>
          <t>шт</t>
        </is>
      </c>
      <c r="F467" s="374" t="n">
        <v>9</v>
      </c>
      <c r="G467" s="290" t="n">
        <v>249.4</v>
      </c>
      <c r="H467" s="302">
        <f>ROUND(F467*G467,2)</f>
        <v/>
      </c>
    </row>
    <row r="468" ht="38.25" customHeight="1" s="248">
      <c r="A468" s="300" t="n">
        <v>452</v>
      </c>
      <c r="B468" s="346" t="n"/>
      <c r="C468" s="287" t="inlineStr">
        <is>
          <t>07.2.06.03-0199</t>
        </is>
      </c>
      <c r="D468" s="288" t="inlineStr">
        <is>
          <t>Профиль стоечный, стальной, оцинкованный, для монтажа гипсовых перегородок, длина 3 м, сечение 75х50х0,6 мм</t>
        </is>
      </c>
      <c r="E468" s="374" t="inlineStr">
        <is>
          <t>м</t>
        </is>
      </c>
      <c r="F468" s="374" t="n">
        <v>276.12</v>
      </c>
      <c r="G468" s="290" t="n">
        <v>8.06</v>
      </c>
      <c r="H468" s="302">
        <f>ROUND(F468*G468,2)</f>
        <v/>
      </c>
    </row>
    <row r="469" ht="25.5" customHeight="1" s="248">
      <c r="A469" s="300" t="n">
        <v>453</v>
      </c>
      <c r="B469" s="346" t="n"/>
      <c r="C469" s="287" t="inlineStr">
        <is>
          <t>11.1.03.01-0086</t>
        </is>
      </c>
      <c r="D469" s="288" t="inlineStr">
        <is>
          <t>Бруски обрезные, хвойных пород, длина 4-6,5 м, ширина 75-150 мм, толщина 150 мм и более, сорт II</t>
        </is>
      </c>
      <c r="E469" s="374" t="inlineStr">
        <is>
          <t>м3</t>
        </is>
      </c>
      <c r="F469" s="374" t="n">
        <v>1.0297</v>
      </c>
      <c r="G469" s="290" t="n">
        <v>2156</v>
      </c>
      <c r="H469" s="302">
        <f>ROUND(F469*G469,2)</f>
        <v/>
      </c>
    </row>
    <row r="470" ht="25.5" customHeight="1" s="248">
      <c r="A470" s="300" t="n">
        <v>454</v>
      </c>
      <c r="B470" s="346" t="n"/>
      <c r="C470" s="287" t="inlineStr">
        <is>
          <t>Прайс из СД ОП</t>
        </is>
      </c>
      <c r="D470" s="288" t="inlineStr">
        <is>
          <t>Клапан противопожарный ГЕРМИК-ДУ-Д 800х600-1*ф-МВ220-сн-0-0 0</t>
        </is>
      </c>
      <c r="E470" s="374" t="inlineStr">
        <is>
          <t>шт.</t>
        </is>
      </c>
      <c r="F470" s="374" t="n">
        <v>1</v>
      </c>
      <c r="G470" s="290" t="n">
        <v>2216.65</v>
      </c>
      <c r="H470" s="302">
        <f>ROUND(F470*G470,2)</f>
        <v/>
      </c>
      <c r="I470" s="314" t="n"/>
    </row>
    <row r="471" ht="38.25" customHeight="1" s="248">
      <c r="A471" s="300" t="n">
        <v>455</v>
      </c>
      <c r="B471" s="346" t="n"/>
      <c r="C471" s="287" t="inlineStr">
        <is>
          <t>07.2.06.03-0112</t>
        </is>
      </c>
      <c r="D471" s="288" t="inlineStr">
        <is>
          <t>Профиль направляющий, стальной, оцинкованный, для монтажа гипсовых перегородок и подвесных потолков, длина 3 м, сечение 50х40х0,6 мм</t>
        </is>
      </c>
      <c r="E471" s="374" t="inlineStr">
        <is>
          <t>м</t>
        </is>
      </c>
      <c r="F471" s="374" t="n">
        <v>348.3</v>
      </c>
      <c r="G471" s="290" t="n">
        <v>6.16</v>
      </c>
      <c r="H471" s="302">
        <f>ROUND(F471*G471,2)</f>
        <v/>
      </c>
      <c r="I471" s="314" t="n"/>
    </row>
    <row r="472">
      <c r="A472" s="300" t="n">
        <v>456</v>
      </c>
      <c r="B472" s="346" t="n"/>
      <c r="C472" s="287" t="inlineStr">
        <is>
          <t>25.1.01.04-0031</t>
        </is>
      </c>
      <c r="D472" s="288" t="inlineStr">
        <is>
          <t>Шпалы непропитанные для железных дорог, тип I</t>
        </is>
      </c>
      <c r="E472" s="374" t="inlineStr">
        <is>
          <t>шт</t>
        </is>
      </c>
      <c r="F472" s="374" t="n">
        <v>8</v>
      </c>
      <c r="G472" s="290" t="n">
        <v>266.67</v>
      </c>
      <c r="H472" s="302">
        <f>ROUND(F472*G472,2)</f>
        <v/>
      </c>
      <c r="I472" s="314" t="n"/>
    </row>
    <row r="473" ht="25.5" customHeight="1" s="248">
      <c r="A473" s="300" t="n">
        <v>457</v>
      </c>
      <c r="B473" s="346" t="n"/>
      <c r="C473" s="287" t="inlineStr">
        <is>
          <t>08.3.03.06-0002</t>
        </is>
      </c>
      <c r="D473" s="288" t="inlineStr">
        <is>
          <t>Проволока горячекатаная в мотках, диаметр 6,3-6,5 мм</t>
        </is>
      </c>
      <c r="E473" s="374" t="inlineStr">
        <is>
          <t>т</t>
        </is>
      </c>
      <c r="F473" s="374" t="n">
        <v>0.4776</v>
      </c>
      <c r="G473" s="290" t="n">
        <v>4455.2</v>
      </c>
      <c r="H473" s="302">
        <f>ROUND(F473*G473,2)</f>
        <v/>
      </c>
      <c r="I473" s="314" t="n"/>
    </row>
    <row r="474" ht="25.5" customHeight="1" s="248">
      <c r="A474" s="300" t="n">
        <v>458</v>
      </c>
      <c r="B474" s="346" t="n"/>
      <c r="C474" s="287" t="inlineStr">
        <is>
          <t>Прайс из СД ОП</t>
        </is>
      </c>
      <c r="D474" s="288" t="inlineStr">
        <is>
          <t xml:space="preserve">Клапан воздушный ГЕРМИК-С-Н-700х500 1*LM230А-1УХЛ2 </t>
        </is>
      </c>
      <c r="E474" s="374" t="inlineStr">
        <is>
          <t>шт.</t>
        </is>
      </c>
      <c r="F474" s="374" t="n">
        <v>1</v>
      </c>
      <c r="G474" s="290" t="n">
        <v>2115.09</v>
      </c>
      <c r="H474" s="302">
        <f>ROUND(F474*G474,2)</f>
        <v/>
      </c>
      <c r="I474" s="314" t="n"/>
    </row>
    <row r="475" ht="25.5" customHeight="1" s="248">
      <c r="A475" s="300" t="n">
        <v>459</v>
      </c>
      <c r="B475" s="346" t="n"/>
      <c r="C475" s="287" t="inlineStr">
        <is>
          <t>20.4.04.03-0008</t>
        </is>
      </c>
      <c r="D475" s="288" t="inlineStr">
        <is>
          <t>Щиты с монтажной панелью ЩМП-4, размером 800х600х250 мм, степень защиты IP54</t>
        </is>
      </c>
      <c r="E475" s="374" t="inlineStr">
        <is>
          <t>шт</t>
        </is>
      </c>
      <c r="F475" s="374" t="n">
        <v>2</v>
      </c>
      <c r="G475" s="290" t="n">
        <v>1041.24</v>
      </c>
      <c r="H475" s="302">
        <f>ROUND(F475*G475,2)</f>
        <v/>
      </c>
      <c r="I475" s="314" t="n"/>
    </row>
    <row r="476">
      <c r="A476" s="300" t="n">
        <v>460</v>
      </c>
      <c r="B476" s="346" t="n"/>
      <c r="C476" s="287" t="inlineStr">
        <is>
          <t>25.1.04.07-0003</t>
        </is>
      </c>
      <c r="D476" s="288" t="inlineStr">
        <is>
          <t>Шурупы путевые, размер 24х170 мм</t>
        </is>
      </c>
      <c r="E476" s="374" t="inlineStr">
        <is>
          <t>т</t>
        </is>
      </c>
      <c r="F476" s="374" t="n">
        <v>0.175</v>
      </c>
      <c r="G476" s="290" t="n">
        <v>11856</v>
      </c>
      <c r="H476" s="302">
        <f>ROUND(F476*G476,2)</f>
        <v/>
      </c>
      <c r="I476" s="314" t="n"/>
    </row>
    <row r="477" ht="38.25" customHeight="1" s="248">
      <c r="A477" s="300" t="n">
        <v>461</v>
      </c>
      <c r="B477" s="346" t="n"/>
      <c r="C477" s="287" t="inlineStr">
        <is>
          <t>18.3.02.01-0002</t>
        </is>
      </c>
      <c r="D477" s="288" t="inlineStr">
        <is>
          <t>Комплекты пожарного оборудования (шкаф 400х400х70 мм, кран шаровый, рукав-шланг 15 м, комплект соединительной арматуры)</t>
        </is>
      </c>
      <c r="E477" s="374" t="inlineStr">
        <is>
          <t>компл</t>
        </is>
      </c>
      <c r="F477" s="374" t="n">
        <v>10</v>
      </c>
      <c r="G477" s="290" t="n">
        <v>206.15</v>
      </c>
      <c r="H477" s="302">
        <f>ROUND(F477*G477,2)</f>
        <v/>
      </c>
      <c r="I477" s="314" t="n"/>
    </row>
    <row r="478">
      <c r="A478" s="300" t="n">
        <v>462</v>
      </c>
      <c r="B478" s="346" t="n"/>
      <c r="C478" s="287" t="inlineStr">
        <is>
          <t>14.5.09.07-0030</t>
        </is>
      </c>
      <c r="D478" s="288" t="inlineStr">
        <is>
          <t>Растворитель Р-4</t>
        </is>
      </c>
      <c r="E478" s="374" t="inlineStr">
        <is>
          <t>кг</t>
        </is>
      </c>
      <c r="F478" s="374" t="n">
        <v>217.683</v>
      </c>
      <c r="G478" s="290" t="n">
        <v>9.42</v>
      </c>
      <c r="H478" s="302">
        <f>ROUND(F478*G478,2)</f>
        <v/>
      </c>
      <c r="I478" s="314" t="n"/>
    </row>
    <row r="479" ht="25.5" customHeight="1" s="248">
      <c r="A479" s="300" t="n">
        <v>463</v>
      </c>
      <c r="B479" s="346" t="n"/>
      <c r="C479" s="287" t="inlineStr">
        <is>
          <t>21.1.06.09-0178</t>
        </is>
      </c>
      <c r="D479" s="288" t="inlineStr">
        <is>
          <t>Кабель силовой с медными жилами ВВГнг(A)-LS 5х6-660</t>
        </is>
      </c>
      <c r="E479" s="374" t="inlineStr">
        <is>
          <t>1000 м</t>
        </is>
      </c>
      <c r="F479" s="374" t="n">
        <v>0.08</v>
      </c>
      <c r="G479" s="290" t="n">
        <v>25431.81</v>
      </c>
      <c r="H479" s="302">
        <f>ROUND(F479*G479,2)</f>
        <v/>
      </c>
      <c r="I479" s="314" t="n"/>
    </row>
    <row r="480" ht="51" customHeight="1" s="248">
      <c r="A480" s="300" t="n">
        <v>464</v>
      </c>
      <c r="B480" s="346" t="n"/>
      <c r="C480" s="287" t="inlineStr">
        <is>
          <t>12.1.02.10-0098</t>
        </is>
      </c>
      <c r="D480" s="288" t="inlineStr">
        <is>
          <t>Мембрана профилированная гидроизоляционная, высота шипа 8 мм, прочность 300-600 Н, относительное удлинение при разрыве не менее 24-28 %, Г4</t>
        </is>
      </c>
      <c r="E480" s="374" t="inlineStr">
        <is>
          <t>м2</t>
        </is>
      </c>
      <c r="F480" s="374" t="n">
        <v>129.03</v>
      </c>
      <c r="G480" s="290" t="n">
        <v>15.71</v>
      </c>
      <c r="H480" s="302">
        <f>ROUND(F480*G480,2)</f>
        <v/>
      </c>
      <c r="I480" s="314" t="n"/>
    </row>
    <row r="481" ht="25.5" customHeight="1" s="248">
      <c r="A481" s="300" t="n">
        <v>465</v>
      </c>
      <c r="B481" s="346" t="n"/>
      <c r="C481" s="287" t="inlineStr">
        <is>
          <t>21.2.01.02-0141</t>
        </is>
      </c>
      <c r="D481" s="288" t="inlineStr">
        <is>
          <t>Провод неизолированный для воздушных линий электропередачи медные, марка М, сечение 4 мм2</t>
        </is>
      </c>
      <c r="E481" s="374" t="inlineStr">
        <is>
          <t>т</t>
        </is>
      </c>
      <c r="F481" s="374" t="n">
        <v>0.0206</v>
      </c>
      <c r="G481" s="290" t="n">
        <v>96440</v>
      </c>
      <c r="H481" s="302">
        <f>ROUND(F481*G481,2)</f>
        <v/>
      </c>
      <c r="I481" s="314" t="n"/>
    </row>
    <row r="482">
      <c r="A482" s="300" t="n">
        <v>466</v>
      </c>
      <c r="B482" s="346" t="n"/>
      <c r="C482" s="287" t="inlineStr">
        <is>
          <t>01.8.01.06-0004</t>
        </is>
      </c>
      <c r="D482" s="288" t="inlineStr">
        <is>
          <t>Сетка стеклотканевая 4х4 мм, плотность 160 г/м2</t>
        </is>
      </c>
      <c r="E482" s="374" t="inlineStr">
        <is>
          <t>м2</t>
        </is>
      </c>
      <c r="F482" s="374" t="n">
        <v>170.424</v>
      </c>
      <c r="G482" s="290" t="n">
        <v>11.61</v>
      </c>
      <c r="H482" s="302">
        <f>ROUND(F482*G482,2)</f>
        <v/>
      </c>
      <c r="I482" s="314" t="n"/>
    </row>
    <row r="483">
      <c r="A483" s="300" t="n">
        <v>467</v>
      </c>
      <c r="B483" s="346" t="n"/>
      <c r="C483" s="287" t="inlineStr">
        <is>
          <t>Прайс из СД ОП</t>
        </is>
      </c>
      <c r="D483" s="288" t="inlineStr">
        <is>
          <t xml:space="preserve">Огнезащитное покрытие "Плазас" </t>
        </is>
      </c>
      <c r="E483" s="374" t="inlineStr">
        <is>
          <t>кг</t>
        </is>
      </c>
      <c r="F483" s="374" t="n">
        <v>214.9</v>
      </c>
      <c r="G483" s="290" t="n">
        <v>9.109999999999999</v>
      </c>
      <c r="H483" s="302">
        <f>ROUND(F483*G483,2)</f>
        <v/>
      </c>
      <c r="I483" s="314" t="n"/>
    </row>
    <row r="484">
      <c r="A484" s="300" t="n">
        <v>468</v>
      </c>
      <c r="B484" s="346" t="n"/>
      <c r="C484" s="287" t="inlineStr">
        <is>
          <t>21.2.02.01-0024</t>
        </is>
      </c>
      <c r="D484" s="288" t="inlineStr">
        <is>
          <t>Провод антенный МГ, сечение 6 мм2</t>
        </is>
      </c>
      <c r="E484" s="374" t="inlineStr">
        <is>
          <t>т</t>
        </is>
      </c>
      <c r="F484" s="374" t="n">
        <v>0.02601</v>
      </c>
      <c r="G484" s="290" t="n">
        <v>74944.42999999999</v>
      </c>
      <c r="H484" s="302">
        <f>ROUND(F484*G484,2)</f>
        <v/>
      </c>
      <c r="I484" s="314" t="n"/>
    </row>
    <row r="485">
      <c r="A485" s="300" t="n">
        <v>469</v>
      </c>
      <c r="B485" s="346" t="n"/>
      <c r="C485" s="287" t="inlineStr">
        <is>
          <t>04.3.01.12-0002</t>
        </is>
      </c>
      <c r="D485" s="288" t="inlineStr">
        <is>
          <t>Раствор кладочный, цементно-известковый, М25</t>
        </is>
      </c>
      <c r="E485" s="374" t="inlineStr">
        <is>
          <t>м3</t>
        </is>
      </c>
      <c r="F485" s="374" t="n">
        <v>3.861</v>
      </c>
      <c r="G485" s="290" t="n">
        <v>497</v>
      </c>
      <c r="H485" s="302">
        <f>ROUND(F485*G485,2)</f>
        <v/>
      </c>
      <c r="I485" s="314" t="n"/>
    </row>
    <row r="486">
      <c r="A486" s="300" t="n">
        <v>470</v>
      </c>
      <c r="B486" s="346" t="n"/>
      <c r="C486" s="287" t="inlineStr">
        <is>
          <t>Прайс из СД ОП</t>
        </is>
      </c>
      <c r="D486" s="288" t="inlineStr">
        <is>
          <t xml:space="preserve">Соединитель мягкий СОМ 100-ОСА-063-Ц </t>
        </is>
      </c>
      <c r="E486" s="374" t="inlineStr">
        <is>
          <t>шт.</t>
        </is>
      </c>
      <c r="F486" s="374" t="n">
        <v>12</v>
      </c>
      <c r="G486" s="290" t="n">
        <v>158.48</v>
      </c>
      <c r="H486" s="302">
        <f>ROUND(F486*G486,2)</f>
        <v/>
      </c>
      <c r="I486" s="314" t="n"/>
    </row>
    <row r="487" ht="38.25" customFormat="1" customHeight="1" s="299">
      <c r="A487" s="300" t="n">
        <v>471</v>
      </c>
      <c r="B487" s="346" t="n"/>
      <c r="C487" s="287" t="inlineStr">
        <is>
          <t>08.3.09.05-0041</t>
        </is>
      </c>
      <c r="D487" s="288" t="inlineStr">
        <is>
          <t>Профиль гнутый из оцинкованной стали толщиной 0,5-0,55 мм, сумма размеров равная ширине исходной заготовки 101-150 мм</t>
        </is>
      </c>
      <c r="E487" s="374" t="inlineStr">
        <is>
          <t>т</t>
        </is>
      </c>
      <c r="F487" s="374" t="n">
        <v>0.117562</v>
      </c>
      <c r="G487" s="290" t="n">
        <v>16147</v>
      </c>
      <c r="H487" s="302">
        <f>ROUND(F487*G487,2)</f>
        <v/>
      </c>
      <c r="I487" s="314" t="n"/>
    </row>
    <row r="488">
      <c r="A488" s="300" t="n">
        <v>472</v>
      </c>
      <c r="B488" s="346" t="n"/>
      <c r="C488" s="287" t="inlineStr">
        <is>
          <t>Прайс из СД ОП</t>
        </is>
      </c>
      <c r="D488" s="288" t="inlineStr">
        <is>
          <t xml:space="preserve">Сетка защитная СЕБ-ОСА-063-С </t>
        </is>
      </c>
      <c r="E488" s="374" t="inlineStr">
        <is>
          <t>шт.</t>
        </is>
      </c>
      <c r="F488" s="374" t="n">
        <v>6</v>
      </c>
      <c r="G488" s="290" t="n">
        <v>313.3</v>
      </c>
      <c r="H488" s="302">
        <f>ROUND(F488*G488,2)</f>
        <v/>
      </c>
      <c r="I488" s="314" t="n"/>
    </row>
    <row r="489" ht="25.5" customHeight="1" s="248">
      <c r="A489" s="300" t="n">
        <v>473</v>
      </c>
      <c r="B489" s="346" t="n"/>
      <c r="C489" s="287" t="inlineStr">
        <is>
          <t>Прайс из СД ОП</t>
        </is>
      </c>
      <c r="D489" s="288" t="inlineStr">
        <is>
          <t xml:space="preserve">Клапан воздушный ГЕРМИК-С-Н-400х900-1*NM230А-1УХЛ2 </t>
        </is>
      </c>
      <c r="E489" s="374" t="inlineStr">
        <is>
          <t>шт.</t>
        </is>
      </c>
      <c r="F489" s="374" t="n">
        <v>1</v>
      </c>
      <c r="G489" s="290" t="n">
        <v>1873.28</v>
      </c>
      <c r="H489" s="302">
        <f>ROUND(F489*G489,2)</f>
        <v/>
      </c>
    </row>
    <row r="490">
      <c r="A490" s="300" t="n">
        <v>474</v>
      </c>
      <c r="B490" s="346" t="n"/>
      <c r="C490" s="287" t="inlineStr">
        <is>
          <t>Прайс из СД ОП</t>
        </is>
      </c>
      <c r="D490" s="288" t="inlineStr">
        <is>
          <t xml:space="preserve">Комплект ТКТ </t>
        </is>
      </c>
      <c r="E490" s="374" t="inlineStr">
        <is>
          <t>шт.</t>
        </is>
      </c>
      <c r="F490" s="374" t="n">
        <v>27</v>
      </c>
      <c r="G490" s="290" t="n">
        <v>69.23999999999999</v>
      </c>
      <c r="H490" s="302">
        <f>ROUND(F490*G490,2)</f>
        <v/>
      </c>
    </row>
    <row r="491">
      <c r="A491" s="300" t="n">
        <v>475</v>
      </c>
      <c r="B491" s="346" t="n"/>
      <c r="C491" s="287" t="inlineStr">
        <is>
          <t>14.5.01.10-0003</t>
        </is>
      </c>
      <c r="D491" s="288" t="inlineStr">
        <is>
          <t>Пена монтажная</t>
        </is>
      </c>
      <c r="E491" s="374" t="inlineStr">
        <is>
          <t>л</t>
        </is>
      </c>
      <c r="F491" s="374" t="n">
        <v>39.816</v>
      </c>
      <c r="G491" s="290" t="n">
        <v>46.86</v>
      </c>
      <c r="H491" s="302">
        <f>ROUND(F491*G491,2)</f>
        <v/>
      </c>
      <c r="I491" s="314" t="n"/>
    </row>
    <row r="492">
      <c r="A492" s="300" t="n">
        <v>476</v>
      </c>
      <c r="B492" s="346" t="n"/>
      <c r="C492" s="287" t="inlineStr">
        <is>
          <t>01.7.11.07-0041</t>
        </is>
      </c>
      <c r="D492" s="288" t="inlineStr">
        <is>
          <t>Электроды сварочные Э55, диаметр 4 мм</t>
        </is>
      </c>
      <c r="E492" s="374" t="inlineStr">
        <is>
          <t>т</t>
        </is>
      </c>
      <c r="F492" s="374" t="n">
        <v>0.1468</v>
      </c>
      <c r="G492" s="290" t="n">
        <v>12650</v>
      </c>
      <c r="H492" s="302">
        <f>ROUND(F492*G492,2)</f>
        <v/>
      </c>
      <c r="I492" s="314" t="n"/>
    </row>
    <row r="493" ht="25.5" customHeight="1" s="248">
      <c r="A493" s="300" t="n">
        <v>477</v>
      </c>
      <c r="B493" s="346" t="n"/>
      <c r="C493" s="287" t="inlineStr">
        <is>
          <t>22.2.02.08-0001</t>
        </is>
      </c>
      <c r="D493" s="288" t="inlineStr">
        <is>
          <t>Кронштейн крепежный с шайбой и прокладкой ККУ180, толщина металла 2 мм</t>
        </is>
      </c>
      <c r="E493" s="374" t="inlineStr">
        <is>
          <t>шт</t>
        </is>
      </c>
      <c r="F493" s="374" t="n">
        <v>170</v>
      </c>
      <c r="G493" s="290" t="n">
        <v>10.91</v>
      </c>
      <c r="H493" s="302">
        <f>ROUND(F493*G493,2)</f>
        <v/>
      </c>
      <c r="I493" s="314" t="n"/>
    </row>
    <row r="494">
      <c r="A494" s="300" t="n">
        <v>478</v>
      </c>
      <c r="B494" s="346" t="n"/>
      <c r="C494" s="287" t="inlineStr">
        <is>
          <t>Прайс из СД ОП</t>
        </is>
      </c>
      <c r="D494" s="288" t="inlineStr">
        <is>
          <t>Контактор электромагнитный ПМЛ-5160ДМ-УХЛ4Б</t>
        </is>
      </c>
      <c r="E494" s="374" t="inlineStr">
        <is>
          <t>шт.</t>
        </is>
      </c>
      <c r="F494" s="374" t="n">
        <v>4</v>
      </c>
      <c r="G494" s="290" t="n">
        <v>463.5</v>
      </c>
      <c r="H494" s="302">
        <f>ROUND(F494*G494,2)</f>
        <v/>
      </c>
      <c r="I494" s="314" t="n"/>
    </row>
    <row r="495">
      <c r="A495" s="300" t="n">
        <v>479</v>
      </c>
      <c r="B495" s="346" t="n"/>
      <c r="C495" s="287" t="inlineStr">
        <is>
          <t>Прайс из СД ОП</t>
        </is>
      </c>
      <c r="D495" s="288" t="inlineStr">
        <is>
          <t>Комплект виброизоляторов КИВ-6</t>
        </is>
      </c>
      <c r="E495" s="374" t="inlineStr">
        <is>
          <t>шт.</t>
        </is>
      </c>
      <c r="F495" s="374" t="n">
        <v>6</v>
      </c>
      <c r="G495" s="290" t="n">
        <v>307.38</v>
      </c>
      <c r="H495" s="302">
        <f>ROUND(F495*G495,2)</f>
        <v/>
      </c>
      <c r="I495" s="314" t="n"/>
    </row>
    <row r="496">
      <c r="A496" s="300" t="n">
        <v>480</v>
      </c>
      <c r="B496" s="346" t="n"/>
      <c r="C496" s="287" t="inlineStr">
        <is>
          <t>Прайс из СД ОП</t>
        </is>
      </c>
      <c r="D496" s="288" t="inlineStr">
        <is>
          <t>Решетка декоративная Р50-1100х820-С</t>
        </is>
      </c>
      <c r="E496" s="374" t="inlineStr">
        <is>
          <t>шт.</t>
        </is>
      </c>
      <c r="F496" s="374" t="n">
        <v>2</v>
      </c>
      <c r="G496" s="290" t="n">
        <v>908.29</v>
      </c>
      <c r="H496" s="302">
        <f>ROUND(F496*G496,2)</f>
        <v/>
      </c>
      <c r="I496" s="314" t="n"/>
    </row>
    <row r="497">
      <c r="A497" s="300" t="n">
        <v>481</v>
      </c>
      <c r="B497" s="346" t="n"/>
      <c r="C497" s="287" t="inlineStr">
        <is>
          <t>Прайс из СД ОП</t>
        </is>
      </c>
      <c r="D497" s="288" t="inlineStr">
        <is>
          <t xml:space="preserve">Решетка декоративная Р50-1100х820-С </t>
        </is>
      </c>
      <c r="E497" s="374" t="inlineStr">
        <is>
          <t>шт.</t>
        </is>
      </c>
      <c r="F497" s="374" t="n">
        <v>2</v>
      </c>
      <c r="G497" s="290" t="n">
        <v>908.29</v>
      </c>
      <c r="H497" s="302">
        <f>ROUND(F497*G497,2)</f>
        <v/>
      </c>
      <c r="I497" s="314" t="n"/>
    </row>
    <row r="498" ht="51" customFormat="1" customHeight="1" s="299">
      <c r="A498" s="300" t="n">
        <v>482</v>
      </c>
      <c r="B498" s="346" t="n"/>
      <c r="C498" s="287" t="inlineStr">
        <is>
          <t>23.5.02.02-0103</t>
        </is>
      </c>
      <c r="D498" s="288" t="inlineStr">
        <is>
          <t>Трубы стальные электросварные прямошовные со снятой фаской из стали марок БСт2кп-БСт4кп и БСт2пс-БСт4пс, наружный диаметр 325 мм, толщина стенки 9 мм</t>
        </is>
      </c>
      <c r="E498" s="374" t="inlineStr">
        <is>
          <t>м</t>
        </is>
      </c>
      <c r="F498" s="374" t="n">
        <v>3.8</v>
      </c>
      <c r="G498" s="290" t="n">
        <v>477.72</v>
      </c>
      <c r="H498" s="302">
        <f>ROUND(F498*G498,2)</f>
        <v/>
      </c>
      <c r="I498" s="314" t="n"/>
    </row>
    <row r="499">
      <c r="A499" s="300" t="n">
        <v>483</v>
      </c>
      <c r="B499" s="346" t="n"/>
      <c r="C499" s="287" t="inlineStr">
        <is>
          <t>Прайс из СД ОП</t>
        </is>
      </c>
      <c r="D499" s="288" t="inlineStr">
        <is>
          <t xml:space="preserve">Зажим крепёжный СР.3-50 </t>
        </is>
      </c>
      <c r="E499" s="374" t="inlineStr">
        <is>
          <t>шт.</t>
        </is>
      </c>
      <c r="F499" s="374" t="n">
        <v>360</v>
      </c>
      <c r="G499" s="290" t="n">
        <v>5</v>
      </c>
      <c r="H499" s="302">
        <f>ROUND(F499*G499,2)</f>
        <v/>
      </c>
      <c r="I499" s="314" t="n"/>
    </row>
    <row r="500">
      <c r="A500" s="300" t="n">
        <v>484</v>
      </c>
      <c r="B500" s="346" t="n"/>
      <c r="C500" s="287" t="inlineStr">
        <is>
          <t>01.7.20.08-0071</t>
        </is>
      </c>
      <c r="D500" s="288" t="inlineStr">
        <is>
          <t>Канат пеньковый пропитанный</t>
        </is>
      </c>
      <c r="E500" s="374" t="inlineStr">
        <is>
          <t>т</t>
        </is>
      </c>
      <c r="F500" s="374" t="n">
        <v>0.0464</v>
      </c>
      <c r="G500" s="290" t="n">
        <v>37900</v>
      </c>
      <c r="H500" s="302">
        <f>ROUND(F500*G500,2)</f>
        <v/>
      </c>
      <c r="I500" s="314" t="n"/>
      <c r="K500" s="307" t="n"/>
    </row>
    <row r="501">
      <c r="A501" s="300" t="n">
        <v>485</v>
      </c>
      <c r="B501" s="346" t="n"/>
      <c r="C501" s="287" t="inlineStr">
        <is>
          <t>08.3.05.05-0051</t>
        </is>
      </c>
      <c r="D501" s="288" t="inlineStr">
        <is>
          <t>Сталь листовая оцинкованная, толщина 0,5 мм</t>
        </is>
      </c>
      <c r="E501" s="374" t="inlineStr">
        <is>
          <t>т</t>
        </is>
      </c>
      <c r="F501" s="374" t="n">
        <v>0.1564</v>
      </c>
      <c r="G501" s="290" t="n">
        <v>11200</v>
      </c>
      <c r="H501" s="302">
        <f>ROUND(F501*G501,2)</f>
        <v/>
      </c>
      <c r="I501" s="314" t="n"/>
      <c r="K501" s="307" t="n"/>
    </row>
    <row r="502" ht="38.25" customHeight="1" s="248">
      <c r="A502" s="300" t="n">
        <v>486</v>
      </c>
      <c r="B502" s="346" t="n"/>
      <c r="C502" s="287" t="inlineStr">
        <is>
          <t>23.2.02.02-0014</t>
        </is>
      </c>
      <c r="D502" s="288" t="inlineStr">
        <is>
          <t>Трубы медные круглые тянутые и холоднокатаные (марки меди М2, М3), наружным диаметром: 15,88 мм, толщиной стенки 1,0 мм</t>
        </is>
      </c>
      <c r="E502" s="374" t="inlineStr">
        <is>
          <t>м</t>
        </is>
      </c>
      <c r="F502" s="374" t="n">
        <v>26</v>
      </c>
      <c r="G502" s="290" t="n">
        <v>66.94</v>
      </c>
      <c r="H502" s="302">
        <f>ROUND(F502*G502,2)</f>
        <v/>
      </c>
      <c r="I502" s="314" t="n"/>
      <c r="K502" s="307" t="n"/>
    </row>
    <row r="503" ht="25.5" customHeight="1" s="248">
      <c r="A503" s="300" t="n">
        <v>487</v>
      </c>
      <c r="B503" s="346" t="n"/>
      <c r="C503" s="287" t="inlineStr">
        <is>
          <t>12.1.02.10-0096</t>
        </is>
      </c>
      <c r="D503" s="288" t="inlineStr">
        <is>
          <t>Мембрана однослойная ветрозащитная гидроизоляционная Tyvek Housewrap</t>
        </is>
      </c>
      <c r="E503" s="374" t="inlineStr">
        <is>
          <t>10 м2</t>
        </is>
      </c>
      <c r="F503" s="374" t="n">
        <v>6.84</v>
      </c>
      <c r="G503" s="290" t="n">
        <v>253</v>
      </c>
      <c r="H503" s="302">
        <f>ROUND(F503*G503,2)</f>
        <v/>
      </c>
    </row>
    <row r="504" ht="25.5" customHeight="1" s="248">
      <c r="A504" s="300" t="n">
        <v>488</v>
      </c>
      <c r="B504" s="346" t="n"/>
      <c r="C504" s="287" t="inlineStr">
        <is>
          <t>14.5.01.06-0017</t>
        </is>
      </c>
      <c r="D504" s="288" t="inlineStr">
        <is>
          <t>Герметик однокомпонентный полиуретановый тип КАТ для ликвидации протечек с большим притоком воды</t>
        </is>
      </c>
      <c r="E504" s="374" t="inlineStr">
        <is>
          <t>кг</t>
        </is>
      </c>
      <c r="F504" s="374" t="n">
        <v>20</v>
      </c>
      <c r="G504" s="290" t="n">
        <v>85.43000000000001</v>
      </c>
      <c r="H504" s="302">
        <f>ROUND(F504*G504,2)</f>
        <v/>
      </c>
    </row>
    <row r="505" ht="25.5" customHeight="1" s="248">
      <c r="A505" s="300" t="n">
        <v>489</v>
      </c>
      <c r="B505" s="346" t="n"/>
      <c r="C505" s="287" t="inlineStr">
        <is>
          <t>19.1.01.03-0071</t>
        </is>
      </c>
      <c r="D505" s="288" t="inlineStr">
        <is>
          <t>Воздуховоды из оцинкованной стали, толщина 0,5 мм, диаметр до 200 мм</t>
        </is>
      </c>
      <c r="E505" s="374" t="inlineStr">
        <is>
          <t>м2</t>
        </is>
      </c>
      <c r="F505" s="374" t="n">
        <v>17.6311</v>
      </c>
      <c r="G505" s="290" t="n">
        <v>96.29000000000001</v>
      </c>
      <c r="H505" s="302">
        <f>ROUND(F505*G505,2)</f>
        <v/>
      </c>
    </row>
    <row r="506">
      <c r="A506" s="300" t="n">
        <v>490</v>
      </c>
      <c r="B506" s="346" t="n"/>
      <c r="C506" s="287" t="inlineStr">
        <is>
          <t>Прайс из СД ОП</t>
        </is>
      </c>
      <c r="D506" s="288" t="inlineStr">
        <is>
          <t>Соединитель мягкий СОМ 100-ВРАН-80Б-Ц</t>
        </is>
      </c>
      <c r="E506" s="374" t="inlineStr">
        <is>
          <t>шт.</t>
        </is>
      </c>
      <c r="F506" s="374" t="n">
        <v>4</v>
      </c>
      <c r="G506" s="290" t="n">
        <v>415.33</v>
      </c>
      <c r="H506" s="302">
        <f>ROUND(F506*G506,2)</f>
        <v/>
      </c>
    </row>
    <row r="507" ht="25.5" customHeight="1" s="248">
      <c r="A507" s="300" t="n">
        <v>491</v>
      </c>
      <c r="B507" s="346" t="n"/>
      <c r="C507" s="287" t="inlineStr">
        <is>
          <t>Прайс из СД ОП</t>
        </is>
      </c>
      <c r="D507" s="288" t="inlineStr">
        <is>
          <t xml:space="preserve">Клапан воздушный универсальный РЕГУЛЯР-Л-600х600-Н-1хручка-У2 </t>
        </is>
      </c>
      <c r="E507" s="374" t="inlineStr">
        <is>
          <t>шт.</t>
        </is>
      </c>
      <c r="F507" s="374" t="n">
        <v>4</v>
      </c>
      <c r="G507" s="290" t="n">
        <v>406.09</v>
      </c>
      <c r="H507" s="302">
        <f>ROUND(F507*G507,2)</f>
        <v/>
      </c>
    </row>
    <row r="508" ht="25.5" customHeight="1" s="248">
      <c r="A508" s="300" t="n">
        <v>492</v>
      </c>
      <c r="B508" s="346" t="n"/>
      <c r="C508" s="287" t="inlineStr">
        <is>
          <t>Прайс из СД ОП</t>
        </is>
      </c>
      <c r="D508" s="288" t="inlineStr">
        <is>
          <t>Кабельный ввод для светильников ВЭЛ-51-СД.Л.10 ВК-Н-ВЭЛ4Т-G1/2-Exd-G1/2</t>
        </is>
      </c>
      <c r="E508" s="374" t="inlineStr">
        <is>
          <t>шт.</t>
        </is>
      </c>
      <c r="F508" s="374" t="n">
        <v>15</v>
      </c>
      <c r="G508" s="290" t="n">
        <v>107.54</v>
      </c>
      <c r="H508" s="302">
        <f>ROUND(F508*G508,2)</f>
        <v/>
      </c>
    </row>
    <row r="509">
      <c r="A509" s="300" t="n">
        <v>493</v>
      </c>
      <c r="B509" s="346" t="n"/>
      <c r="C509" s="287" t="inlineStr">
        <is>
          <t>Прайс из СД ОП</t>
        </is>
      </c>
      <c r="D509" s="288" t="inlineStr">
        <is>
          <t xml:space="preserve">Соединитель мягкий СОМ 400-ВРАН-071А-Ц </t>
        </is>
      </c>
      <c r="E509" s="374" t="inlineStr">
        <is>
          <t>шт.</t>
        </is>
      </c>
      <c r="F509" s="374" t="n">
        <v>1</v>
      </c>
      <c r="G509" s="290" t="n">
        <v>1612.3</v>
      </c>
      <c r="H509" s="302">
        <f>ROUND(F509*G509,2)</f>
        <v/>
      </c>
    </row>
    <row r="510" ht="25.5" customHeight="1" s="248">
      <c r="A510" s="300" t="n">
        <v>494</v>
      </c>
      <c r="B510" s="346" t="n"/>
      <c r="C510" s="287" t="inlineStr">
        <is>
          <t>08.4.03.03-0031</t>
        </is>
      </c>
      <c r="D510" s="288" t="inlineStr">
        <is>
          <t>Сталь арматурная, горячекатаная, периодического профиля, класс А-III, диаметр 10 мм (К4)</t>
        </is>
      </c>
      <c r="E510" s="374" t="inlineStr">
        <is>
          <t>т</t>
        </is>
      </c>
      <c r="F510" s="374" t="n">
        <v>0.19824</v>
      </c>
      <c r="G510" s="290" t="n">
        <v>8014.15</v>
      </c>
      <c r="H510" s="302">
        <f>ROUND(F510*G510,2)</f>
        <v/>
      </c>
    </row>
    <row r="511" ht="51" customHeight="1" s="248">
      <c r="A511" s="300" t="n">
        <v>495</v>
      </c>
      <c r="B511" s="346" t="n"/>
      <c r="C511" s="287" t="inlineStr">
        <is>
          <t>14.5.11.03-0004</t>
        </is>
      </c>
      <c r="D511" s="288" t="inlineStr">
        <is>
          <t>Смесь сухая шпатлевочная на основе гипса, универсальная с полимерными добавками, крупность заполнителя не более 0,2 мм, прочность на изгиб не менее 1,0 МПа</t>
        </is>
      </c>
      <c r="E511" s="374" t="inlineStr">
        <is>
          <t>кг</t>
        </is>
      </c>
      <c r="F511" s="374" t="n">
        <v>580.6</v>
      </c>
      <c r="G511" s="290" t="n">
        <v>2.7</v>
      </c>
      <c r="H511" s="302">
        <f>ROUND(F511*G511,2)</f>
        <v/>
      </c>
    </row>
    <row r="512" ht="25.5" customHeight="1" s="248">
      <c r="A512" s="300" t="n">
        <v>496</v>
      </c>
      <c r="B512" s="346" t="n"/>
      <c r="C512" s="287" t="inlineStr">
        <is>
          <t>08.4.03.02-0005</t>
        </is>
      </c>
      <c r="D512" s="288" t="inlineStr">
        <is>
          <t>Сталь арматурная, горячекатаная, гладкая, класс А-I, диаметр 14 мм</t>
        </is>
      </c>
      <c r="E512" s="374" t="inlineStr">
        <is>
          <t>т</t>
        </is>
      </c>
      <c r="F512" s="374" t="n">
        <v>0.2516</v>
      </c>
      <c r="G512" s="290" t="n">
        <v>6210</v>
      </c>
      <c r="H512" s="302">
        <f>ROUND(F512*G512,2)</f>
        <v/>
      </c>
    </row>
    <row r="513">
      <c r="A513" s="300" t="n">
        <v>497</v>
      </c>
      <c r="B513" s="346" t="n"/>
      <c r="C513" s="287" t="inlineStr">
        <is>
          <t>01.7.06.12-0005</t>
        </is>
      </c>
      <c r="D513" s="288" t="inlineStr">
        <is>
          <t>Уплотнитель терморазделяющая полоса  45ммх30м</t>
        </is>
      </c>
      <c r="E513" s="374" t="inlineStr">
        <is>
          <t>100 м</t>
        </is>
      </c>
      <c r="F513" s="374" t="n">
        <v>10.8</v>
      </c>
      <c r="G513" s="290" t="n">
        <v>143.98</v>
      </c>
      <c r="H513" s="302">
        <f>ROUND(F513*G513,2)</f>
        <v/>
      </c>
      <c r="I513" s="314" t="n"/>
    </row>
    <row r="514" ht="25.5" customHeight="1" s="248">
      <c r="A514" s="300" t="n">
        <v>498</v>
      </c>
      <c r="B514" s="346" t="n"/>
      <c r="C514" s="287" t="inlineStr">
        <is>
          <t>08.3.08.02-0064</t>
        </is>
      </c>
      <c r="D514" s="288" t="inlineStr">
        <is>
          <t>Сталь угловая равнополочная, марка стали: Ст3пс, размером 70х70 мм</t>
        </is>
      </c>
      <c r="E514" s="374" t="inlineStr">
        <is>
          <t>т</t>
        </is>
      </c>
      <c r="F514" s="374" t="n">
        <v>0.23328</v>
      </c>
      <c r="G514" s="290" t="n">
        <v>6630.54</v>
      </c>
      <c r="H514" s="302">
        <f>ROUND(F514*G514,2)</f>
        <v/>
      </c>
      <c r="I514" s="314" t="n"/>
    </row>
    <row r="515" ht="25.5" customHeight="1" s="248">
      <c r="A515" s="300" t="n">
        <v>499</v>
      </c>
      <c r="B515" s="346" t="n"/>
      <c r="C515" s="287" t="inlineStr">
        <is>
          <t>11.1.03.06-0087</t>
        </is>
      </c>
      <c r="D515" s="288" t="inlineStr">
        <is>
          <t>Доска обрезная, хвойных пород, ширина 75-150 мм, толщина 25 мм, длина 4-6,5 м, сорт III</t>
        </is>
      </c>
      <c r="E515" s="374" t="inlineStr">
        <is>
          <t>м3</t>
        </is>
      </c>
      <c r="F515" s="374" t="n">
        <v>1.4039</v>
      </c>
      <c r="G515" s="290" t="n">
        <v>1100</v>
      </c>
      <c r="H515" s="302">
        <f>ROUND(F515*G515,2)</f>
        <v/>
      </c>
      <c r="I515" s="314" t="n"/>
    </row>
    <row r="516" ht="25.5" customHeight="1" s="248">
      <c r="A516" s="300" t="n">
        <v>500</v>
      </c>
      <c r="B516" s="346" t="n"/>
      <c r="C516" s="287" t="inlineStr">
        <is>
          <t>21.1.06.10-0391</t>
        </is>
      </c>
      <c r="D516" s="288" t="inlineStr">
        <is>
          <t>Кабель силовой с медными жилами ВВГнг(A)-LS 4х1,5ок(N)-1000</t>
        </is>
      </c>
      <c r="E516" s="374" t="inlineStr">
        <is>
          <t>1000 м</t>
        </is>
      </c>
      <c r="F516" s="374" t="n">
        <v>0.11628</v>
      </c>
      <c r="G516" s="290" t="n">
        <v>13169.99</v>
      </c>
      <c r="H516" s="302">
        <f>ROUND(F516*G516,2)</f>
        <v/>
      </c>
      <c r="I516" s="314" t="n"/>
    </row>
    <row r="517" ht="25.5" customHeight="1" s="248">
      <c r="A517" s="300" t="n">
        <v>501</v>
      </c>
      <c r="B517" s="346" t="n"/>
      <c r="C517" s="287" t="inlineStr">
        <is>
          <t>04.1.02.05-0026</t>
        </is>
      </c>
      <c r="D517" s="288" t="inlineStr">
        <is>
          <t>Смеси бетонные тяжелого бетона (БСТ), крупность заполнителя 10 мм, класс В15 (М200)</t>
        </is>
      </c>
      <c r="E517" s="374" t="inlineStr">
        <is>
          <t>м3</t>
        </is>
      </c>
      <c r="F517" s="374" t="n">
        <v>2.2821</v>
      </c>
      <c r="G517" s="290" t="n">
        <v>665</v>
      </c>
      <c r="H517" s="302">
        <f>ROUND(F517*G517,2)</f>
        <v/>
      </c>
      <c r="I517" s="314" t="n"/>
    </row>
    <row r="518" ht="25.5" customHeight="1" s="248">
      <c r="A518" s="300" t="n">
        <v>502</v>
      </c>
      <c r="B518" s="346" t="n"/>
      <c r="C518" s="287" t="inlineStr">
        <is>
          <t>11.1.03.06-0095</t>
        </is>
      </c>
      <c r="D518" s="288" t="inlineStr">
        <is>
          <t>Доска обрезная, хвойных пород, ширина 75-150 мм, толщина 44 мм и более, длина 4-6,5 м, сорт III</t>
        </is>
      </c>
      <c r="E518" s="374" t="inlineStr">
        <is>
          <t>м3</t>
        </is>
      </c>
      <c r="F518" s="374" t="n">
        <v>1.436</v>
      </c>
      <c r="G518" s="290" t="n">
        <v>1056</v>
      </c>
      <c r="H518" s="302">
        <f>ROUND(F518*G518,2)</f>
        <v/>
      </c>
      <c r="I518" s="314" t="n"/>
    </row>
    <row r="519" ht="25.5" customHeight="1" s="248">
      <c r="A519" s="300" t="n">
        <v>503</v>
      </c>
      <c r="B519" s="346" t="n"/>
      <c r="C519" s="287" t="inlineStr">
        <is>
          <t>14.4.01.02-0012</t>
        </is>
      </c>
      <c r="D519" s="288" t="inlineStr">
        <is>
          <t>Грунтовка укрепляющая, глубокого проникновения, быстросохнущая, паропроницаемая</t>
        </is>
      </c>
      <c r="E519" s="374" t="inlineStr">
        <is>
          <t>кг</t>
        </is>
      </c>
      <c r="F519" s="374" t="n">
        <v>115.645</v>
      </c>
      <c r="G519" s="290" t="n">
        <v>13.08</v>
      </c>
      <c r="H519" s="302">
        <f>ROUND(F519*G519,2)</f>
        <v/>
      </c>
      <c r="I519" s="314" t="n"/>
    </row>
    <row r="520" ht="38.25" customHeight="1" s="248">
      <c r="A520" s="300" t="n">
        <v>504</v>
      </c>
      <c r="B520" s="346" t="n"/>
      <c r="C520" s="287" t="inlineStr">
        <is>
          <t>24.3.01.02-0013</t>
        </is>
      </c>
      <c r="D520" s="288" t="inlineStr">
        <is>
          <t>Трубы из самозатухающего ПВХ гибкие гофрированные, легкие, без протяжки, номинальный внутренний диаметр 25 мм</t>
        </is>
      </c>
      <c r="E520" s="374" t="inlineStr">
        <is>
          <t>м</t>
        </is>
      </c>
      <c r="F520" s="374" t="n">
        <v>434</v>
      </c>
      <c r="G520" s="290" t="n">
        <v>3.47</v>
      </c>
      <c r="H520" s="302">
        <f>ROUND(F520*G520,2)</f>
        <v/>
      </c>
      <c r="I520" s="314" t="n"/>
    </row>
    <row r="521">
      <c r="A521" s="300" t="n">
        <v>505</v>
      </c>
      <c r="B521" s="346" t="n"/>
      <c r="C521" s="287" t="inlineStr">
        <is>
          <t>Прайс из СД ОП</t>
        </is>
      </c>
      <c r="D521" s="288" t="inlineStr">
        <is>
          <t xml:space="preserve">Клапан противопожарный КПУ-1Н-О-Н-200х200 </t>
        </is>
      </c>
      <c r="E521" s="374" t="inlineStr">
        <is>
          <t>шт.</t>
        </is>
      </c>
      <c r="F521" s="374" t="n">
        <v>1</v>
      </c>
      <c r="G521" s="290" t="n">
        <v>1492.64</v>
      </c>
      <c r="H521" s="302">
        <f>ROUND(F521*G521,2)</f>
        <v/>
      </c>
      <c r="I521" s="314" t="n"/>
    </row>
    <row r="522" ht="25.5" customHeight="1" s="248">
      <c r="A522" s="300" t="n">
        <v>506</v>
      </c>
      <c r="B522" s="346" t="n"/>
      <c r="C522" s="287" t="inlineStr">
        <is>
          <t>21.1.06.10-0362</t>
        </is>
      </c>
      <c r="D522" s="288" t="inlineStr">
        <is>
          <t>Кабель силовой с медными жилами ВВГнг(A)-LS 2х1,5ок(N)-1000</t>
        </is>
      </c>
      <c r="E522" s="374" t="inlineStr">
        <is>
          <t>1000 м</t>
        </is>
      </c>
      <c r="F522" s="374" t="n">
        <v>0.1836</v>
      </c>
      <c r="G522" s="290" t="n">
        <v>8084.81</v>
      </c>
      <c r="H522" s="302">
        <f>ROUND(F522*G522,2)</f>
        <v/>
      </c>
      <c r="I522" s="314" t="n"/>
    </row>
    <row r="523">
      <c r="A523" s="300" t="n">
        <v>507</v>
      </c>
      <c r="B523" s="346" t="n"/>
      <c r="C523" s="287" t="inlineStr">
        <is>
          <t>Прайс из СД ОП</t>
        </is>
      </c>
      <c r="D523" s="288" t="inlineStr">
        <is>
          <t xml:space="preserve">Клапан противопожарный КПУ-1Н-О-Н-200х150 </t>
        </is>
      </c>
      <c r="E523" s="374" t="inlineStr">
        <is>
          <t>шт.</t>
        </is>
      </c>
      <c r="F523" s="374" t="n">
        <v>1</v>
      </c>
      <c r="G523" s="290" t="n">
        <v>1482.81</v>
      </c>
      <c r="H523" s="302">
        <f>ROUND(F523*G523,2)</f>
        <v/>
      </c>
      <c r="I523" s="314" t="n"/>
    </row>
    <row r="524" ht="25.5" customHeight="1" s="248">
      <c r="A524" s="300" t="n">
        <v>508</v>
      </c>
      <c r="B524" s="346" t="n"/>
      <c r="C524" s="287" t="inlineStr">
        <is>
          <t>08.4.03.02-0006</t>
        </is>
      </c>
      <c r="D524" s="288" t="inlineStr">
        <is>
          <t>Сталь арматурная, горячекатаная, гладкая, класс А-I, диаметр 16-18 мм</t>
        </is>
      </c>
      <c r="E524" s="374" t="inlineStr">
        <is>
          <t>т</t>
        </is>
      </c>
      <c r="F524" s="374" t="n">
        <v>0.2584</v>
      </c>
      <c r="G524" s="290" t="n">
        <v>5650</v>
      </c>
      <c r="H524" s="302">
        <f>ROUND(F524*G524,2)</f>
        <v/>
      </c>
      <c r="I524" s="314" t="n"/>
    </row>
    <row r="525" ht="25.5" customHeight="1" s="248">
      <c r="A525" s="300" t="n">
        <v>509</v>
      </c>
      <c r="B525" s="346" t="n"/>
      <c r="C525" s="287" t="inlineStr">
        <is>
          <t>01.7.06.04-0007</t>
        </is>
      </c>
      <c r="D525" s="288" t="inlineStr">
        <is>
          <t>Лента разделительная для сопряжения потолка из ЛГК со стеной</t>
        </is>
      </c>
      <c r="E525" s="374" t="inlineStr">
        <is>
          <t>100 м</t>
        </is>
      </c>
      <c r="F525" s="374" t="n">
        <v>8.3218</v>
      </c>
      <c r="G525" s="290" t="n">
        <v>173</v>
      </c>
      <c r="H525" s="302">
        <f>ROUND(F525*G525,2)</f>
        <v/>
      </c>
      <c r="I525" s="314" t="n"/>
    </row>
    <row r="526">
      <c r="A526" s="300" t="n">
        <v>510</v>
      </c>
      <c r="B526" s="346" t="n"/>
      <c r="C526" s="287" t="inlineStr">
        <is>
          <t>Прайс из СД ОП</t>
        </is>
      </c>
      <c r="D526" s="288" t="inlineStr">
        <is>
          <t xml:space="preserve">Переходник плоский ПЕП-ОСА-063-С </t>
        </is>
      </c>
      <c r="E526" s="374" t="inlineStr">
        <is>
          <t>шт.</t>
        </is>
      </c>
      <c r="F526" s="374" t="n">
        <v>6</v>
      </c>
      <c r="G526" s="290" t="n">
        <v>238.02</v>
      </c>
      <c r="H526" s="302">
        <f>ROUND(F526*G526,2)</f>
        <v/>
      </c>
      <c r="I526" s="314" t="n"/>
    </row>
    <row r="527">
      <c r="A527" s="300" t="n">
        <v>511</v>
      </c>
      <c r="B527" s="346" t="n"/>
      <c r="C527" s="287" t="inlineStr">
        <is>
          <t>Прайс из СД ОП</t>
        </is>
      </c>
      <c r="D527" s="288" t="inlineStr">
        <is>
          <t xml:space="preserve">Решетка декоративная Р50-700х520-С </t>
        </is>
      </c>
      <c r="E527" s="374" t="inlineStr">
        <is>
          <t>шт.</t>
        </is>
      </c>
      <c r="F527" s="374" t="n">
        <v>3</v>
      </c>
      <c r="G527" s="290" t="n">
        <v>475.22</v>
      </c>
      <c r="H527" s="302">
        <f>ROUND(F527*G527,2)</f>
        <v/>
      </c>
      <c r="I527" s="314" t="n"/>
    </row>
    <row r="528" ht="51" customHeight="1" s="248">
      <c r="A528" s="300" t="n">
        <v>512</v>
      </c>
      <c r="B528" s="346" t="n"/>
      <c r="C528" s="287" t="inlineStr">
        <is>
          <t>18.1.10.02-0001</t>
        </is>
      </c>
      <c r="D528" s="288" t="inlineStr">
        <is>
          <t>Клапан запорный проходной пожарный 15Б3рА51, номинальное давление 1,0 МПа (10 кгс/см2), номинальный диаметр 50 мм, присоединение к трубопроводу муфтовое/цапковое</t>
        </is>
      </c>
      <c r="E528" s="374" t="inlineStr">
        <is>
          <t>шт</t>
        </is>
      </c>
      <c r="F528" s="374" t="n">
        <v>10</v>
      </c>
      <c r="G528" s="290" t="n">
        <v>142.42</v>
      </c>
      <c r="H528" s="302">
        <f>ROUND(F528*G528,2)</f>
        <v/>
      </c>
      <c r="I528" s="314" t="n"/>
    </row>
    <row r="529" ht="25.5" customHeight="1" s="248">
      <c r="A529" s="300" t="n">
        <v>513</v>
      </c>
      <c r="B529" s="346" t="n"/>
      <c r="C529" s="287" t="inlineStr">
        <is>
          <t>01.7.04.07-0003</t>
        </is>
      </c>
      <c r="D529" s="288" t="inlineStr">
        <is>
          <t>Комплект скобяных изделий для блоков входных дверей в помещение однопольных</t>
        </is>
      </c>
      <c r="E529" s="374" t="inlineStr">
        <is>
          <t>компл</t>
        </is>
      </c>
      <c r="F529" s="374" t="n">
        <v>15</v>
      </c>
      <c r="G529" s="290" t="n">
        <v>94.68000000000001</v>
      </c>
      <c r="H529" s="302">
        <f>ROUND(F529*G529,2)</f>
        <v/>
      </c>
      <c r="I529" s="314" t="n"/>
    </row>
    <row r="530" ht="25.5" customFormat="1" customHeight="1" s="299">
      <c r="A530" s="300" t="n">
        <v>514</v>
      </c>
      <c r="B530" s="346" t="n"/>
      <c r="C530" s="287" t="inlineStr">
        <is>
          <t>11.1.03.01-0079</t>
        </is>
      </c>
      <c r="D530" s="288" t="inlineStr">
        <is>
          <t>Бруски обрезные, хвойных пород, длина 4-6,5 м, ширина 75-150 мм, толщина 40-75 мм, сорт III</t>
        </is>
      </c>
      <c r="E530" s="374" t="inlineStr">
        <is>
          <t>м3</t>
        </is>
      </c>
      <c r="F530" s="374" t="n">
        <v>1.097</v>
      </c>
      <c r="G530" s="290" t="n">
        <v>1287</v>
      </c>
      <c r="H530" s="302">
        <f>ROUND(F530*G530,2)</f>
        <v/>
      </c>
      <c r="I530" s="314" t="n"/>
    </row>
    <row r="531" ht="25.5" customHeight="1" s="248">
      <c r="A531" s="300" t="n">
        <v>515</v>
      </c>
      <c r="B531" s="346" t="n"/>
      <c r="C531" s="287" t="inlineStr">
        <is>
          <t>999-9950</t>
        </is>
      </c>
      <c r="D531" s="288" t="inlineStr">
        <is>
          <t>Вспомогательные ненормируемые ресурсы (2% от Оплаты труда рабочих)</t>
        </is>
      </c>
      <c r="E531" s="374" t="inlineStr">
        <is>
          <t>руб</t>
        </is>
      </c>
      <c r="F531" s="374" t="n">
        <v>1408.7418</v>
      </c>
      <c r="G531" s="290" t="n">
        <v>1</v>
      </c>
      <c r="H531" s="302">
        <f>ROUND(F531*G531,2)</f>
        <v/>
      </c>
      <c r="I531" s="314" t="n"/>
    </row>
    <row r="532">
      <c r="A532" s="300" t="n">
        <v>516</v>
      </c>
      <c r="B532" s="346" t="n"/>
      <c r="C532" s="287" t="inlineStr">
        <is>
          <t>Прайс из СД ОП</t>
        </is>
      </c>
      <c r="D532" s="288" t="inlineStr">
        <is>
          <t>Канат стальной оцинкованный, D=4.1 мм М2624</t>
        </is>
      </c>
      <c r="E532" s="374" t="inlineStr">
        <is>
          <t>м</t>
        </is>
      </c>
      <c r="F532" s="374" t="n">
        <v>284</v>
      </c>
      <c r="G532" s="290" t="n">
        <v>4.93</v>
      </c>
      <c r="H532" s="302">
        <f>ROUND(F532*G532,2)</f>
        <v/>
      </c>
    </row>
    <row r="533" ht="25.5" customHeight="1" s="248">
      <c r="A533" s="300" t="n">
        <v>517</v>
      </c>
      <c r="B533" s="346" t="n"/>
      <c r="C533" s="287" t="inlineStr">
        <is>
          <t>19.1.06.01-0022</t>
        </is>
      </c>
      <c r="D533" s="288" t="inlineStr">
        <is>
          <t>Узлы прохода вытяжных вентиляционных шахт без клапана УП1-02, диаметр патрубка 315 мм</t>
        </is>
      </c>
      <c r="E533" s="374" t="inlineStr">
        <is>
          <t>шт</t>
        </is>
      </c>
      <c r="F533" s="374" t="n">
        <v>2</v>
      </c>
      <c r="G533" s="290" t="n">
        <v>697.65</v>
      </c>
      <c r="H533" s="302">
        <f>ROUND(F533*G533,2)</f>
        <v/>
      </c>
    </row>
    <row r="534" ht="25.5" customHeight="1" s="248">
      <c r="A534" s="300" t="n">
        <v>518</v>
      </c>
      <c r="B534" s="346" t="n"/>
      <c r="C534" s="287" t="inlineStr">
        <is>
          <t>05.1.03.09-0022</t>
        </is>
      </c>
      <c r="D534" s="288" t="inlineStr">
        <is>
          <t>Перемычка брусковая 3ПБ-13-37-п, бетон B15, объем 0,034 м3, расход арматуры 2,06 кг</t>
        </is>
      </c>
      <c r="E534" s="374" t="inlineStr">
        <is>
          <t>шт</t>
        </is>
      </c>
      <c r="F534" s="374" t="n">
        <v>28</v>
      </c>
      <c r="G534" s="290" t="n">
        <v>49.23</v>
      </c>
      <c r="H534" s="302">
        <f>ROUND(F534*G534,2)</f>
        <v/>
      </c>
      <c r="I534" s="314" t="n"/>
    </row>
    <row r="535">
      <c r="A535" s="300" t="n">
        <v>519</v>
      </c>
      <c r="B535" s="346" t="n"/>
      <c r="C535" s="287" t="inlineStr">
        <is>
          <t>08.1.03.04-0001</t>
        </is>
      </c>
      <c r="D535" s="288" t="inlineStr">
        <is>
          <t>Блочки</t>
        </is>
      </c>
      <c r="E535" s="374" t="inlineStr">
        <is>
          <t>10 шт</t>
        </is>
      </c>
      <c r="F535" s="374" t="n">
        <v>6</v>
      </c>
      <c r="G535" s="290" t="n">
        <v>228</v>
      </c>
      <c r="H535" s="302">
        <f>ROUND(F535*G535,2)</f>
        <v/>
      </c>
      <c r="I535" s="314" t="n"/>
    </row>
    <row r="536">
      <c r="A536" s="300" t="n">
        <v>520</v>
      </c>
      <c r="B536" s="346" t="n"/>
      <c r="C536" s="287" t="inlineStr">
        <is>
          <t>14.4.02.09-0001</t>
        </is>
      </c>
      <c r="D536" s="288" t="inlineStr">
        <is>
          <t>Краска</t>
        </is>
      </c>
      <c r="E536" s="374" t="inlineStr">
        <is>
          <t>кг</t>
        </is>
      </c>
      <c r="F536" s="374" t="n">
        <v>47.7328</v>
      </c>
      <c r="G536" s="290" t="n">
        <v>28.6</v>
      </c>
      <c r="H536" s="302">
        <f>ROUND(F536*G536,2)</f>
        <v/>
      </c>
      <c r="I536" s="314" t="n"/>
    </row>
    <row r="537" ht="38.25" customHeight="1" s="248">
      <c r="A537" s="300" t="n">
        <v>521</v>
      </c>
      <c r="B537" s="346" t="n"/>
      <c r="C537" s="287" t="inlineStr">
        <is>
          <t>07.2.06.03-0119</t>
        </is>
      </c>
      <c r="D537" s="288" t="inlineStr">
        <is>
          <t>Профиль направляющий, стальной, оцинкованный, для монтажа гипсовых перегородок и подвесных потолков, длина 3 м, сечение 28х27х0,6 мм</t>
        </is>
      </c>
      <c r="E537" s="374" t="inlineStr">
        <is>
          <t>м</t>
        </is>
      </c>
      <c r="F537" s="374" t="n">
        <v>339.44</v>
      </c>
      <c r="G537" s="290" t="n">
        <v>4</v>
      </c>
      <c r="H537" s="302">
        <f>ROUND(F537*G537,2)</f>
        <v/>
      </c>
      <c r="I537" s="314" t="n"/>
    </row>
    <row r="538">
      <c r="A538" s="300" t="n">
        <v>522</v>
      </c>
      <c r="B538" s="346" t="n"/>
      <c r="C538" s="287" t="inlineStr">
        <is>
          <t>Прайс из СД ОП</t>
        </is>
      </c>
      <c r="D538" s="288" t="inlineStr">
        <is>
          <t xml:space="preserve">Решетки с фиксированными жалюзи АЛН 800х500 </t>
        </is>
      </c>
      <c r="E538" s="374" t="inlineStr">
        <is>
          <t>шт.</t>
        </is>
      </c>
      <c r="F538" s="374" t="n">
        <v>6</v>
      </c>
      <c r="G538" s="290" t="n">
        <v>223.7</v>
      </c>
      <c r="H538" s="302">
        <f>ROUND(F538*G538,2)</f>
        <v/>
      </c>
      <c r="I538" s="314" t="n"/>
    </row>
    <row r="539">
      <c r="A539" s="300" t="n">
        <v>523</v>
      </c>
      <c r="B539" s="346" t="n"/>
      <c r="C539" s="287" t="inlineStr">
        <is>
          <t>Прайс из СД ОП</t>
        </is>
      </c>
      <c r="D539" s="288" t="inlineStr">
        <is>
          <t xml:space="preserve">Клапан обратный универсальный КЛАРА-1100х1100-Н </t>
        </is>
      </c>
      <c r="E539" s="374" t="inlineStr">
        <is>
          <t>шт.</t>
        </is>
      </c>
      <c r="F539" s="374" t="n">
        <v>2</v>
      </c>
      <c r="G539" s="290" t="n">
        <v>667.67</v>
      </c>
      <c r="H539" s="302">
        <f>ROUND(F539*G539,2)</f>
        <v/>
      </c>
      <c r="I539" s="314" t="n"/>
    </row>
    <row r="540">
      <c r="A540" s="300" t="n">
        <v>524</v>
      </c>
      <c r="B540" s="346" t="n"/>
      <c r="C540" s="287" t="inlineStr">
        <is>
          <t>01.7.15.02-0051</t>
        </is>
      </c>
      <c r="D540" s="288" t="inlineStr">
        <is>
          <t>Болты анкерные</t>
        </is>
      </c>
      <c r="E540" s="374" t="inlineStr">
        <is>
          <t>т</t>
        </is>
      </c>
      <c r="F540" s="374" t="n">
        <v>0.1314</v>
      </c>
      <c r="G540" s="290" t="n">
        <v>10068</v>
      </c>
      <c r="H540" s="302">
        <f>ROUND(F540*G540,2)</f>
        <v/>
      </c>
      <c r="I540" s="314" t="n"/>
    </row>
    <row r="541" ht="38.25" customFormat="1" customHeight="1" s="299">
      <c r="A541" s="300" t="n">
        <v>525</v>
      </c>
      <c r="B541" s="346" t="n"/>
      <c r="C541" s="287" t="inlineStr">
        <is>
          <t>14.5.04.07-0001</t>
        </is>
      </c>
      <c r="D541" s="288" t="inlineStr">
        <is>
          <t>Мастика (герметик) тиоколовая тип ЛТ-1, двухкомпонентная строительного назначения, герметизирующая, нетвердеющая</t>
        </is>
      </c>
      <c r="E541" s="374" t="inlineStr">
        <is>
          <t>кг</t>
        </is>
      </c>
      <c r="F541" s="374" t="n">
        <v>24</v>
      </c>
      <c r="G541" s="290" t="n">
        <v>54.21</v>
      </c>
      <c r="H541" s="302">
        <f>ROUND(F541*G541,2)</f>
        <v/>
      </c>
      <c r="I541" s="314" t="n"/>
    </row>
    <row r="542">
      <c r="A542" s="300" t="n">
        <v>526</v>
      </c>
      <c r="B542" s="346" t="n"/>
      <c r="C542" s="287" t="inlineStr">
        <is>
          <t>Прайс из СД ОП</t>
        </is>
      </c>
      <c r="D542" s="288" t="inlineStr">
        <is>
          <t>Фасадный держатель  100 мм ND2307</t>
        </is>
      </c>
      <c r="E542" s="374" t="inlineStr">
        <is>
          <t>шт.</t>
        </is>
      </c>
      <c r="F542" s="374" t="n">
        <v>65</v>
      </c>
      <c r="G542" s="290" t="n">
        <v>20</v>
      </c>
      <c r="H542" s="302">
        <f>ROUND(F542*G542,2)</f>
        <v/>
      </c>
      <c r="I542" s="314" t="n"/>
    </row>
    <row r="543">
      <c r="A543" s="300" t="n">
        <v>527</v>
      </c>
      <c r="B543" s="346" t="n"/>
      <c r="C543" s="287" t="inlineStr">
        <is>
          <t>Прайс из СД ОП</t>
        </is>
      </c>
      <c r="D543" s="288" t="inlineStr">
        <is>
          <t xml:space="preserve">Соединитель мягкий СОМ 100-ВРАН-100А-Ц </t>
        </is>
      </c>
      <c r="E543" s="374" t="inlineStr">
        <is>
          <t>шт.</t>
        </is>
      </c>
      <c r="F543" s="374" t="n">
        <v>4</v>
      </c>
      <c r="G543" s="290" t="n">
        <v>321.35</v>
      </c>
      <c r="H543" s="302">
        <f>ROUND(F543*G543,2)</f>
        <v/>
      </c>
      <c r="I543" s="314" t="n"/>
      <c r="K543" s="307" t="n"/>
    </row>
    <row r="544" ht="25.5" customHeight="1" s="248">
      <c r="A544" s="300" t="n">
        <v>528</v>
      </c>
      <c r="B544" s="346" t="n"/>
      <c r="C544" s="287" t="inlineStr">
        <is>
          <t>01.7.04.01-0011</t>
        </is>
      </c>
      <c r="D544" s="288" t="inlineStr">
        <is>
          <t>Закрыватель дверной гидравлический рычажный в алюминиевом корпусе</t>
        </is>
      </c>
      <c r="E544" s="374" t="inlineStr">
        <is>
          <t>шт</t>
        </is>
      </c>
      <c r="F544" s="374" t="n">
        <v>3</v>
      </c>
      <c r="G544" s="290" t="n">
        <v>428.27</v>
      </c>
      <c r="H544" s="302">
        <f>ROUND(F544*G544,2)</f>
        <v/>
      </c>
      <c r="I544" s="314" t="n"/>
      <c r="K544" s="307" t="n"/>
    </row>
    <row r="545" ht="25.5" customHeight="1" s="248">
      <c r="A545" s="300" t="n">
        <v>529</v>
      </c>
      <c r="B545" s="346" t="n"/>
      <c r="C545" s="287" t="inlineStr">
        <is>
          <t>05.1.03.11-0009</t>
        </is>
      </c>
      <c r="D545" s="288" t="inlineStr">
        <is>
          <t>Перемычка плитная 3ПП21-71, бетон B15, объем 0,173 м3, расход арматуры 13,82 кг</t>
        </is>
      </c>
      <c r="E545" s="374" t="inlineStr">
        <is>
          <t>шт</t>
        </is>
      </c>
      <c r="F545" s="374" t="n">
        <v>5</v>
      </c>
      <c r="G545" s="290" t="n">
        <v>256.11</v>
      </c>
      <c r="H545" s="302">
        <f>ROUND(F545*G545,2)</f>
        <v/>
      </c>
      <c r="I545" s="314" t="n"/>
      <c r="K545" s="307" t="n"/>
    </row>
    <row r="546" ht="25.5" customHeight="1" s="248">
      <c r="A546" s="300" t="n">
        <v>530</v>
      </c>
      <c r="B546" s="346" t="n"/>
      <c r="C546" s="287" t="inlineStr">
        <is>
          <t>08.3.08.02-0076</t>
        </is>
      </c>
      <c r="D546" s="288" t="inlineStr">
        <is>
          <t>Сталь угловая равнополочная, марка стали: Ст3пс, шириной полок 160-160 мм</t>
        </is>
      </c>
      <c r="E546" s="374" t="inlineStr">
        <is>
          <t>т</t>
        </is>
      </c>
      <c r="F546" s="374" t="n">
        <v>0.276</v>
      </c>
      <c r="G546" s="290" t="n">
        <v>4635.6</v>
      </c>
      <c r="H546" s="302">
        <f>ROUND(F546*G546,2)</f>
        <v/>
      </c>
    </row>
    <row r="547">
      <c r="A547" s="300" t="n">
        <v>531</v>
      </c>
      <c r="B547" s="346" t="n"/>
      <c r="C547" s="287" t="inlineStr">
        <is>
          <t>01.7.11.07-0034</t>
        </is>
      </c>
      <c r="D547" s="288" t="inlineStr">
        <is>
          <t>Электроды сварочные Э42А, диаметр 4 мм</t>
        </is>
      </c>
      <c r="E547" s="374" t="inlineStr">
        <is>
          <t>кг</t>
        </is>
      </c>
      <c r="F547" s="374" t="n">
        <v>120.7297</v>
      </c>
      <c r="G547" s="290" t="n">
        <v>10.57</v>
      </c>
      <c r="H547" s="302">
        <f>ROUND(F547*G547,2)</f>
        <v/>
      </c>
    </row>
    <row r="548">
      <c r="A548" s="300" t="n">
        <v>532</v>
      </c>
      <c r="B548" s="346" t="n"/>
      <c r="C548" s="287" t="inlineStr">
        <is>
          <t>Прайс из СД ОП</t>
        </is>
      </c>
      <c r="D548" s="288" t="inlineStr">
        <is>
          <t xml:space="preserve">Решетка декоративная Р50-900х620-С </t>
        </is>
      </c>
      <c r="E548" s="374" t="inlineStr">
        <is>
          <t>шт.</t>
        </is>
      </c>
      <c r="F548" s="374" t="n">
        <v>2</v>
      </c>
      <c r="G548" s="290" t="n">
        <v>632.28</v>
      </c>
      <c r="H548" s="302">
        <f>ROUND(F548*G548,2)</f>
        <v/>
      </c>
    </row>
    <row r="549" ht="25.5" customHeight="1" s="248">
      <c r="A549" s="300" t="n">
        <v>533</v>
      </c>
      <c r="B549" s="346" t="n"/>
      <c r="C549" s="287" t="inlineStr">
        <is>
          <t>08.3.05.02-0074</t>
        </is>
      </c>
      <c r="D549" s="288" t="inlineStr">
        <is>
          <t>Прокат толстолистовой горячекатаный в листах, марка стали Ст3пс, толщина 12-14 мм</t>
        </is>
      </c>
      <c r="E549" s="374" t="inlineStr">
        <is>
          <t>т</t>
        </is>
      </c>
      <c r="F549" s="374" t="n">
        <v>0.198</v>
      </c>
      <c r="G549" s="290" t="n">
        <v>6366.42</v>
      </c>
      <c r="H549" s="302">
        <f>ROUND(F549*G549,2)</f>
        <v/>
      </c>
    </row>
    <row r="550">
      <c r="A550" s="300" t="n">
        <v>534</v>
      </c>
      <c r="B550" s="346" t="n"/>
      <c r="C550" s="287" t="inlineStr">
        <is>
          <t>01.7.06.11-0011</t>
        </is>
      </c>
      <c r="D550" s="288" t="inlineStr">
        <is>
          <t>Лента уплотнительная шириной 30 мм</t>
        </is>
      </c>
      <c r="E550" s="374" t="inlineStr">
        <is>
          <t>м</t>
        </is>
      </c>
      <c r="F550" s="374" t="n">
        <v>2280</v>
      </c>
      <c r="G550" s="290" t="n">
        <v>0.55</v>
      </c>
      <c r="H550" s="302">
        <f>ROUND(F550*G550,2)</f>
        <v/>
      </c>
    </row>
    <row r="551">
      <c r="A551" s="300" t="n">
        <v>535</v>
      </c>
      <c r="B551" s="346" t="n"/>
      <c r="C551" s="287" t="inlineStr">
        <is>
          <t>Прайс из СД ОП</t>
        </is>
      </c>
      <c r="D551" s="288" t="inlineStr">
        <is>
          <t xml:space="preserve">Кабель установочный НУД 3х2,5 </t>
        </is>
      </c>
      <c r="E551" s="374" t="inlineStr">
        <is>
          <t>м</t>
        </is>
      </c>
      <c r="F551" s="374" t="n">
        <v>90</v>
      </c>
      <c r="G551" s="290" t="n">
        <v>13.85</v>
      </c>
      <c r="H551" s="302">
        <f>ROUND(F551*G551,2)</f>
        <v/>
      </c>
    </row>
    <row r="552">
      <c r="A552" s="300" t="n">
        <v>536</v>
      </c>
      <c r="B552" s="346" t="n"/>
      <c r="C552" s="287" t="inlineStr">
        <is>
          <t>02.2.05.04-1777</t>
        </is>
      </c>
      <c r="D552" s="288" t="inlineStr">
        <is>
          <t>Щебень М 800, фракция 20-40 мм, группа 2</t>
        </is>
      </c>
      <c r="E552" s="374" t="inlineStr">
        <is>
          <t>м3</t>
        </is>
      </c>
      <c r="F552" s="374" t="n">
        <v>11.44</v>
      </c>
      <c r="G552" s="290" t="n">
        <v>108.4</v>
      </c>
      <c r="H552" s="302">
        <f>ROUND(F552*G552,2)</f>
        <v/>
      </c>
    </row>
    <row r="553" ht="38.25" customHeight="1" s="248">
      <c r="A553" s="300" t="n">
        <v>537</v>
      </c>
      <c r="B553" s="346" t="n"/>
      <c r="C553" s="287" t="inlineStr">
        <is>
          <t>08.4.01.02-0011</t>
        </is>
      </c>
      <c r="D553" s="288" t="inlineStr">
        <is>
          <t>Детали закладные и накладные, изготовленные без применения сварки, гнутья, сверления (пробивки) отверстий, поставляемые отдельно</t>
        </is>
      </c>
      <c r="E553" s="374" t="inlineStr">
        <is>
          <t>т</t>
        </is>
      </c>
      <c r="F553" s="374" t="n">
        <v>0.2123</v>
      </c>
      <c r="G553" s="290" t="n">
        <v>5804</v>
      </c>
      <c r="H553" s="302">
        <f>ROUND(F553*G553,2)</f>
        <v/>
      </c>
    </row>
    <row r="554" ht="25.5" customHeight="1" s="248">
      <c r="A554" s="300" t="n">
        <v>538</v>
      </c>
      <c r="B554" s="346" t="n"/>
      <c r="C554" s="287" t="inlineStr">
        <is>
          <t>04.1.02.05-0026</t>
        </is>
      </c>
      <c r="D554" s="288" t="inlineStr">
        <is>
          <t>Смеси бетонные тяжелого бетона (БСТ), крупность заполнителя 10 мм, класс B15 (М200)</t>
        </is>
      </c>
      <c r="E554" s="374" t="inlineStr">
        <is>
          <t>м3</t>
        </is>
      </c>
      <c r="F554" s="374" t="n">
        <v>1.8474</v>
      </c>
      <c r="G554" s="290" t="n">
        <v>665</v>
      </c>
      <c r="H554" s="302">
        <f>ROUND(F554*G554,2)</f>
        <v/>
      </c>
    </row>
    <row r="555">
      <c r="A555" s="300" t="n">
        <v>539</v>
      </c>
      <c r="B555" s="346" t="n"/>
      <c r="C555" s="287" t="inlineStr">
        <is>
          <t>12.1.02.11-0016</t>
        </is>
      </c>
      <c r="D555" s="288" t="inlineStr">
        <is>
          <t>ИЗОСПАН: B</t>
        </is>
      </c>
      <c r="E555" s="374" t="inlineStr">
        <is>
          <t>10 м2</t>
        </is>
      </c>
      <c r="F555" s="374" t="n">
        <v>44.596</v>
      </c>
      <c r="G555" s="290" t="n">
        <v>27.5</v>
      </c>
      <c r="H555" s="302">
        <f>ROUND(F555*G555,2)</f>
        <v/>
      </c>
    </row>
    <row r="556" ht="25.5" customHeight="1" s="248">
      <c r="A556" s="300" t="n">
        <v>540</v>
      </c>
      <c r="B556" s="346" t="n"/>
      <c r="C556" s="287" t="inlineStr">
        <is>
          <t>Прайс из СД ОП</t>
        </is>
      </c>
      <c r="D556" s="288" t="inlineStr">
        <is>
          <t>Переключатель одноклавишный скрытой установки, 10 А, IP20 Legrand Valena, арт. 774425</t>
        </is>
      </c>
      <c r="E556" s="374" t="inlineStr">
        <is>
          <t>шт.</t>
        </is>
      </c>
      <c r="F556" s="374" t="n">
        <v>24</v>
      </c>
      <c r="G556" s="290" t="n">
        <v>50.69</v>
      </c>
      <c r="H556" s="302">
        <f>ROUND(F556*G556,2)</f>
        <v/>
      </c>
      <c r="I556" s="314" t="n"/>
    </row>
    <row r="557" ht="25.5" customHeight="1" s="248">
      <c r="A557" s="300" t="n">
        <v>541</v>
      </c>
      <c r="B557" s="346" t="n"/>
      <c r="C557" s="287" t="inlineStr">
        <is>
          <t>08.1.02.17-0033</t>
        </is>
      </c>
      <c r="D557" s="288" t="inlineStr">
        <is>
          <t>Сетка плетеная из проволоки без покрытия, диаметр проволоки 1,6 мм, размер ячейки 20х20 мм</t>
        </is>
      </c>
      <c r="E557" s="374" t="inlineStr">
        <is>
          <t>м2</t>
        </is>
      </c>
      <c r="F557" s="374" t="n">
        <v>52.0668</v>
      </c>
      <c r="G557" s="290" t="n">
        <v>23.08</v>
      </c>
      <c r="H557" s="302">
        <f>ROUND(F557*G557,2)</f>
        <v/>
      </c>
      <c r="I557" s="314" t="n"/>
    </row>
    <row r="558" ht="38.25" customHeight="1" s="248">
      <c r="A558" s="300" t="n">
        <v>542</v>
      </c>
      <c r="B558" s="346" t="n"/>
      <c r="C558" s="287" t="inlineStr">
        <is>
          <t>23.3.06.04-0008</t>
        </is>
      </c>
      <c r="D558" s="288" t="inlineStr">
        <is>
          <t>Трубы стальные сварные неоцинкованные водогазопроводные с резьбой, легкие, номинальный диаметр 25 мм, толщина стенки 2,8 мм</t>
        </is>
      </c>
      <c r="E558" s="374" t="inlineStr">
        <is>
          <t>м</t>
        </is>
      </c>
      <c r="F558" s="374" t="n">
        <v>78</v>
      </c>
      <c r="G558" s="290" t="n">
        <v>15.33</v>
      </c>
      <c r="H558" s="302">
        <f>ROUND(F558*G558,2)</f>
        <v/>
      </c>
      <c r="I558" s="314" t="n"/>
    </row>
    <row r="559">
      <c r="A559" s="300" t="n">
        <v>543</v>
      </c>
      <c r="B559" s="346" t="n"/>
      <c r="C559" s="287" t="inlineStr">
        <is>
          <t>Прайс из СД ОП</t>
        </is>
      </c>
      <c r="D559" s="288" t="inlineStr">
        <is>
          <t xml:space="preserve">Клапан обратный универсальный КЛАРА-1000-Н </t>
        </is>
      </c>
      <c r="E559" s="374" t="inlineStr">
        <is>
          <t>шт.</t>
        </is>
      </c>
      <c r="F559" s="374" t="n">
        <v>2</v>
      </c>
      <c r="G559" s="290" t="n">
        <v>597.72</v>
      </c>
      <c r="H559" s="302">
        <f>ROUND(F559*G559,2)</f>
        <v/>
      </c>
      <c r="I559" s="314" t="n"/>
    </row>
    <row r="560">
      <c r="A560" s="300" t="n">
        <v>544</v>
      </c>
      <c r="B560" s="346" t="n"/>
      <c r="C560" s="287" t="inlineStr">
        <is>
          <t>Прайс из СД ОП</t>
        </is>
      </c>
      <c r="D560" s="288" t="inlineStr">
        <is>
          <t xml:space="preserve">Клапан обратный универсальный КЛАРА-1000х600-Н </t>
        </is>
      </c>
      <c r="E560" s="374" t="inlineStr">
        <is>
          <t>шт.</t>
        </is>
      </c>
      <c r="F560" s="374" t="n">
        <v>2</v>
      </c>
      <c r="G560" s="290" t="n">
        <v>590.62</v>
      </c>
      <c r="H560" s="302">
        <f>ROUND(F560*G560,2)</f>
        <v/>
      </c>
      <c r="I560" s="314" t="n"/>
    </row>
    <row r="561">
      <c r="A561" s="300" t="n">
        <v>545</v>
      </c>
      <c r="B561" s="346" t="n"/>
      <c r="C561" s="287" t="inlineStr">
        <is>
          <t>Прайс из СД ОП</t>
        </is>
      </c>
      <c r="D561" s="288" t="inlineStr">
        <is>
          <t>Решетка декоративная Р50-800х620-С</t>
        </is>
      </c>
      <c r="E561" s="374" t="inlineStr">
        <is>
          <t>шт.</t>
        </is>
      </c>
      <c r="F561" s="374" t="n">
        <v>2</v>
      </c>
      <c r="G561" s="290" t="n">
        <v>586.24</v>
      </c>
      <c r="H561" s="302">
        <f>ROUND(F561*G561,2)</f>
        <v/>
      </c>
      <c r="I561" s="314" t="n"/>
    </row>
    <row r="562">
      <c r="A562" s="300" t="n">
        <v>546</v>
      </c>
      <c r="B562" s="346" t="n"/>
      <c r="C562" s="287" t="inlineStr">
        <is>
          <t>Прайс из СД ОП</t>
        </is>
      </c>
      <c r="D562" s="288" t="inlineStr">
        <is>
          <t>Решетка декоративная Р50-800х620-С</t>
        </is>
      </c>
      <c r="E562" s="374" t="inlineStr">
        <is>
          <t>шт.</t>
        </is>
      </c>
      <c r="F562" s="374" t="n">
        <v>2</v>
      </c>
      <c r="G562" s="290" t="n">
        <v>586.24</v>
      </c>
      <c r="H562" s="302">
        <f>ROUND(F562*G562,2)</f>
        <v/>
      </c>
      <c r="I562" s="314" t="n"/>
    </row>
    <row r="563">
      <c r="A563" s="300" t="n">
        <v>547</v>
      </c>
      <c r="B563" s="346" t="n"/>
      <c r="C563" s="287" t="inlineStr">
        <is>
          <t>11.3.03.01-0005</t>
        </is>
      </c>
      <c r="D563" s="288" t="inlineStr">
        <is>
          <t>Доски подоконные из ПВХ, ширина 300 мм</t>
        </is>
      </c>
      <c r="E563" s="374" t="inlineStr">
        <is>
          <t>м</t>
        </is>
      </c>
      <c r="F563" s="374" t="n">
        <v>32.2</v>
      </c>
      <c r="G563" s="290" t="n">
        <v>36.37</v>
      </c>
      <c r="H563" s="302">
        <f>ROUND(F563*G563,2)</f>
        <v/>
      </c>
      <c r="I563" s="314" t="n"/>
    </row>
    <row r="564">
      <c r="A564" s="300" t="n">
        <v>548</v>
      </c>
      <c r="B564" s="346" t="n"/>
      <c r="C564" s="287" t="inlineStr">
        <is>
          <t>01.7.15.14-0078</t>
        </is>
      </c>
      <c r="D564" s="288" t="inlineStr">
        <is>
          <t>Шурупы-саморезы кровельные окрашенные 5,5х38 мм</t>
        </is>
      </c>
      <c r="E564" s="374" t="inlineStr">
        <is>
          <t>100 шт</t>
        </is>
      </c>
      <c r="F564" s="374" t="n">
        <v>18.96</v>
      </c>
      <c r="G564" s="290" t="n">
        <v>59.2</v>
      </c>
      <c r="H564" s="302">
        <f>ROUND(F564*G564,2)</f>
        <v/>
      </c>
      <c r="I564" s="314" t="n"/>
    </row>
    <row r="565">
      <c r="A565" s="300" t="n">
        <v>549</v>
      </c>
      <c r="B565" s="346" t="n"/>
      <c r="C565" s="287" t="inlineStr">
        <is>
          <t>01.7.11.07-0039</t>
        </is>
      </c>
      <c r="D565" s="288" t="inlineStr">
        <is>
          <t>Электроды сварочные Э50, диаметр 4 мм</t>
        </is>
      </c>
      <c r="E565" s="374" t="inlineStr">
        <is>
          <t>кг</t>
        </is>
      </c>
      <c r="F565" s="374" t="n">
        <v>98.95999999999999</v>
      </c>
      <c r="G565" s="290" t="n">
        <v>11.22</v>
      </c>
      <c r="H565" s="302">
        <f>ROUND(F565*G565,2)</f>
        <v/>
      </c>
      <c r="I565" s="314" t="n"/>
    </row>
    <row r="566" ht="25.5" customHeight="1" s="248">
      <c r="A566" s="300" t="n">
        <v>550</v>
      </c>
      <c r="B566" s="346" t="n"/>
      <c r="C566" s="287" t="inlineStr">
        <is>
          <t>08.3.04.02-0071</t>
        </is>
      </c>
      <c r="D566" s="288" t="inlineStr">
        <is>
          <t>Сталь круглая и квадратная, марка: Ст3пс размером 18х18 мм</t>
        </is>
      </c>
      <c r="E566" s="374" t="inlineStr">
        <is>
          <t>т</t>
        </is>
      </c>
      <c r="F566" s="374" t="n">
        <v>0.21</v>
      </c>
      <c r="G566" s="290" t="n">
        <v>5254.31</v>
      </c>
      <c r="H566" s="302">
        <f>ROUND(F566*G566,2)</f>
        <v/>
      </c>
      <c r="I566" s="314" t="n"/>
    </row>
    <row r="567">
      <c r="A567" s="300" t="n">
        <v>551</v>
      </c>
      <c r="B567" s="346" t="n"/>
      <c r="C567" s="287" t="inlineStr">
        <is>
          <t>08.1.02.11-0013</t>
        </is>
      </c>
      <c r="D567" s="288" t="inlineStr">
        <is>
          <t>Поковки оцинкованные, масса 2,825 кг</t>
        </is>
      </c>
      <c r="E567" s="374" t="inlineStr">
        <is>
          <t>т</t>
        </is>
      </c>
      <c r="F567" s="374" t="n">
        <v>0.1382</v>
      </c>
      <c r="G567" s="290" t="n">
        <v>7977</v>
      </c>
      <c r="H567" s="302">
        <f>ROUND(F567*G567,2)</f>
        <v/>
      </c>
      <c r="I567" s="314" t="n"/>
    </row>
    <row r="568">
      <c r="A568" s="300" t="n">
        <v>552</v>
      </c>
      <c r="B568" s="346" t="n"/>
      <c r="C568" s="287" t="inlineStr">
        <is>
          <t>01.3.02.11-0023</t>
        </is>
      </c>
      <c r="D568" s="288" t="inlineStr">
        <is>
          <t>Фреон R410A (разовый баллон 11,30 кг)</t>
        </is>
      </c>
      <c r="E568" s="374" t="inlineStr">
        <is>
          <t>шт</t>
        </is>
      </c>
      <c r="F568" s="374" t="n">
        <v>1.789</v>
      </c>
      <c r="G568" s="290" t="n">
        <v>614.85</v>
      </c>
      <c r="H568" s="302">
        <f>ROUND(F568*G568,2)</f>
        <v/>
      </c>
      <c r="I568" s="314" t="n"/>
    </row>
    <row r="569" ht="38.25" customHeight="1" s="248">
      <c r="A569" s="300" t="n">
        <v>553</v>
      </c>
      <c r="B569" s="346" t="n"/>
      <c r="C569" s="287" t="inlineStr">
        <is>
          <t>05.2.02.01-0036</t>
        </is>
      </c>
      <c r="D569" s="288" t="inlineStr">
        <is>
          <t>Блоки бетонные для стен подвалов полнотелые ФБС9-4-6-Т, бетон B7,5 (М100, объем 0,195 м3, расход арматуры 0,76 кг (примю Блок ФБС8.6.6-Т )</t>
        </is>
      </c>
      <c r="E569" s="374" t="inlineStr">
        <is>
          <t>шт</t>
        </is>
      </c>
      <c r="F569" s="374" t="n">
        <v>9</v>
      </c>
      <c r="G569" s="290" t="n">
        <v>120.9</v>
      </c>
      <c r="H569" s="302">
        <f>ROUND(F569*G569,2)</f>
        <v/>
      </c>
      <c r="I569" s="314" t="n"/>
    </row>
    <row r="570" ht="25.5" customHeight="1" s="248">
      <c r="A570" s="300" t="n">
        <v>554</v>
      </c>
      <c r="B570" s="346" t="n"/>
      <c r="C570" s="287" t="inlineStr">
        <is>
          <t>Прайс из СД ОП</t>
        </is>
      </c>
      <c r="D570" s="288" t="inlineStr">
        <is>
          <t>Лампа светодиодная, 20 Bm, 220 В, 4500К LED20-HW/845/E27 4500K</t>
        </is>
      </c>
      <c r="E570" s="374" t="inlineStr">
        <is>
          <t>шт.</t>
        </is>
      </c>
      <c r="F570" s="374" t="n">
        <v>15</v>
      </c>
      <c r="G570" s="290" t="n">
        <v>70.90000000000001</v>
      </c>
      <c r="H570" s="302">
        <f>ROUND(F570*G570,2)</f>
        <v/>
      </c>
      <c r="I570" s="314" t="n"/>
    </row>
    <row r="571" ht="51" customHeight="1" s="248">
      <c r="A571" s="300" t="n">
        <v>555</v>
      </c>
      <c r="B571" s="346" t="n"/>
      <c r="C571" s="287" t="inlineStr">
        <is>
          <t>04.1.01.01-0008</t>
        </is>
      </c>
      <c r="D571" s="288" t="inlineStr">
        <is>
          <t>Смеси бетонные легкого бетона (БСЛ) на пористых заполнителях, средняя плотность D800 кг/м3, крупность заполнителя более 10 мм, класс B7,5 (М100)</t>
        </is>
      </c>
      <c r="E571" s="374" t="inlineStr">
        <is>
          <t>м3</t>
        </is>
      </c>
      <c r="F571" s="374" t="n">
        <v>1.818252</v>
      </c>
      <c r="G571" s="290" t="n">
        <v>580</v>
      </c>
      <c r="H571" s="302">
        <f>ROUND(F571*G571,2)</f>
        <v/>
      </c>
      <c r="I571" s="314" t="n"/>
    </row>
    <row r="572" ht="25.5" customHeight="1" s="248">
      <c r="A572" s="300" t="n">
        <v>556</v>
      </c>
      <c r="B572" s="346" t="n"/>
      <c r="C572" s="287" t="inlineStr">
        <is>
          <t>08.3.05.02-0102</t>
        </is>
      </c>
      <c r="D572" s="288" t="inlineStr">
        <is>
          <t>Прокат толстолистовой горячекатаный в листах, марка стали ВСт3пс5, толщина 8-20 мм</t>
        </is>
      </c>
      <c r="E572" s="374" t="inlineStr">
        <is>
          <t>т</t>
        </is>
      </c>
      <c r="F572" s="374" t="n">
        <v>0.18048</v>
      </c>
      <c r="G572" s="290" t="n">
        <v>5763</v>
      </c>
      <c r="H572" s="302">
        <f>ROUND(F572*G572,2)</f>
        <v/>
      </c>
      <c r="I572" s="314" t="n"/>
    </row>
    <row r="573" customFormat="1" s="299">
      <c r="A573" s="300" t="n">
        <v>557</v>
      </c>
      <c r="B573" s="346" t="n"/>
      <c r="C573" s="287" t="inlineStr">
        <is>
          <t>Прайс из СД ОП</t>
        </is>
      </c>
      <c r="D573" s="288" t="inlineStr">
        <is>
          <t>Трос</t>
        </is>
      </c>
      <c r="E573" s="374" t="inlineStr">
        <is>
          <t>м</t>
        </is>
      </c>
      <c r="F573" s="374" t="n">
        <v>150</v>
      </c>
      <c r="G573" s="290" t="n">
        <v>6.92</v>
      </c>
      <c r="H573" s="302">
        <f>ROUND(F573*G573,2)</f>
        <v/>
      </c>
      <c r="I573" s="314" t="n"/>
    </row>
    <row r="574" ht="25.5" customHeight="1" s="248">
      <c r="A574" s="300" t="n">
        <v>558</v>
      </c>
      <c r="B574" s="346" t="n"/>
      <c r="C574" s="287" t="inlineStr">
        <is>
          <t>12.2.07.04-0183</t>
        </is>
      </c>
      <c r="D574" s="288" t="inlineStr">
        <is>
          <t>Трубки из вспененного каучука, толщина 9 мм, диаметр 12 мм</t>
        </is>
      </c>
      <c r="E574" s="374" t="inlineStr">
        <is>
          <t>10 м</t>
        </is>
      </c>
      <c r="F574" s="374" t="n">
        <v>5</v>
      </c>
      <c r="G574" s="290" t="n">
        <v>207.4</v>
      </c>
      <c r="H574" s="302">
        <f>ROUND(F574*G574,2)</f>
        <v/>
      </c>
      <c r="I574" s="314" t="n"/>
    </row>
    <row r="575" ht="51" customHeight="1" s="248">
      <c r="A575" s="300" t="n">
        <v>559</v>
      </c>
      <c r="B575" s="346" t="n"/>
      <c r="C575" s="287" t="inlineStr">
        <is>
          <t>23.8.03.11-0123</t>
        </is>
      </c>
      <c r="D575" s="288" t="inlineStr">
        <is>
          <t>Фланцы стальные плоские приварные с соединительным выступом, марка стали ВСт3сп2, ВСт3сп3, номинальное давление 1 МПа, номинальный диаметр 15 мм</t>
        </is>
      </c>
      <c r="E575" s="374" t="inlineStr">
        <is>
          <t>компл</t>
        </is>
      </c>
      <c r="F575" s="374" t="n">
        <v>46</v>
      </c>
      <c r="G575" s="290" t="n">
        <v>22.23</v>
      </c>
      <c r="H575" s="302">
        <f>ROUND(F575*G575,2)</f>
        <v/>
      </c>
    </row>
    <row r="576" ht="25.5" customHeight="1" s="248">
      <c r="A576" s="300" t="n">
        <v>560</v>
      </c>
      <c r="B576" s="346" t="n"/>
      <c r="C576" s="287" t="inlineStr">
        <is>
          <t>Прайс из СД ОП</t>
        </is>
      </c>
      <c r="D576" s="288" t="inlineStr">
        <is>
          <t xml:space="preserve">Розетка двухклавишная наружной установки, 16 А, IP44 Этюд, арт. РА16-044В </t>
        </is>
      </c>
      <c r="E576" s="374" t="inlineStr">
        <is>
          <t>шт.</t>
        </is>
      </c>
      <c r="F576" s="374" t="n">
        <v>44</v>
      </c>
      <c r="G576" s="290" t="n">
        <v>22.96</v>
      </c>
      <c r="H576" s="302">
        <f>ROUND(F576*G576,2)</f>
        <v/>
      </c>
    </row>
    <row r="577" ht="25.5" customHeight="1" s="248">
      <c r="A577" s="300" t="n">
        <v>561</v>
      </c>
      <c r="B577" s="346" t="n"/>
      <c r="C577" s="287" t="inlineStr">
        <is>
          <t>Прайс из СД ОП</t>
        </is>
      </c>
      <c r="D577" s="288" t="inlineStr">
        <is>
          <t>Коробка распределительная на 6 вводов, 85х85х40 мм, IP55, Tyco 85х85х40</t>
        </is>
      </c>
      <c r="E577" s="374" t="inlineStr">
        <is>
          <t>шт.</t>
        </is>
      </c>
      <c r="F577" s="374" t="n">
        <v>217</v>
      </c>
      <c r="G577" s="290" t="n">
        <v>4.63</v>
      </c>
      <c r="H577" s="302">
        <f>ROUND(F577*G577,2)</f>
        <v/>
      </c>
      <c r="I577" s="314" t="n"/>
    </row>
    <row r="578" ht="38.25" customHeight="1" s="248">
      <c r="A578" s="300" t="n">
        <v>562</v>
      </c>
      <c r="B578" s="346" t="n"/>
      <c r="C578" s="287" t="inlineStr">
        <is>
          <t>07.2.06.03-0116</t>
        </is>
      </c>
      <c r="D578" s="288" t="inlineStr">
        <is>
          <t>Профиль направляющий, стальной, оцинкованный, для монтажа гипсовых перегородок и подвесных потолков, длина 3 м, сечение 75х40х0,6 мм</t>
        </is>
      </c>
      <c r="E578" s="374" t="inlineStr">
        <is>
          <t>м</t>
        </is>
      </c>
      <c r="F578" s="374" t="n">
        <v>143.99</v>
      </c>
      <c r="G578" s="290" t="n">
        <v>6.91</v>
      </c>
      <c r="H578" s="302">
        <f>ROUND(F578*G578,2)</f>
        <v/>
      </c>
      <c r="I578" s="314" t="n"/>
    </row>
    <row r="579">
      <c r="A579" s="300" t="n">
        <v>563</v>
      </c>
      <c r="B579" s="346" t="n"/>
      <c r="C579" s="287" t="inlineStr">
        <is>
          <t>08.4.02.01-0021</t>
        </is>
      </c>
      <c r="D579" s="288" t="inlineStr">
        <is>
          <t>Сетка арматурная сварная</t>
        </is>
      </c>
      <c r="E579" s="374" t="inlineStr">
        <is>
          <t>т</t>
        </is>
      </c>
      <c r="F579" s="374" t="n">
        <v>0.13805</v>
      </c>
      <c r="G579" s="290" t="n">
        <v>7200</v>
      </c>
      <c r="H579" s="302">
        <f>ROUND(F579*G579,2)</f>
        <v/>
      </c>
      <c r="I579" s="314" t="n"/>
    </row>
    <row r="580" ht="38.25" customHeight="1" s="248">
      <c r="A580" s="300" t="n">
        <v>564</v>
      </c>
      <c r="B580" s="346" t="n"/>
      <c r="C580" s="287" t="inlineStr">
        <is>
          <t>23.2.02.02-0012</t>
        </is>
      </c>
      <c r="D580" s="288" t="inlineStr">
        <is>
          <t>Трубы медные круглые тянутые и холоднокатаные (марки меди М2, М3), наружным диаметром: 9,52 мм, толщиной стенки 0,8 мм</t>
        </is>
      </c>
      <c r="E580" s="374" t="inlineStr">
        <is>
          <t>м</t>
        </is>
      </c>
      <c r="F580" s="374" t="n">
        <v>28</v>
      </c>
      <c r="G580" s="290" t="n">
        <v>35.18</v>
      </c>
      <c r="H580" s="302">
        <f>ROUND(F580*G580,2)</f>
        <v/>
      </c>
      <c r="I580" s="314" t="n"/>
    </row>
    <row r="581">
      <c r="A581" s="300" t="n">
        <v>565</v>
      </c>
      <c r="B581" s="346" t="n"/>
      <c r="C581" s="287" t="inlineStr">
        <is>
          <t>Прайс из СД ОП</t>
        </is>
      </c>
      <c r="D581" s="288" t="inlineStr">
        <is>
          <t>Решетка декоративная Р50-1400х720-С</t>
        </is>
      </c>
      <c r="E581" s="374" t="inlineStr">
        <is>
          <t>шт.</t>
        </is>
      </c>
      <c r="F581" s="374" t="n">
        <v>1</v>
      </c>
      <c r="G581" s="290" t="n">
        <v>974.6900000000001</v>
      </c>
      <c r="H581" s="302">
        <f>ROUND(F581*G581,2)</f>
        <v/>
      </c>
      <c r="I581" s="314" t="n"/>
    </row>
    <row r="582" ht="25.5" customHeight="1" s="248">
      <c r="A582" s="300" t="n">
        <v>566</v>
      </c>
      <c r="B582" s="346" t="n"/>
      <c r="C582" s="287" t="inlineStr">
        <is>
          <t>05.1.03.09-0032</t>
        </is>
      </c>
      <c r="D582" s="288" t="inlineStr">
        <is>
          <t>Перемычка брусковая 5ПБ21-27-п, бетон B15, объем 0,114 м3, расход арматуры 6,06 кг</t>
        </is>
      </c>
      <c r="E582" s="374" t="inlineStr">
        <is>
          <t>шт</t>
        </is>
      </c>
      <c r="F582" s="374" t="n">
        <v>6</v>
      </c>
      <c r="G582" s="290" t="n">
        <v>161.97</v>
      </c>
      <c r="H582" s="302">
        <f>ROUND(F582*G582,2)</f>
        <v/>
      </c>
      <c r="I582" s="314" t="n"/>
    </row>
    <row r="583" ht="25.5" customHeight="1" s="248">
      <c r="A583" s="300" t="n">
        <v>567</v>
      </c>
      <c r="B583" s="346" t="n"/>
      <c r="C583" s="287" t="inlineStr">
        <is>
          <t>01.7.15.06-0121</t>
        </is>
      </c>
      <c r="D583" s="288" t="inlineStr">
        <is>
          <t>Гвозди строительные с плоской головкой, размер 1,6х50 мм</t>
        </is>
      </c>
      <c r="E583" s="374" t="inlineStr">
        <is>
          <t>т</t>
        </is>
      </c>
      <c r="F583" s="374" t="n">
        <v>0.1141</v>
      </c>
      <c r="G583" s="290" t="n">
        <v>8475</v>
      </c>
      <c r="H583" s="302">
        <f>ROUND(F583*G583,2)</f>
        <v/>
      </c>
      <c r="I583" s="314" t="n"/>
    </row>
    <row r="584" customFormat="1" s="299">
      <c r="A584" s="300" t="n">
        <v>568</v>
      </c>
      <c r="B584" s="346" t="n"/>
      <c r="C584" s="287" t="inlineStr">
        <is>
          <t>Прайс из СД ОП</t>
        </is>
      </c>
      <c r="D584" s="288" t="inlineStr">
        <is>
          <t xml:space="preserve">Зажим крепёжный СР/Т.2-50 </t>
        </is>
      </c>
      <c r="E584" s="374" t="inlineStr">
        <is>
          <t>шт.</t>
        </is>
      </c>
      <c r="F584" s="374" t="n">
        <v>250</v>
      </c>
      <c r="G584" s="290" t="n">
        <v>3.85</v>
      </c>
      <c r="H584" s="302">
        <f>ROUND(F584*G584,2)</f>
        <v/>
      </c>
      <c r="I584" s="314" t="n"/>
    </row>
    <row r="585">
      <c r="A585" s="300" t="n">
        <v>569</v>
      </c>
      <c r="B585" s="346" t="n"/>
      <c r="C585" s="287" t="inlineStr">
        <is>
          <t>14.5.09.02-0002</t>
        </is>
      </c>
      <c r="D585" s="288" t="inlineStr">
        <is>
          <t>Ксилол нефтяной, марка А</t>
        </is>
      </c>
      <c r="E585" s="374" t="inlineStr">
        <is>
          <t>т</t>
        </is>
      </c>
      <c r="F585" s="374" t="n">
        <v>0.1231</v>
      </c>
      <c r="G585" s="290" t="n">
        <v>7640</v>
      </c>
      <c r="H585" s="302">
        <f>ROUND(F585*G585,2)</f>
        <v/>
      </c>
      <c r="I585" s="314" t="n"/>
    </row>
    <row r="586">
      <c r="A586" s="300" t="n">
        <v>570</v>
      </c>
      <c r="B586" s="346" t="n"/>
      <c r="C586" s="287" t="inlineStr">
        <is>
          <t>Прайс из СД ОП</t>
        </is>
      </c>
      <c r="D586" s="288" t="inlineStr">
        <is>
          <t xml:space="preserve">Зажим крепёжный СР.1-25 </t>
        </is>
      </c>
      <c r="E586" s="374" t="inlineStr">
        <is>
          <t>шт.</t>
        </is>
      </c>
      <c r="F586" s="374" t="n">
        <v>300</v>
      </c>
      <c r="G586" s="290" t="n">
        <v>3.08</v>
      </c>
      <c r="H586" s="302">
        <f>ROUND(F586*G586,2)</f>
        <v/>
      </c>
      <c r="I586" s="314" t="n"/>
      <c r="K586" s="307" t="n"/>
    </row>
    <row r="587">
      <c r="A587" s="300" t="n">
        <v>571</v>
      </c>
      <c r="B587" s="346" t="n"/>
      <c r="C587" s="287" t="inlineStr">
        <is>
          <t>Прайс из СД ОП</t>
        </is>
      </c>
      <c r="D587" s="288" t="inlineStr">
        <is>
          <t>Соединитель мягкий СОМ 100-ВРАН-80А-Ц</t>
        </is>
      </c>
      <c r="E587" s="374" t="inlineStr">
        <is>
          <t>шт.</t>
        </is>
      </c>
      <c r="F587" s="374" t="n">
        <v>4</v>
      </c>
      <c r="G587" s="290" t="n">
        <v>230.57</v>
      </c>
      <c r="H587" s="302">
        <f>ROUND(F587*G587,2)</f>
        <v/>
      </c>
      <c r="I587" s="314" t="n"/>
      <c r="K587" s="307" t="n"/>
    </row>
    <row r="588">
      <c r="A588" s="300" t="n">
        <v>572</v>
      </c>
      <c r="B588" s="346" t="n"/>
      <c r="C588" s="287" t="inlineStr">
        <is>
          <t>01.2.03.03-0044</t>
        </is>
      </c>
      <c r="D588" s="288" t="inlineStr">
        <is>
          <t>Мастика битумно-латексная кровельная</t>
        </is>
      </c>
      <c r="E588" s="374" t="inlineStr">
        <is>
          <t>т</t>
        </is>
      </c>
      <c r="F588" s="374" t="n">
        <v>0.2992</v>
      </c>
      <c r="G588" s="290" t="n">
        <v>3039.7</v>
      </c>
      <c r="H588" s="302">
        <f>ROUND(F588*G588,2)</f>
        <v/>
      </c>
      <c r="I588" s="314" t="n"/>
      <c r="K588" s="307" t="n"/>
    </row>
    <row r="589">
      <c r="A589" s="300" t="n">
        <v>573</v>
      </c>
      <c r="B589" s="346" t="n"/>
      <c r="C589" s="287" t="inlineStr">
        <is>
          <t>01.7.03.01-0001</t>
        </is>
      </c>
      <c r="D589" s="288" t="inlineStr">
        <is>
          <t>Вода</t>
        </is>
      </c>
      <c r="E589" s="374" t="inlineStr">
        <is>
          <t>м3</t>
        </is>
      </c>
      <c r="F589" s="374" t="n">
        <v>371.9025</v>
      </c>
      <c r="G589" s="290" t="n">
        <v>2.44</v>
      </c>
      <c r="H589" s="302">
        <f>ROUND(F589*G589,2)</f>
        <v/>
      </c>
    </row>
    <row r="590">
      <c r="A590" s="300" t="n">
        <v>574</v>
      </c>
      <c r="B590" s="346" t="n"/>
      <c r="C590" s="287" t="inlineStr">
        <is>
          <t>08.3.03.04-0012</t>
        </is>
      </c>
      <c r="D590" s="288" t="inlineStr">
        <is>
          <t>Проволока светлая, диаметр 1,1 мм</t>
        </is>
      </c>
      <c r="E590" s="374" t="inlineStr">
        <is>
          <t>т</t>
        </is>
      </c>
      <c r="F590" s="374" t="n">
        <v>0.08790000000000001</v>
      </c>
      <c r="G590" s="290" t="n">
        <v>10200</v>
      </c>
      <c r="H590" s="302">
        <f>ROUND(F590*G590,2)</f>
        <v/>
      </c>
    </row>
    <row r="591">
      <c r="A591" s="300" t="n">
        <v>575</v>
      </c>
      <c r="B591" s="346" t="n"/>
      <c r="C591" s="287" t="inlineStr">
        <is>
          <t>Прайс из СД ОП</t>
        </is>
      </c>
      <c r="D591" s="288" t="inlineStr">
        <is>
          <t xml:space="preserve">Рейка прижимная алюминиевая Технониколь </t>
        </is>
      </c>
      <c r="E591" s="374" t="inlineStr">
        <is>
          <t>м</t>
        </is>
      </c>
      <c r="F591" s="374" t="n">
        <v>110</v>
      </c>
      <c r="G591" s="290" t="n">
        <v>8.130000000000001</v>
      </c>
      <c r="H591" s="302">
        <f>ROUND(F591*G591,2)</f>
        <v/>
      </c>
    </row>
    <row r="592" ht="25.5" customHeight="1" s="248">
      <c r="A592" s="300" t="n">
        <v>576</v>
      </c>
      <c r="B592" s="346" t="n"/>
      <c r="C592" s="287" t="inlineStr">
        <is>
          <t>08.3.08.02-0070</t>
        </is>
      </c>
      <c r="D592" s="288" t="inlineStr">
        <is>
          <t>Сталь угловая равнополочная, марка стали: Ст3пс, шириной полок 50-50 мм</t>
        </is>
      </c>
      <c r="E592" s="374" t="inlineStr">
        <is>
          <t>т</t>
        </is>
      </c>
      <c r="F592" s="374" t="n">
        <v>0.18306</v>
      </c>
      <c r="G592" s="290" t="n">
        <v>4840.65</v>
      </c>
      <c r="H592" s="302">
        <f>ROUND(F592*G592,2)</f>
        <v/>
      </c>
    </row>
    <row r="593">
      <c r="A593" s="300" t="n">
        <v>577</v>
      </c>
      <c r="B593" s="346" t="n"/>
      <c r="C593" s="287" t="inlineStr">
        <is>
          <t>Прайс из СД ОП</t>
        </is>
      </c>
      <c r="D593" s="288" t="inlineStr">
        <is>
          <t xml:space="preserve">Решетка декоративная Р50-900х920-С </t>
        </is>
      </c>
      <c r="E593" s="374" t="inlineStr">
        <is>
          <t>шт.</t>
        </is>
      </c>
      <c r="F593" s="374" t="n">
        <v>1</v>
      </c>
      <c r="G593" s="290" t="n">
        <v>867.8200000000001</v>
      </c>
      <c r="H593" s="302">
        <f>ROUND(F593*G593,2)</f>
        <v/>
      </c>
    </row>
    <row r="594" ht="25.5" customHeight="1" s="248">
      <c r="A594" s="300" t="n">
        <v>578</v>
      </c>
      <c r="B594" s="346" t="n"/>
      <c r="C594" s="287" t="inlineStr">
        <is>
          <t>12.2.07.04-0181</t>
        </is>
      </c>
      <c r="D594" s="288" t="inlineStr">
        <is>
          <t>Трубки из вспененного каучука, толщина 9 мм, диаметр 8 мм</t>
        </is>
      </c>
      <c r="E594" s="374" t="inlineStr">
        <is>
          <t>10 м</t>
        </is>
      </c>
      <c r="F594" s="374" t="n">
        <v>5</v>
      </c>
      <c r="G594" s="290" t="n">
        <v>171.11</v>
      </c>
      <c r="H594" s="302">
        <f>ROUND(F594*G594,2)</f>
        <v/>
      </c>
    </row>
    <row r="595" ht="38.25" customHeight="1" s="248">
      <c r="A595" s="300" t="n">
        <v>579</v>
      </c>
      <c r="B595" s="346" t="n"/>
      <c r="C595" s="287" t="inlineStr">
        <is>
          <t>Прайс из СД ОП</t>
        </is>
      </c>
      <c r="D595" s="288" t="inlineStr">
        <is>
          <t>Выключатель-разъединитель (рубильник)трехполюсный, Iн=100А, ВР32-31-А30220-100</t>
        </is>
      </c>
      <c r="E595" s="374" t="inlineStr">
        <is>
          <t>шт.</t>
        </is>
      </c>
      <c r="F595" s="374" t="n">
        <v>8</v>
      </c>
      <c r="G595" s="290" t="n">
        <v>106.52</v>
      </c>
      <c r="H595" s="302">
        <f>ROUND(F595*G595,2)</f>
        <v/>
      </c>
    </row>
    <row r="596" ht="38.25" customHeight="1" s="248">
      <c r="A596" s="300" t="n">
        <v>580</v>
      </c>
      <c r="B596" s="346" t="n"/>
      <c r="C596" s="287" t="inlineStr">
        <is>
          <t>24.3.03.15-0101</t>
        </is>
      </c>
      <c r="D596" s="288" t="inlineStr">
        <is>
          <t>Трубопроводы для внутренней канализации из полиэтиленовых труб, номинальный наружный диаметр 100 мм</t>
        </is>
      </c>
      <c r="E596" s="374" t="inlineStr">
        <is>
          <t>м</t>
        </is>
      </c>
      <c r="F596" s="374" t="n">
        <v>15.97</v>
      </c>
      <c r="G596" s="290" t="n">
        <v>53.2</v>
      </c>
      <c r="H596" s="302">
        <f>ROUND(F596*G596,2)</f>
        <v/>
      </c>
    </row>
    <row r="597" ht="25.5" customHeight="1" s="248">
      <c r="A597" s="300" t="n">
        <v>581</v>
      </c>
      <c r="B597" s="346" t="n"/>
      <c r="C597" s="287" t="inlineStr">
        <is>
          <t>Прайс из СД ОП</t>
        </is>
      </c>
      <c r="D597" s="288" t="inlineStr">
        <is>
          <t>Автоматический выключатель трехполюсный, OptiDin BM63-3С16</t>
        </is>
      </c>
      <c r="E597" s="374" t="inlineStr">
        <is>
          <t>шт.</t>
        </is>
      </c>
      <c r="F597" s="374" t="n">
        <v>15</v>
      </c>
      <c r="G597" s="290" t="n">
        <v>56.56</v>
      </c>
      <c r="H597" s="302">
        <f>ROUND(F597*G597,2)</f>
        <v/>
      </c>
    </row>
    <row r="598" ht="25.5" customHeight="1" s="248">
      <c r="A598" s="300" t="n">
        <v>582</v>
      </c>
      <c r="B598" s="346" t="n"/>
      <c r="C598" s="287" t="inlineStr">
        <is>
          <t>Прайс из СД ОП</t>
        </is>
      </c>
      <c r="D598" s="288" t="inlineStr">
        <is>
          <t xml:space="preserve">Розетка двухклавишная скрытой установки, 16 А, IP20 Legrand Valena, арт. 774420 </t>
        </is>
      </c>
      <c r="E598" s="374" t="inlineStr">
        <is>
          <t>шт.</t>
        </is>
      </c>
      <c r="F598" s="374" t="n">
        <v>37</v>
      </c>
      <c r="G598" s="290" t="n">
        <v>22.84</v>
      </c>
      <c r="H598" s="302">
        <f>ROUND(F598*G598,2)</f>
        <v/>
      </c>
    </row>
    <row r="599">
      <c r="A599" s="300" t="n">
        <v>583</v>
      </c>
      <c r="B599" s="346" t="n"/>
      <c r="C599" s="287" t="inlineStr">
        <is>
          <t>01.7.20.08-0051</t>
        </is>
      </c>
      <c r="D599" s="288" t="inlineStr">
        <is>
          <t>Ветошь</t>
        </is>
      </c>
      <c r="E599" s="374" t="inlineStr">
        <is>
          <t>кг</t>
        </is>
      </c>
      <c r="F599" s="374" t="n">
        <v>462.1077</v>
      </c>
      <c r="G599" s="290" t="n">
        <v>1.82</v>
      </c>
      <c r="H599" s="302">
        <f>ROUND(F599*G599,2)</f>
        <v/>
      </c>
      <c r="I599" s="314" t="n"/>
    </row>
    <row r="600" ht="25.5" customHeight="1" s="248">
      <c r="A600" s="300" t="n">
        <v>584</v>
      </c>
      <c r="B600" s="346" t="n"/>
      <c r="C600" s="287" t="inlineStr">
        <is>
          <t>18.5.14.01-0004</t>
        </is>
      </c>
      <c r="D600" s="288" t="inlineStr">
        <is>
          <t>Фильтры для очистки воды в трубопроводах систем отопления, диаметр 50 мм</t>
        </is>
      </c>
      <c r="E600" s="374" t="inlineStr">
        <is>
          <t>шт</t>
        </is>
      </c>
      <c r="F600" s="374" t="n">
        <v>1</v>
      </c>
      <c r="G600" s="290" t="n">
        <v>823.6</v>
      </c>
      <c r="H600" s="302">
        <f>ROUND(F600*G600,2)</f>
        <v/>
      </c>
      <c r="I600" s="314" t="n"/>
    </row>
    <row r="601" ht="25.5" customHeight="1" s="248">
      <c r="A601" s="300" t="n">
        <v>585</v>
      </c>
      <c r="B601" s="346" t="n"/>
      <c r="C601" s="287" t="inlineStr">
        <is>
          <t>24.2.06.04-0001</t>
        </is>
      </c>
      <c r="D601" s="288" t="inlineStr">
        <is>
          <t>Муфты хризотилцементные БНМ для безнапорных труб, номинальный диаметр 100 мм</t>
        </is>
      </c>
      <c r="E601" s="374" t="inlineStr">
        <is>
          <t>шт</t>
        </is>
      </c>
      <c r="F601" s="374" t="n">
        <v>108</v>
      </c>
      <c r="G601" s="290" t="n">
        <v>7.55</v>
      </c>
      <c r="H601" s="302">
        <f>ROUND(F601*G601,2)</f>
        <v/>
      </c>
      <c r="I601" s="314" t="n"/>
    </row>
    <row r="602">
      <c r="A602" s="300" t="n">
        <v>586</v>
      </c>
      <c r="B602" s="346" t="n"/>
      <c r="C602" s="287" t="inlineStr">
        <is>
          <t>01.7.15.04-0042</t>
        </is>
      </c>
      <c r="D602" s="288" t="inlineStr">
        <is>
          <t>Винты самонарезающие: MN 22</t>
        </is>
      </c>
      <c r="E602" s="374" t="inlineStr">
        <is>
          <t>100 шт</t>
        </is>
      </c>
      <c r="F602" s="374" t="n">
        <v>22.4</v>
      </c>
      <c r="G602" s="290" t="n">
        <v>36</v>
      </c>
      <c r="H602" s="302">
        <f>ROUND(F602*G602,2)</f>
        <v/>
      </c>
      <c r="I602" s="314" t="n"/>
    </row>
    <row r="603">
      <c r="A603" s="300" t="n">
        <v>587</v>
      </c>
      <c r="B603" s="346" t="n"/>
      <c r="C603" s="287" t="inlineStr">
        <is>
          <t>Прайс из СД ОП</t>
        </is>
      </c>
      <c r="D603" s="288" t="inlineStr">
        <is>
          <t xml:space="preserve">Решетка РОН-1250х700-30-С </t>
        </is>
      </c>
      <c r="E603" s="374" t="inlineStr">
        <is>
          <t>шт.</t>
        </is>
      </c>
      <c r="F603" s="374" t="n">
        <v>2</v>
      </c>
      <c r="G603" s="290" t="n">
        <v>396.98</v>
      </c>
      <c r="H603" s="302">
        <f>ROUND(F603*G603,2)</f>
        <v/>
      </c>
      <c r="I603" s="314" t="n"/>
    </row>
    <row r="604" ht="25.5" customHeight="1" s="248">
      <c r="A604" s="300" t="n">
        <v>588</v>
      </c>
      <c r="B604" s="346" t="n"/>
      <c r="C604" s="287" t="inlineStr">
        <is>
          <t>01.7.19.04-0024</t>
        </is>
      </c>
      <c r="D604" s="288" t="inlineStr">
        <is>
          <t>Пластины резиновые технические типа ТМКЩ, толщина от 2 до 40 мм</t>
        </is>
      </c>
      <c r="E604" s="374" t="inlineStr">
        <is>
          <t>кг</t>
        </is>
      </c>
      <c r="F604" s="374" t="n">
        <v>52.4</v>
      </c>
      <c r="G604" s="290" t="n">
        <v>15.03</v>
      </c>
      <c r="H604" s="302">
        <f>ROUND(F604*G604,2)</f>
        <v/>
      </c>
      <c r="I604" s="314" t="n"/>
    </row>
    <row r="605" ht="38.25" customHeight="1" s="248">
      <c r="A605" s="300" t="n">
        <v>589</v>
      </c>
      <c r="B605" s="346" t="n"/>
      <c r="C605" s="287" t="inlineStr">
        <is>
          <t>23.2.02.02-0013</t>
        </is>
      </c>
      <c r="D605" s="288" t="inlineStr">
        <is>
          <t>Трубы медные круглые тянутые и холоднокатаные (марки меди М2, М3), наружным диаметром: 12,7 мм, толщиной стенки 0,8 мм</t>
        </is>
      </c>
      <c r="E605" s="374" t="inlineStr">
        <is>
          <t>м</t>
        </is>
      </c>
      <c r="F605" s="374" t="n">
        <v>16</v>
      </c>
      <c r="G605" s="290" t="n">
        <v>48.22</v>
      </c>
      <c r="H605" s="302">
        <f>ROUND(F605*G605,2)</f>
        <v/>
      </c>
      <c r="I605" s="314" t="n"/>
    </row>
    <row r="606" ht="25.5" customHeight="1" s="248">
      <c r="A606" s="300" t="n">
        <v>590</v>
      </c>
      <c r="B606" s="346" t="n"/>
      <c r="C606" s="287" t="inlineStr">
        <is>
          <t>12.1.01.05-0051</t>
        </is>
      </c>
      <c r="D606" s="288" t="inlineStr">
        <is>
          <t>Колено трубы 60° металлическое для водосточных систем, покрытие полиэстер, диаметр 150 мм</t>
        </is>
      </c>
      <c r="E606" s="374" t="inlineStr">
        <is>
          <t>шт</t>
        </is>
      </c>
      <c r="F606" s="374" t="n">
        <v>9</v>
      </c>
      <c r="G606" s="290" t="n">
        <v>83.12</v>
      </c>
      <c r="H606" s="302">
        <f>ROUND(F606*G606,2)</f>
        <v/>
      </c>
      <c r="I606" s="314" t="n"/>
    </row>
    <row r="607">
      <c r="A607" s="300" t="n">
        <v>591</v>
      </c>
      <c r="B607" s="346" t="n"/>
      <c r="C607" s="287" t="inlineStr">
        <is>
          <t>11.1.03.01-0001</t>
        </is>
      </c>
      <c r="D607" s="288" t="inlineStr">
        <is>
          <t>Бруски деревянные, размер 50х50 мм</t>
        </is>
      </c>
      <c r="E607" s="374" t="inlineStr">
        <is>
          <t>м3</t>
        </is>
      </c>
      <c r="F607" s="374" t="n">
        <v>0.4404</v>
      </c>
      <c r="G607" s="290" t="n">
        <v>1668</v>
      </c>
      <c r="H607" s="302">
        <f>ROUND(F607*G607,2)</f>
        <v/>
      </c>
      <c r="I607" s="314" t="n"/>
    </row>
    <row r="608">
      <c r="A608" s="300" t="n">
        <v>592</v>
      </c>
      <c r="B608" s="346" t="n"/>
      <c r="C608" s="287" t="inlineStr">
        <is>
          <t>Прайс из СД ОП</t>
        </is>
      </c>
      <c r="D608" s="288" t="inlineStr">
        <is>
          <t>Подвес тросовый КЛ-ПТ УЗ, ТУ 36-13-80</t>
        </is>
      </c>
      <c r="E608" s="374" t="inlineStr">
        <is>
          <t>шт.</t>
        </is>
      </c>
      <c r="F608" s="374" t="n">
        <v>81</v>
      </c>
      <c r="G608" s="290" t="n">
        <v>8.98</v>
      </c>
      <c r="H608" s="302">
        <f>ROUND(F608*G608,2)</f>
        <v/>
      </c>
      <c r="I608" s="314" t="n"/>
    </row>
    <row r="609">
      <c r="A609" s="300" t="n">
        <v>593</v>
      </c>
      <c r="B609" s="346" t="n"/>
      <c r="C609" s="287" t="inlineStr">
        <is>
          <t>03.1.01.01-0002</t>
        </is>
      </c>
      <c r="D609" s="288" t="inlineStr">
        <is>
          <t>Гипс строительный Г-3</t>
        </is>
      </c>
      <c r="E609" s="374" t="inlineStr">
        <is>
          <t>т</t>
        </is>
      </c>
      <c r="F609" s="374" t="n">
        <v>0.9956</v>
      </c>
      <c r="G609" s="290" t="n">
        <v>729.98</v>
      </c>
      <c r="H609" s="302">
        <f>ROUND(F609*G609,2)</f>
        <v/>
      </c>
      <c r="I609" s="314" t="n"/>
    </row>
    <row r="610" ht="63.75" customHeight="1" s="248">
      <c r="A610" s="300" t="n">
        <v>594</v>
      </c>
      <c r="B610" s="346" t="n"/>
      <c r="C610" s="287" t="inlineStr">
        <is>
          <t>14.5.01.10-0029</t>
        </is>
      </c>
      <c r="D610" s="288" t="inlineStr">
        <is>
          <t>Пена монтажная полиуретановая противопожарная однокомпонентная модифицированная для заполнения, уплотнения, утепления, изоляции и соединения швов и стыков в местах с повышенными требованиями пожарной безопасности (0,88 л)</t>
        </is>
      </c>
      <c r="E610" s="374" t="inlineStr">
        <is>
          <t>шт</t>
        </is>
      </c>
      <c r="F610" s="374" t="n">
        <v>6.559</v>
      </c>
      <c r="G610" s="290" t="n">
        <v>110.11</v>
      </c>
      <c r="H610" s="302">
        <f>ROUND(F610*G610,2)</f>
        <v/>
      </c>
      <c r="I610" s="314" t="n"/>
    </row>
    <row r="611">
      <c r="A611" s="300" t="n">
        <v>595</v>
      </c>
      <c r="B611" s="346" t="n"/>
      <c r="C611" s="287" t="inlineStr">
        <is>
          <t>20.1.02.19-0012</t>
        </is>
      </c>
      <c r="D611" s="288" t="inlineStr">
        <is>
          <t>Трос</t>
        </is>
      </c>
      <c r="E611" s="374" t="inlineStr">
        <is>
          <t>м</t>
        </is>
      </c>
      <c r="F611" s="374" t="n">
        <v>60</v>
      </c>
      <c r="G611" s="290" t="n">
        <v>12.03</v>
      </c>
      <c r="H611" s="302">
        <f>ROUND(F611*G611,2)</f>
        <v/>
      </c>
      <c r="I611" s="314" t="n"/>
    </row>
    <row r="612">
      <c r="A612" s="300" t="n">
        <v>596</v>
      </c>
      <c r="B612" s="346" t="n"/>
      <c r="C612" s="287" t="inlineStr">
        <is>
          <t>01.7.15.07-0152</t>
        </is>
      </c>
      <c r="D612" s="288" t="inlineStr">
        <is>
          <t>Дюбели с шурупом, размер 6х35 мм</t>
        </is>
      </c>
      <c r="E612" s="374" t="inlineStr">
        <is>
          <t>100 шт</t>
        </is>
      </c>
      <c r="F612" s="374" t="n">
        <v>89.2542</v>
      </c>
      <c r="G612" s="290" t="n">
        <v>8</v>
      </c>
      <c r="H612" s="302">
        <f>ROUND(F612*G612,2)</f>
        <v/>
      </c>
      <c r="I612" s="314" t="n"/>
    </row>
    <row r="613">
      <c r="A613" s="300" t="n">
        <v>597</v>
      </c>
      <c r="B613" s="346" t="n"/>
      <c r="C613" s="287" t="inlineStr">
        <is>
          <t>20.1.02.14-0001</t>
        </is>
      </c>
      <c r="D613" s="288" t="inlineStr">
        <is>
          <t>Серьга</t>
        </is>
      </c>
      <c r="E613" s="374" t="inlineStr">
        <is>
          <t>шт</t>
        </is>
      </c>
      <c r="F613" s="374" t="n">
        <v>67.48</v>
      </c>
      <c r="G613" s="290" t="n">
        <v>10.54</v>
      </c>
      <c r="H613" s="302">
        <f>ROUND(F613*G613,2)</f>
        <v/>
      </c>
      <c r="I613" s="314" t="n"/>
    </row>
    <row r="614">
      <c r="A614" s="300" t="n">
        <v>598</v>
      </c>
      <c r="B614" s="346" t="n"/>
      <c r="C614" s="287" t="inlineStr">
        <is>
          <t>Прайс из СД ОП</t>
        </is>
      </c>
      <c r="D614" s="288" t="inlineStr">
        <is>
          <t>Комплект виброизоляторов КИВ-4</t>
        </is>
      </c>
      <c r="E614" s="374" t="inlineStr">
        <is>
          <t>шт.</t>
        </is>
      </c>
      <c r="F614" s="374" t="n">
        <v>5</v>
      </c>
      <c r="G614" s="290" t="n">
        <v>141.8</v>
      </c>
      <c r="H614" s="302">
        <f>ROUND(F614*G614,2)</f>
        <v/>
      </c>
      <c r="I614" s="314" t="n"/>
    </row>
    <row r="615" ht="38.25" customHeight="1" s="248">
      <c r="A615" s="300" t="n">
        <v>599</v>
      </c>
      <c r="B615" s="346" t="n"/>
      <c r="C615" s="287" t="inlineStr">
        <is>
          <t>24.3.03.02-0001</t>
        </is>
      </c>
      <c r="D615" s="288" t="inlineStr">
        <is>
          <t>Блок трубопровода полиэтиленовый для систем водоотведения из труб высокой плотности, диаметр 50 мм, с гильзами</t>
        </is>
      </c>
      <c r="E615" s="374" t="inlineStr">
        <is>
          <t>м</t>
        </is>
      </c>
      <c r="F615" s="374" t="n">
        <v>17.96</v>
      </c>
      <c r="G615" s="290" t="n">
        <v>39.36</v>
      </c>
      <c r="H615" s="302">
        <f>ROUND(F615*G615,2)</f>
        <v/>
      </c>
      <c r="I615" s="314" t="n"/>
    </row>
    <row r="616" customFormat="1" s="299">
      <c r="A616" s="300" t="n">
        <v>600</v>
      </c>
      <c r="B616" s="346" t="n"/>
      <c r="C616" s="287" t="inlineStr">
        <is>
          <t>20.1.02.23-0082</t>
        </is>
      </c>
      <c r="D616" s="288" t="inlineStr">
        <is>
          <t>Перемычки гибкие, тип ПГС-50</t>
        </is>
      </c>
      <c r="E616" s="374" t="inlineStr">
        <is>
          <t>10 шт</t>
        </is>
      </c>
      <c r="F616" s="374" t="n">
        <v>17.9376</v>
      </c>
      <c r="G616" s="290" t="n">
        <v>39</v>
      </c>
      <c r="H616" s="302">
        <f>ROUND(F616*G616,2)</f>
        <v/>
      </c>
      <c r="I616" s="314" t="n"/>
    </row>
    <row r="617" ht="25.5" customHeight="1" s="248">
      <c r="A617" s="300" t="n">
        <v>601</v>
      </c>
      <c r="B617" s="346" t="n"/>
      <c r="C617" s="287" t="inlineStr">
        <is>
          <t>11.1.03.01-0077</t>
        </is>
      </c>
      <c r="D617" s="288" t="inlineStr">
        <is>
          <t>Бруски обрезные, хвойных пород, длина 4-6,5 м, ширина 75-150 мм, толщина 40-75 мм, сорт I</t>
        </is>
      </c>
      <c r="E617" s="374" t="inlineStr">
        <is>
          <t>м3</t>
        </is>
      </c>
      <c r="F617" s="374" t="n">
        <v>0.4029</v>
      </c>
      <c r="G617" s="290" t="n">
        <v>1700</v>
      </c>
      <c r="H617" s="302">
        <f>ROUND(F617*G617,2)</f>
        <v/>
      </c>
      <c r="I617" s="314" t="n"/>
    </row>
    <row r="618">
      <c r="A618" s="300" t="n">
        <v>602</v>
      </c>
      <c r="B618" s="346" t="n"/>
      <c r="C618" s="287" t="inlineStr">
        <is>
          <t>18.2.02.07-0001</t>
        </is>
      </c>
      <c r="D618" s="288" t="inlineStr">
        <is>
          <t>Поддоны душевые</t>
        </is>
      </c>
      <c r="E618" s="374" t="inlineStr">
        <is>
          <t>компл</t>
        </is>
      </c>
      <c r="F618" s="374" t="n">
        <v>2</v>
      </c>
      <c r="G618" s="290" t="n">
        <v>341.5</v>
      </c>
      <c r="H618" s="302">
        <f>ROUND(F618*G618,2)</f>
        <v/>
      </c>
    </row>
    <row r="619" ht="25.5" customHeight="1" s="248">
      <c r="A619" s="300" t="n">
        <v>603</v>
      </c>
      <c r="B619" s="346" t="n"/>
      <c r="C619" s="287" t="inlineStr">
        <is>
          <t>14.5.04.03-0005</t>
        </is>
      </c>
      <c r="D619" s="288" t="inlineStr">
        <is>
          <t>Мастика герметизирующая нетвердеющая строительная</t>
        </is>
      </c>
      <c r="E619" s="374" t="inlineStr">
        <is>
          <t>т</t>
        </is>
      </c>
      <c r="F619" s="374" t="n">
        <v>0.054</v>
      </c>
      <c r="G619" s="290" t="n">
        <v>12585</v>
      </c>
      <c r="H619" s="302">
        <f>ROUND(F619*G619,2)</f>
        <v/>
      </c>
    </row>
    <row r="620">
      <c r="A620" s="300" t="n">
        <v>604</v>
      </c>
      <c r="B620" s="346" t="n"/>
      <c r="C620" s="287" t="inlineStr">
        <is>
          <t>01.3.01.03-0002</t>
        </is>
      </c>
      <c r="D620" s="288" t="inlineStr">
        <is>
          <t>Керосин для технических целей</t>
        </is>
      </c>
      <c r="E620" s="374" t="inlineStr">
        <is>
          <t>т</t>
        </is>
      </c>
      <c r="F620" s="374" t="n">
        <v>0.2579</v>
      </c>
      <c r="G620" s="290" t="n">
        <v>2606.9</v>
      </c>
      <c r="H620" s="302">
        <f>ROUND(F620*G620,2)</f>
        <v/>
      </c>
      <c r="I620" s="314" t="n"/>
    </row>
    <row r="621" ht="51" customHeight="1" s="248">
      <c r="A621" s="300" t="n">
        <v>605</v>
      </c>
      <c r="B621" s="346" t="n"/>
      <c r="C621" s="287" t="inlineStr">
        <is>
          <t>23.8.03.11-0125</t>
        </is>
      </c>
      <c r="D621" s="288" t="inlineStr">
        <is>
          <t>Фланцы стальные плоские приварные с соединительным выступом, марка стали ВСт3сп2, ВСт3сп3, номинальное давление 1 МПа, номинальный диаметр 25 мм</t>
        </is>
      </c>
      <c r="E621" s="374" t="inlineStr">
        <is>
          <t>шт</t>
        </is>
      </c>
      <c r="F621" s="374" t="n">
        <v>24</v>
      </c>
      <c r="G621" s="290" t="n">
        <v>27.26</v>
      </c>
      <c r="H621" s="302">
        <f>ROUND(F621*G621,2)</f>
        <v/>
      </c>
      <c r="I621" s="314" t="n"/>
    </row>
    <row r="622">
      <c r="A622" s="300" t="n">
        <v>606</v>
      </c>
      <c r="B622" s="346" t="n"/>
      <c r="C622" s="287" t="inlineStr">
        <is>
          <t>02.2.02.02-0001</t>
        </is>
      </c>
      <c r="D622" s="288" t="inlineStr">
        <is>
          <t>Каменная мелочь М 300</t>
        </is>
      </c>
      <c r="E622" s="374" t="inlineStr">
        <is>
          <t>м3</t>
        </is>
      </c>
      <c r="F622" s="374" t="n">
        <v>1.258</v>
      </c>
      <c r="G622" s="290" t="n">
        <v>518.5700000000001</v>
      </c>
      <c r="H622" s="302">
        <f>ROUND(F622*G622,2)</f>
        <v/>
      </c>
      <c r="I622" s="314" t="n"/>
    </row>
    <row r="623">
      <c r="A623" s="300" t="n">
        <v>607</v>
      </c>
      <c r="B623" s="346" t="n"/>
      <c r="C623" s="287" t="inlineStr">
        <is>
          <t>08.3.11.01-0050</t>
        </is>
      </c>
      <c r="D623" s="288" t="inlineStr">
        <is>
          <t>Швеллеры № 10, марка стали Ст3пс5</t>
        </is>
      </c>
      <c r="E623" s="374" t="inlineStr">
        <is>
          <t>т</t>
        </is>
      </c>
      <c r="F623" s="374" t="n">
        <v>0.0958</v>
      </c>
      <c r="G623" s="290" t="n">
        <v>6780</v>
      </c>
      <c r="H623" s="302">
        <f>ROUND(F623*G623,2)</f>
        <v/>
      </c>
      <c r="I623" s="314" t="n"/>
    </row>
    <row r="624" ht="38.25" customHeight="1" s="248">
      <c r="A624" s="300" t="n">
        <v>608</v>
      </c>
      <c r="B624" s="346" t="n"/>
      <c r="C624" s="287" t="inlineStr">
        <is>
          <t>24.3.01.02-0022</t>
        </is>
      </c>
      <c r="D624" s="288" t="inlineStr">
        <is>
          <t>Трубы гибкие гофрированные легкие из самозатухающего ПВХ (IP55) серии FL, с зондом, диаметром: 20 мм</t>
        </is>
      </c>
      <c r="E624" s="374" t="inlineStr">
        <is>
          <t>10 м</t>
        </is>
      </c>
      <c r="F624" s="374" t="n">
        <v>30.36</v>
      </c>
      <c r="G624" s="290" t="n">
        <v>21.2</v>
      </c>
      <c r="H624" s="302">
        <f>ROUND(F624*G624,2)</f>
        <v/>
      </c>
      <c r="I624" s="314" t="n"/>
    </row>
    <row r="625">
      <c r="A625" s="300" t="n">
        <v>609</v>
      </c>
      <c r="B625" s="346" t="n"/>
      <c r="C625" s="287" t="inlineStr">
        <is>
          <t>Прайс из СД ОП</t>
        </is>
      </c>
      <c r="D625" s="288" t="inlineStr">
        <is>
          <t xml:space="preserve">Соединитель мягкий СОМ 100-ВРАН-100А-Ц </t>
        </is>
      </c>
      <c r="E625" s="374" t="inlineStr">
        <is>
          <t>шт.</t>
        </is>
      </c>
      <c r="F625" s="374" t="n">
        <v>2</v>
      </c>
      <c r="G625" s="290" t="n">
        <v>321.35</v>
      </c>
      <c r="H625" s="302">
        <f>ROUND(F625*G625,2)</f>
        <v/>
      </c>
      <c r="I625" s="314" t="n"/>
    </row>
    <row r="626" ht="25.5" customHeight="1" s="248">
      <c r="A626" s="300" t="n">
        <v>610</v>
      </c>
      <c r="B626" s="346" t="n"/>
      <c r="C626" s="287" t="inlineStr">
        <is>
          <t>01.7.15.03-0013</t>
        </is>
      </c>
      <c r="D626" s="288" t="inlineStr">
        <is>
          <t>Болты с гайками и шайбами для санитарно-технических работ, диаметр 12 мм</t>
        </is>
      </c>
      <c r="E626" s="374" t="inlineStr">
        <is>
          <t>т</t>
        </is>
      </c>
      <c r="F626" s="374" t="n">
        <v>0.0417</v>
      </c>
      <c r="G626" s="290" t="n">
        <v>15323</v>
      </c>
      <c r="H626" s="302">
        <f>ROUND(F626*G626,2)</f>
        <v/>
      </c>
      <c r="I626" s="314" t="n"/>
    </row>
    <row r="627" customFormat="1" s="299">
      <c r="A627" s="300" t="n">
        <v>611</v>
      </c>
      <c r="B627" s="346" t="n"/>
      <c r="C627" s="287" t="inlineStr">
        <is>
          <t>Прайс из СД ОП</t>
        </is>
      </c>
      <c r="D627" s="288" t="inlineStr">
        <is>
          <t xml:space="preserve">Решетка декоративная Р25-900х620-С </t>
        </is>
      </c>
      <c r="E627" s="374" t="inlineStr">
        <is>
          <t>шт.</t>
        </is>
      </c>
      <c r="F627" s="374" t="n">
        <v>1</v>
      </c>
      <c r="G627" s="290" t="n">
        <v>632.28</v>
      </c>
      <c r="H627" s="302">
        <f>ROUND(F627*G627,2)</f>
        <v/>
      </c>
      <c r="I627" s="314" t="n"/>
    </row>
    <row r="628">
      <c r="A628" s="300" t="n">
        <v>612</v>
      </c>
      <c r="B628" s="346" t="n"/>
      <c r="C628" s="287" t="inlineStr">
        <is>
          <t>Прайс из СД ОП</t>
        </is>
      </c>
      <c r="D628" s="288" t="inlineStr">
        <is>
          <t xml:space="preserve">Решетка декоративная Р50-900*620-С </t>
        </is>
      </c>
      <c r="E628" s="374" t="inlineStr">
        <is>
          <t>шт.</t>
        </is>
      </c>
      <c r="F628" s="374" t="n">
        <v>1</v>
      </c>
      <c r="G628" s="290" t="n">
        <v>632.28</v>
      </c>
      <c r="H628" s="302">
        <f>ROUND(F628*G628,2)</f>
        <v/>
      </c>
      <c r="I628" s="314" t="n"/>
    </row>
    <row r="629" ht="25.5" customHeight="1" s="248">
      <c r="A629" s="300" t="n">
        <v>613</v>
      </c>
      <c r="B629" s="346" t="n"/>
      <c r="C629" s="287" t="inlineStr">
        <is>
          <t>19.2.03.02-0112</t>
        </is>
      </c>
      <c r="D629" s="288" t="inlineStr">
        <is>
          <t>Решетки вентиляционные алюминиевые "АРКТОС" типа: АМР, размером 150х300 мм</t>
        </is>
      </c>
      <c r="E629" s="374" t="inlineStr">
        <is>
          <t>шт</t>
        </is>
      </c>
      <c r="F629" s="374" t="n">
        <v>4</v>
      </c>
      <c r="G629" s="290" t="n">
        <v>158.07</v>
      </c>
      <c r="H629" s="302">
        <f>ROUND(F629*G629,2)</f>
        <v/>
      </c>
      <c r="I629" s="314" t="n"/>
      <c r="K629" s="307" t="n"/>
    </row>
    <row r="630" ht="25.5" customHeight="1" s="248">
      <c r="A630" s="300" t="n">
        <v>614</v>
      </c>
      <c r="B630" s="346" t="n"/>
      <c r="C630" s="287" t="inlineStr">
        <is>
          <t>21.1.06.10-0169</t>
        </is>
      </c>
      <c r="D630" s="288" t="inlineStr">
        <is>
          <t>Кабель силовой с медными жилами ВВГнг(A)-FRLS 3х2,5ок-1000</t>
        </is>
      </c>
      <c r="E630" s="374" t="inlineStr">
        <is>
          <t>1000 м</t>
        </is>
      </c>
      <c r="F630" s="374" t="n">
        <v>0.0255</v>
      </c>
      <c r="G630" s="290" t="n">
        <v>24712.04</v>
      </c>
      <c r="H630" s="302">
        <f>ROUND(F630*G630,2)</f>
        <v/>
      </c>
      <c r="I630" s="314" t="n"/>
      <c r="K630" s="307" t="n"/>
    </row>
    <row r="631">
      <c r="A631" s="300" t="n">
        <v>615</v>
      </c>
      <c r="B631" s="346" t="n"/>
      <c r="C631" s="287" t="inlineStr">
        <is>
          <t>Прайс из СД ОП</t>
        </is>
      </c>
      <c r="D631" s="288" t="inlineStr">
        <is>
          <t>Решетка декоративная Р50-600х620-С</t>
        </is>
      </c>
      <c r="E631" s="374" t="inlineStr">
        <is>
          <t>шт.</t>
        </is>
      </c>
      <c r="F631" s="374" t="n">
        <v>1</v>
      </c>
      <c r="G631" s="290" t="n">
        <v>625.0599999999999</v>
      </c>
      <c r="H631" s="302">
        <f>ROUND(F631*G631,2)</f>
        <v/>
      </c>
      <c r="I631" s="314" t="n"/>
      <c r="K631" s="307" t="n"/>
    </row>
    <row r="632">
      <c r="A632" s="300" t="n">
        <v>616</v>
      </c>
      <c r="B632" s="346" t="n"/>
      <c r="C632" s="287" t="inlineStr">
        <is>
          <t>24.3.03.01-0218</t>
        </is>
      </c>
      <c r="D632" s="288" t="inlineStr">
        <is>
          <t>Трубка термоусаживаемая</t>
        </is>
      </c>
      <c r="E632" s="374" t="inlineStr">
        <is>
          <t>м</t>
        </is>
      </c>
      <c r="F632" s="374" t="n">
        <v>50</v>
      </c>
      <c r="G632" s="290" t="n">
        <v>12.5</v>
      </c>
      <c r="H632" s="302">
        <f>ROUND(F632*G632,2)</f>
        <v/>
      </c>
    </row>
    <row r="633">
      <c r="A633" s="300" t="n">
        <v>617</v>
      </c>
      <c r="B633" s="346" t="n"/>
      <c r="C633" s="287" t="inlineStr">
        <is>
          <t>04.3.01.09-0015</t>
        </is>
      </c>
      <c r="D633" s="288" t="inlineStr">
        <is>
          <t>Раствор готовый кладочный, цементный, М150</t>
        </is>
      </c>
      <c r="E633" s="374" t="inlineStr">
        <is>
          <t>м3</t>
        </is>
      </c>
      <c r="F633" s="374" t="n">
        <v>1.1142</v>
      </c>
      <c r="G633" s="290" t="n">
        <v>548.3</v>
      </c>
      <c r="H633" s="302">
        <f>ROUND(F633*G633,2)</f>
        <v/>
      </c>
    </row>
    <row r="634" ht="25.5" customHeight="1" s="248">
      <c r="A634" s="300" t="n">
        <v>618</v>
      </c>
      <c r="B634" s="346" t="n"/>
      <c r="C634" s="287" t="inlineStr">
        <is>
          <t>21.1.06.09-0145</t>
        </is>
      </c>
      <c r="D634" s="288" t="inlineStr">
        <is>
          <t>Кабель силовой с медными жилами ВВГнг-LS 2х1,5-660 (прим. ВВГнг(А)-LS-0,66 2х0,75)</t>
        </is>
      </c>
      <c r="E634" s="374" t="inlineStr">
        <is>
          <t>1000 м</t>
        </is>
      </c>
      <c r="F634" s="374" t="n">
        <v>0.1632</v>
      </c>
      <c r="G634" s="290" t="n">
        <v>3708.36</v>
      </c>
      <c r="H634" s="302">
        <f>ROUND(F634*G634,2)</f>
        <v/>
      </c>
    </row>
    <row r="635">
      <c r="A635" s="300" t="n">
        <v>619</v>
      </c>
      <c r="B635" s="346" t="n"/>
      <c r="C635" s="287" t="inlineStr">
        <is>
          <t>Прайс из СД ОП</t>
        </is>
      </c>
      <c r="D635" s="288" t="inlineStr">
        <is>
          <t>Реле контроля напряжения РКН-3-15-15-УХЛ4</t>
        </is>
      </c>
      <c r="E635" s="374" t="inlineStr">
        <is>
          <t>шт.</t>
        </is>
      </c>
      <c r="F635" s="374" t="n">
        <v>2</v>
      </c>
      <c r="G635" s="290" t="n">
        <v>299.45</v>
      </c>
      <c r="H635" s="302">
        <f>ROUND(F635*G635,2)</f>
        <v/>
      </c>
    </row>
    <row r="636" ht="51" customHeight="1" s="248">
      <c r="A636" s="300" t="n">
        <v>620</v>
      </c>
      <c r="B636" s="346" t="n"/>
      <c r="C636" s="287" t="inlineStr">
        <is>
          <t>14.5.11.03-0001</t>
        </is>
      </c>
      <c r="D636" s="288" t="inlineStr">
        <is>
          <t>Смесь сухая шпатлевочная на основе высокопрочного гипса с полимерными добавками, крупность заполнителя не более 0,15 мм, прочность на изгиб 2,7 МПа</t>
        </is>
      </c>
      <c r="E636" s="374" t="inlineStr">
        <is>
          <t>кг</t>
        </is>
      </c>
      <c r="F636" s="374" t="n">
        <v>80.06999999999999</v>
      </c>
      <c r="G636" s="290" t="n">
        <v>7.46</v>
      </c>
      <c r="H636" s="302">
        <f>ROUND(F636*G636,2)</f>
        <v/>
      </c>
    </row>
    <row r="637" ht="25.5" customHeight="1" s="248">
      <c r="A637" s="300" t="n">
        <v>621</v>
      </c>
      <c r="B637" s="346" t="n"/>
      <c r="C637" s="287" t="inlineStr">
        <is>
          <t>21.1.06.10-0155</t>
        </is>
      </c>
      <c r="D637" s="288" t="inlineStr">
        <is>
          <t>Кабель силовой с медными жилами ВВГнг(A)-FRLS 2х1,5ок(N)-1000</t>
        </is>
      </c>
      <c r="E637" s="374" t="inlineStr">
        <is>
          <t>1000 м</t>
        </is>
      </c>
      <c r="F637" s="374" t="n">
        <v>0.0357</v>
      </c>
      <c r="G637" s="290" t="n">
        <v>16712.36</v>
      </c>
      <c r="H637" s="302">
        <f>ROUND(F637*G637,2)</f>
        <v/>
      </c>
    </row>
    <row r="638" ht="25.5" customHeight="1" s="248">
      <c r="A638" s="300" t="n">
        <v>622</v>
      </c>
      <c r="B638" s="346" t="n"/>
      <c r="C638" s="287" t="inlineStr">
        <is>
          <t>08.3.07.01-0076</t>
        </is>
      </c>
      <c r="D638" s="288" t="inlineStr">
        <is>
          <t>Прокат полосовой, горячекатаный, марка стали Ст3сп, ширина 50-200 мм, толщина 4-5 мм</t>
        </is>
      </c>
      <c r="E638" s="374" t="inlineStr">
        <is>
          <t>т</t>
        </is>
      </c>
      <c r="F638" s="374" t="n">
        <v>0.1185</v>
      </c>
      <c r="G638" s="290" t="n">
        <v>5000</v>
      </c>
      <c r="H638" s="302">
        <f>ROUND(F638*G638,2)</f>
        <v/>
      </c>
    </row>
    <row r="639" ht="25.5" customHeight="1" s="248">
      <c r="A639" s="300" t="n">
        <v>623</v>
      </c>
      <c r="B639" s="346" t="n"/>
      <c r="C639" s="287" t="inlineStr">
        <is>
          <t>Прайс из СД ОП</t>
        </is>
      </c>
      <c r="D639" s="288" t="inlineStr">
        <is>
          <t>Заклепка вытяжная со стандартным буртиком DIN 7337</t>
        </is>
      </c>
      <c r="E639" s="374" t="inlineStr">
        <is>
          <t>шт.</t>
        </is>
      </c>
      <c r="F639" s="374" t="n">
        <v>1900</v>
      </c>
      <c r="G639" s="290" t="n">
        <v>0.31</v>
      </c>
      <c r="H639" s="302">
        <f>ROUND(F639*G639,2)</f>
        <v/>
      </c>
    </row>
    <row r="640">
      <c r="A640" s="300" t="n">
        <v>624</v>
      </c>
      <c r="B640" s="346" t="n"/>
      <c r="C640" s="287" t="inlineStr">
        <is>
          <t>01.7.06.02-0001</t>
        </is>
      </c>
      <c r="D640" s="288" t="inlineStr">
        <is>
          <t>Лента бутиловая</t>
        </is>
      </c>
      <c r="E640" s="374" t="inlineStr">
        <is>
          <t>м</t>
        </is>
      </c>
      <c r="F640" s="374" t="n">
        <v>90.54000000000001</v>
      </c>
      <c r="G640" s="290" t="n">
        <v>6.38</v>
      </c>
      <c r="H640" s="302">
        <f>ROUND(F640*G640,2)</f>
        <v/>
      </c>
    </row>
    <row r="641" ht="38.25" customHeight="1" s="248">
      <c r="A641" s="300" t="n">
        <v>625</v>
      </c>
      <c r="B641" s="346" t="n"/>
      <c r="C641" s="287" t="inlineStr">
        <is>
          <t>23.2.02.02-0011</t>
        </is>
      </c>
      <c r="D641" s="288" t="inlineStr">
        <is>
          <t>Трубы медные круглые тянутые и холоднокатаные (марки меди М2, М3), наружным диаметром: 6,3 мм, толщиной стенки 0,8 мм</t>
        </is>
      </c>
      <c r="E641" s="374" t="inlineStr">
        <is>
          <t>м</t>
        </is>
      </c>
      <c r="F641" s="374" t="n">
        <v>24</v>
      </c>
      <c r="G641" s="290" t="n">
        <v>22.83</v>
      </c>
      <c r="H641" s="302">
        <f>ROUND(F641*G641,2)</f>
        <v/>
      </c>
    </row>
    <row r="642" ht="51" customHeight="1" s="248">
      <c r="A642" s="300" t="n">
        <v>626</v>
      </c>
      <c r="B642" s="346" t="n"/>
      <c r="C642" s="287" t="inlineStr">
        <is>
          <t>06.2.02.01-0081</t>
        </is>
      </c>
      <c r="D642" s="288" t="inlineStr">
        <is>
          <t>Плитка керамическая глазурованная для полов рельефная, квадратная и прямоугольная с многоцветным рисунком, декорированная методом сериографии, толщина 11 мм</t>
        </is>
      </c>
      <c r="E642" s="374" t="inlineStr">
        <is>
          <t>м2</t>
        </is>
      </c>
      <c r="F642" s="374" t="n">
        <v>6.63</v>
      </c>
      <c r="G642" s="290" t="n">
        <v>82.5</v>
      </c>
      <c r="H642" s="302">
        <f>ROUND(F642*G642,2)</f>
        <v/>
      </c>
      <c r="I642" s="314" t="n"/>
    </row>
    <row r="643">
      <c r="A643" s="300" t="n">
        <v>627</v>
      </c>
      <c r="B643" s="346" t="n"/>
      <c r="C643" s="287" t="inlineStr">
        <is>
          <t>01.7.15.10-0052</t>
        </is>
      </c>
      <c r="D643" s="288" t="inlineStr">
        <is>
          <t>Скобы двухлапковые</t>
        </is>
      </c>
      <c r="E643" s="374" t="inlineStr">
        <is>
          <t>10 шт</t>
        </is>
      </c>
      <c r="F643" s="374" t="n">
        <v>46</v>
      </c>
      <c r="G643" s="290" t="n">
        <v>11.89</v>
      </c>
      <c r="H643" s="302">
        <f>ROUND(F643*G643,2)</f>
        <v/>
      </c>
      <c r="I643" s="314" t="n"/>
    </row>
    <row r="644">
      <c r="A644" s="300" t="n">
        <v>628</v>
      </c>
      <c r="B644" s="346" t="n"/>
      <c r="C644" s="287" t="inlineStr">
        <is>
          <t>14.5.09.07-0022</t>
        </is>
      </c>
      <c r="D644" s="288" t="inlineStr">
        <is>
          <t>Растворитель № 646</t>
        </is>
      </c>
      <c r="E644" s="374" t="inlineStr">
        <is>
          <t>т</t>
        </is>
      </c>
      <c r="F644" s="374" t="n">
        <v>0.052</v>
      </c>
      <c r="G644" s="290" t="n">
        <v>10465</v>
      </c>
      <c r="H644" s="302">
        <f>ROUND(F644*G644,2)</f>
        <v/>
      </c>
      <c r="I644" s="314" t="n"/>
    </row>
    <row r="645" ht="38.25" customHeight="1" s="248">
      <c r="A645" s="300" t="n">
        <v>629</v>
      </c>
      <c r="B645" s="346" t="n"/>
      <c r="C645" s="287" t="inlineStr">
        <is>
          <t>19.3.02.08-0021</t>
        </is>
      </c>
      <c r="D645" s="288" t="inlineStr">
        <is>
          <t>Кронштейны для крепления внешнего блока сплит-системы, рекомендуемая нагрузка до 80 кг (два кронштейна, болты, гайки, шайбы)</t>
        </is>
      </c>
      <c r="E645" s="374" t="inlineStr">
        <is>
          <t>компл</t>
        </is>
      </c>
      <c r="F645" s="374" t="n">
        <v>6</v>
      </c>
      <c r="G645" s="290" t="n">
        <v>90.27</v>
      </c>
      <c r="H645" s="302">
        <f>ROUND(F645*G645,2)</f>
        <v/>
      </c>
      <c r="I645" s="314" t="n"/>
    </row>
    <row r="646" ht="38.25" customHeight="1" s="248">
      <c r="A646" s="300" t="n">
        <v>630</v>
      </c>
      <c r="B646" s="346" t="n"/>
      <c r="C646" s="287" t="inlineStr">
        <is>
          <t>Прайс из СД ОП</t>
        </is>
      </c>
      <c r="D646" s="288" t="inlineStr">
        <is>
          <t>Cветильник настенно-потолочный под лампу с цоколем Е27 до 60 Bm,  220 В, IP54, УХЛ4 НПП 03-60-001</t>
        </is>
      </c>
      <c r="E646" s="374" t="inlineStr">
        <is>
          <t>шт.</t>
        </is>
      </c>
      <c r="F646" s="374" t="n">
        <v>15</v>
      </c>
      <c r="G646" s="290" t="n">
        <v>35.74</v>
      </c>
      <c r="H646" s="302">
        <f>ROUND(F646*G646,2)</f>
        <v/>
      </c>
      <c r="I646" s="314" t="n"/>
    </row>
    <row r="647">
      <c r="A647" s="300" t="n">
        <v>631</v>
      </c>
      <c r="B647" s="346" t="n"/>
      <c r="C647" s="287" t="inlineStr">
        <is>
          <t>07.2.06.05-0017</t>
        </is>
      </c>
      <c r="D647" s="288" t="inlineStr">
        <is>
          <t>Соединитель профиля одноуровневый потолочный</t>
        </is>
      </c>
      <c r="E647" s="374" t="inlineStr">
        <is>
          <t>100 шт</t>
        </is>
      </c>
      <c r="F647" s="374" t="n">
        <v>3.266</v>
      </c>
      <c r="G647" s="290" t="n">
        <v>160</v>
      </c>
      <c r="H647" s="302">
        <f>ROUND(F647*G647,2)</f>
        <v/>
      </c>
      <c r="I647" s="314" t="n"/>
    </row>
    <row r="648" ht="25.5" customHeight="1" s="248">
      <c r="A648" s="300" t="n">
        <v>632</v>
      </c>
      <c r="B648" s="346" t="n"/>
      <c r="C648" s="287" t="inlineStr">
        <is>
          <t>19.2.03.02-0135</t>
        </is>
      </c>
      <c r="D648" s="288" t="inlineStr">
        <is>
          <t>Решетки вентиляционные алюминиевые "АРКТОС" типа: АРН размером 250х500 мм</t>
        </is>
      </c>
      <c r="E648" s="374" t="inlineStr">
        <is>
          <t>шт</t>
        </is>
      </c>
      <c r="F648" s="374" t="n">
        <v>2</v>
      </c>
      <c r="G648" s="290" t="n">
        <v>260.06</v>
      </c>
      <c r="H648" s="302">
        <f>ROUND(F648*G648,2)</f>
        <v/>
      </c>
      <c r="I648" s="314" t="n"/>
    </row>
    <row r="649" ht="25.5" customHeight="1" s="248">
      <c r="A649" s="300" t="n">
        <v>633</v>
      </c>
      <c r="B649" s="346" t="n"/>
      <c r="C649" s="287" t="inlineStr">
        <is>
          <t>14.5.01.10-0025</t>
        </is>
      </c>
      <c r="D649" s="288" t="inlineStr">
        <is>
          <t>Пена монтажная для герметизации стыков в баллончике емкостью 0,85 л</t>
        </is>
      </c>
      <c r="E649" s="374" t="inlineStr">
        <is>
          <t>шт</t>
        </is>
      </c>
      <c r="F649" s="374" t="n">
        <v>7.078</v>
      </c>
      <c r="G649" s="290" t="n">
        <v>72.8</v>
      </c>
      <c r="H649" s="302">
        <f>ROUND(F649*G649,2)</f>
        <v/>
      </c>
      <c r="I649" s="314" t="n"/>
    </row>
    <row r="650">
      <c r="A650" s="300" t="n">
        <v>634</v>
      </c>
      <c r="B650" s="346" t="n"/>
      <c r="C650" s="287" t="inlineStr">
        <is>
          <t>Прайс из СД ОП</t>
        </is>
      </c>
      <c r="D650" s="288" t="inlineStr">
        <is>
          <t xml:space="preserve">Шумоглушитель трубчатый Канал-ГКК-160-900 </t>
        </is>
      </c>
      <c r="E650" s="374" t="inlineStr">
        <is>
          <t>шт.</t>
        </is>
      </c>
      <c r="F650" s="374" t="n">
        <v>2</v>
      </c>
      <c r="G650" s="290" t="n">
        <v>257.31</v>
      </c>
      <c r="H650" s="302">
        <f>ROUND(F650*G650,2)</f>
        <v/>
      </c>
      <c r="I650" s="314" t="n"/>
    </row>
    <row r="651">
      <c r="A651" s="300" t="n">
        <v>635</v>
      </c>
      <c r="B651" s="346" t="n"/>
      <c r="C651" s="287" t="inlineStr">
        <is>
          <t>Прайс из СД ОП</t>
        </is>
      </c>
      <c r="D651" s="288" t="inlineStr">
        <is>
          <t>Саморез 5,5х140 оцинкованный</t>
        </is>
      </c>
      <c r="E651" s="374" t="inlineStr">
        <is>
          <t>шт</t>
        </is>
      </c>
      <c r="F651" s="374" t="n">
        <v>212</v>
      </c>
      <c r="G651" s="290" t="n">
        <v>2.42</v>
      </c>
      <c r="H651" s="302">
        <f>ROUND(F651*G651,2)</f>
        <v/>
      </c>
      <c r="I651" s="314" t="n"/>
    </row>
    <row r="652">
      <c r="A652" s="300" t="n">
        <v>636</v>
      </c>
      <c r="B652" s="346" t="n"/>
      <c r="C652" s="287" t="inlineStr">
        <is>
          <t>Прайс из СД ОП</t>
        </is>
      </c>
      <c r="D652" s="288" t="inlineStr">
        <is>
          <t xml:space="preserve">Решетка декоративная Р25-600х800-С </t>
        </is>
      </c>
      <c r="E652" s="374" t="inlineStr">
        <is>
          <t>шт.</t>
        </is>
      </c>
      <c r="F652" s="374" t="n">
        <v>2</v>
      </c>
      <c r="G652" s="290" t="n">
        <v>253.53</v>
      </c>
      <c r="H652" s="302">
        <f>ROUND(F652*G652,2)</f>
        <v/>
      </c>
      <c r="I652" s="314" t="n"/>
    </row>
    <row r="653">
      <c r="A653" s="300" t="n">
        <v>637</v>
      </c>
      <c r="B653" s="346" t="n"/>
      <c r="C653" s="287" t="inlineStr">
        <is>
          <t>01.7.15.03-0042</t>
        </is>
      </c>
      <c r="D653" s="288" t="inlineStr">
        <is>
          <t>Болты с гайками и шайбами строительные</t>
        </is>
      </c>
      <c r="E653" s="374" t="inlineStr">
        <is>
          <t>кг</t>
        </is>
      </c>
      <c r="F653" s="374" t="n">
        <v>56</v>
      </c>
      <c r="G653" s="290" t="n">
        <v>9.039999999999999</v>
      </c>
      <c r="H653" s="302">
        <f>ROUND(F653*G653,2)</f>
        <v/>
      </c>
      <c r="I653" s="314" t="n"/>
    </row>
    <row r="654" ht="38.25" customHeight="1" s="248">
      <c r="A654" s="300" t="n">
        <v>638</v>
      </c>
      <c r="B654" s="346" t="n"/>
      <c r="C654" s="287" t="inlineStr">
        <is>
          <t>12.1.01.05-0083</t>
        </is>
      </c>
      <c r="D654" s="288" t="inlineStr">
        <is>
          <t>Угол желоба 90° металлический универсальный для водосточных систем, покрытие полиэстер, диаметр 185 мм</t>
        </is>
      </c>
      <c r="E654" s="374" t="inlineStr">
        <is>
          <t>шт</t>
        </is>
      </c>
      <c r="F654" s="374" t="n">
        <v>2</v>
      </c>
      <c r="G654" s="290" t="n">
        <v>252.99</v>
      </c>
      <c r="H654" s="302">
        <f>ROUND(F654*G654,2)</f>
        <v/>
      </c>
      <c r="I654" s="314" t="n"/>
    </row>
    <row r="655" ht="38.25" customHeight="1" s="248">
      <c r="A655" s="300" t="n">
        <v>639</v>
      </c>
      <c r="B655" s="346" t="n"/>
      <c r="C655" s="287" t="inlineStr">
        <is>
          <t>14.5.04.03-0002</t>
        </is>
      </c>
      <c r="D655" s="288" t="inlineStr">
        <is>
          <t>Мастика герметизирующая нетвердеющая из синтетического каучука, для заполнения и герметизации швов стеклянного ограждения теплиц</t>
        </is>
      </c>
      <c r="E655" s="374" t="inlineStr">
        <is>
          <t>т</t>
        </is>
      </c>
      <c r="F655" s="374" t="n">
        <v>0.0289</v>
      </c>
      <c r="G655" s="290" t="n">
        <v>17183</v>
      </c>
      <c r="H655" s="302">
        <f>ROUND(F655*G655,2)</f>
        <v/>
      </c>
      <c r="I655" s="314" t="n"/>
    </row>
    <row r="656" ht="38.25" customHeight="1" s="248">
      <c r="A656" s="300" t="n">
        <v>640</v>
      </c>
      <c r="B656" s="346" t="n"/>
      <c r="C656" s="287" t="inlineStr">
        <is>
          <t>14.5.11.03-0003</t>
        </is>
      </c>
      <c r="D656" s="288" t="inlineStr">
        <is>
          <t>Смесь сухая шпатлевочная на основе гипса с полимерными добавками, крупность заполнителя не более 0,2 мм, прочность на изгиб не более 1,0 МПа</t>
        </is>
      </c>
      <c r="E656" s="374" t="inlineStr">
        <is>
          <t>кг</t>
        </is>
      </c>
      <c r="F656" s="374" t="n">
        <v>164.54</v>
      </c>
      <c r="G656" s="290" t="n">
        <v>2.94</v>
      </c>
      <c r="H656" s="302">
        <f>ROUND(F656*G656,2)</f>
        <v/>
      </c>
      <c r="I656" s="314" t="n"/>
    </row>
    <row r="657" ht="38.25" customHeight="1" s="248">
      <c r="A657" s="300" t="n">
        <v>641</v>
      </c>
      <c r="B657" s="346" t="n"/>
      <c r="C657" s="287" t="inlineStr">
        <is>
          <t>05.2.02.01-0036</t>
        </is>
      </c>
      <c r="D657" s="288" t="inlineStr">
        <is>
          <t>Блоки бетонные для стен подвалов полнотелые ФБС9-4-6-Т, бетон B7,5 (М100, объем 0,195 м3, расход арматуры 0,76 кг</t>
        </is>
      </c>
      <c r="E657" s="374" t="inlineStr">
        <is>
          <t>шт</t>
        </is>
      </c>
      <c r="F657" s="374" t="n">
        <v>4</v>
      </c>
      <c r="G657" s="290" t="n">
        <v>120.9</v>
      </c>
      <c r="H657" s="302">
        <f>ROUND(F657*G657,2)</f>
        <v/>
      </c>
      <c r="I657" s="314" t="n"/>
    </row>
    <row r="658" ht="25.5" customHeight="1" s="248">
      <c r="A658" s="300" t="n">
        <v>642</v>
      </c>
      <c r="B658" s="346" t="n"/>
      <c r="C658" s="287" t="inlineStr">
        <is>
          <t>21.1.06.09-0176</t>
        </is>
      </c>
      <c r="D658" s="288" t="inlineStr">
        <is>
          <t>Кабель силовой с медными жилами ВВГнг(A)-LS 5х2,5-660</t>
        </is>
      </c>
      <c r="E658" s="374" t="inlineStr">
        <is>
          <t>1000 м</t>
        </is>
      </c>
      <c r="F658" s="374" t="n">
        <v>0.0408</v>
      </c>
      <c r="G658" s="290" t="n">
        <v>11836.8</v>
      </c>
      <c r="H658" s="302">
        <f>ROUND(F658*G658,2)</f>
        <v/>
      </c>
      <c r="I658" s="314" t="n"/>
    </row>
    <row r="659" ht="63.75" customFormat="1" customHeight="1" s="299">
      <c r="A659" s="300" t="n">
        <v>643</v>
      </c>
      <c r="B659" s="346" t="n"/>
      <c r="C659" s="287" t="inlineStr">
        <is>
          <t>07.2.07.12-0003</t>
        </is>
      </c>
      <c r="D659" s="288" t="inlineStr">
        <is>
          <t>Элементы конструктивные вспомогательного назначения массой не более 50 кг с преобладанием толстолистовой стали, собираемые из двух и более деталей, с отверстиями и без отверстий, соединяемые на сварке</t>
        </is>
      </c>
      <c r="E659" s="374" t="inlineStr">
        <is>
          <t>т</t>
        </is>
      </c>
      <c r="F659" s="374" t="n">
        <v>0.0428</v>
      </c>
      <c r="G659" s="290" t="n">
        <v>11255</v>
      </c>
      <c r="H659" s="302">
        <f>ROUND(F659*G659,2)</f>
        <v/>
      </c>
      <c r="I659" s="314" t="n"/>
    </row>
    <row r="660">
      <c r="A660" s="300" t="n">
        <v>644</v>
      </c>
      <c r="B660" s="346" t="n"/>
      <c r="C660" s="287" t="inlineStr">
        <is>
          <t>01.7.20.08-0162</t>
        </is>
      </c>
      <c r="D660" s="288" t="inlineStr">
        <is>
          <t>Ткань мешочная</t>
        </is>
      </c>
      <c r="E660" s="374" t="inlineStr">
        <is>
          <t>10 м2</t>
        </is>
      </c>
      <c r="F660" s="374" t="n">
        <v>5.6542</v>
      </c>
      <c r="G660" s="290" t="n">
        <v>84.75</v>
      </c>
      <c r="H660" s="302">
        <f>ROUND(F660*G660,2)</f>
        <v/>
      </c>
      <c r="I660" s="314" t="n"/>
    </row>
    <row r="661">
      <c r="A661" s="300" t="n">
        <v>645</v>
      </c>
      <c r="B661" s="346" t="n"/>
      <c r="C661" s="287" t="inlineStr">
        <is>
          <t>04.3.01.09-0014</t>
        </is>
      </c>
      <c r="D661" s="288" t="inlineStr">
        <is>
          <t>Раствор готовый кладочный, цементный, М100</t>
        </is>
      </c>
      <c r="E661" s="374" t="inlineStr">
        <is>
          <t>м3</t>
        </is>
      </c>
      <c r="F661" s="374" t="n">
        <v>0.9143</v>
      </c>
      <c r="G661" s="290" t="n">
        <v>519.8</v>
      </c>
      <c r="H661" s="302">
        <f>ROUND(F661*G661,2)</f>
        <v/>
      </c>
    </row>
    <row r="662">
      <c r="A662" s="300" t="n">
        <v>646</v>
      </c>
      <c r="B662" s="346" t="n"/>
      <c r="C662" s="287" t="inlineStr">
        <is>
          <t>Прайс из СД ОП</t>
        </is>
      </c>
      <c r="D662" s="288" t="inlineStr">
        <is>
          <t>Решетка декоративная Р50-700х520С</t>
        </is>
      </c>
      <c r="E662" s="374" t="inlineStr">
        <is>
          <t>шт.</t>
        </is>
      </c>
      <c r="F662" s="374" t="n">
        <v>1</v>
      </c>
      <c r="G662" s="290" t="n">
        <v>475.22</v>
      </c>
      <c r="H662" s="302">
        <f>ROUND(F662*G662,2)</f>
        <v/>
      </c>
    </row>
    <row r="663">
      <c r="A663" s="300" t="n">
        <v>647</v>
      </c>
      <c r="B663" s="346" t="n"/>
      <c r="C663" s="287" t="inlineStr">
        <is>
          <t>Прайс из СД ОП</t>
        </is>
      </c>
      <c r="D663" s="288" t="inlineStr">
        <is>
          <t xml:space="preserve">Пост светозвуковой сигнализации "ГАЗ! УХОДИ"  </t>
        </is>
      </c>
      <c r="E663" s="374" t="inlineStr">
        <is>
          <t>шт.</t>
        </is>
      </c>
      <c r="F663" s="374" t="n">
        <v>8</v>
      </c>
      <c r="G663" s="290" t="n">
        <v>59.18</v>
      </c>
      <c r="H663" s="302">
        <f>ROUND(F663*G663,2)</f>
        <v/>
      </c>
    </row>
    <row r="664" ht="38.25" customHeight="1" s="248">
      <c r="A664" s="300" t="n">
        <v>648</v>
      </c>
      <c r="B664" s="346" t="n"/>
      <c r="C664" s="287" t="inlineStr">
        <is>
          <t>23.3.06.01-0002</t>
        </is>
      </c>
      <c r="D664" s="288" t="inlineStr">
        <is>
          <t>Трубы стальные сварные оцинкованные водогазопроводные с резьбой, легкие, номинальный диаметр 20 мм, толщина стенки 2,5 мм</t>
        </is>
      </c>
      <c r="E664" s="374" t="inlineStr">
        <is>
          <t>м</t>
        </is>
      </c>
      <c r="F664" s="374" t="n">
        <v>20</v>
      </c>
      <c r="G664" s="290" t="n">
        <v>23.53</v>
      </c>
      <c r="H664" s="302">
        <f>ROUND(F664*G664,2)</f>
        <v/>
      </c>
    </row>
    <row r="665">
      <c r="A665" s="300" t="n">
        <v>649</v>
      </c>
      <c r="B665" s="346" t="n"/>
      <c r="C665" s="287" t="inlineStr">
        <is>
          <t>Прайс из СД ОП</t>
        </is>
      </c>
      <c r="D665" s="288" t="inlineStr">
        <is>
          <t>Обогреватель ТДМ SQ0832-0004</t>
        </is>
      </c>
      <c r="E665" s="374" t="inlineStr">
        <is>
          <t>1шт.</t>
        </is>
      </c>
      <c r="F665" s="374" t="n">
        <v>2</v>
      </c>
      <c r="G665" s="290" t="n">
        <v>229.97</v>
      </c>
      <c r="H665" s="302">
        <f>ROUND(F665*G665,2)</f>
        <v/>
      </c>
    </row>
    <row r="666" ht="51" customHeight="1" s="248">
      <c r="A666" s="300" t="n">
        <v>650</v>
      </c>
      <c r="B666" s="346" t="n"/>
      <c r="C666" s="287" t="inlineStr">
        <is>
          <t>23.5.02.02-0096</t>
        </is>
      </c>
      <c r="D666" s="288" t="inlineStr">
        <is>
          <t>Трубы стальные электросварные прямошовные со снятой фаской из стали марок БСт2кп-БСт4кп и БСт2пс-БСт4пс, наружный диаметр 273 мм, толщина стенки 8 мм</t>
        </is>
      </c>
      <c r="E666" s="374" t="inlineStr">
        <is>
          <t>м</t>
        </is>
      </c>
      <c r="F666" s="374" t="n">
        <v>1.2</v>
      </c>
      <c r="G666" s="290" t="n">
        <v>376.6</v>
      </c>
      <c r="H666" s="302">
        <f>ROUND(F666*G666,2)</f>
        <v/>
      </c>
    </row>
    <row r="667" ht="25.5" customHeight="1" s="248">
      <c r="A667" s="300" t="n">
        <v>651</v>
      </c>
      <c r="B667" s="346" t="n"/>
      <c r="C667" s="287" t="inlineStr">
        <is>
          <t>01.7.06.05-0041</t>
        </is>
      </c>
      <c r="D667" s="288" t="inlineStr">
        <is>
          <t>Лента изоляционная прорезиненная односторонняя, ширина 20 мм, толщина 0,25-0,35 мм</t>
        </is>
      </c>
      <c r="E667" s="374" t="inlineStr">
        <is>
          <t>кг</t>
        </is>
      </c>
      <c r="F667" s="374" t="n">
        <v>14.7732</v>
      </c>
      <c r="G667" s="290" t="n">
        <v>30.4</v>
      </c>
      <c r="H667" s="302">
        <f>ROUND(F667*G667,2)</f>
        <v/>
      </c>
      <c r="I667" s="314" t="n"/>
    </row>
    <row r="668" ht="25.5" customHeight="1" s="248">
      <c r="A668" s="300" t="n">
        <v>652</v>
      </c>
      <c r="B668" s="346" t="n"/>
      <c r="C668" s="287" t="inlineStr">
        <is>
          <t>12.2.04.11-0012</t>
        </is>
      </c>
      <c r="D668" s="288" t="inlineStr">
        <is>
          <t>Маты теплоизоляционные из стекловолокна URSA, марки: М-25-4000-1200-100</t>
        </is>
      </c>
      <c r="E668" s="374" t="inlineStr">
        <is>
          <t>м3</t>
        </is>
      </c>
      <c r="F668" s="374" t="n">
        <v>1.3</v>
      </c>
      <c r="G668" s="290" t="n">
        <v>343.11</v>
      </c>
      <c r="H668" s="302">
        <f>ROUND(F668*G668,2)</f>
        <v/>
      </c>
      <c r="I668" s="314" t="n"/>
    </row>
    <row r="669">
      <c r="A669" s="300" t="n">
        <v>653</v>
      </c>
      <c r="B669" s="346" t="n"/>
      <c r="C669" s="287" t="inlineStr">
        <is>
          <t>14.5.09.04-0111</t>
        </is>
      </c>
      <c r="D669" s="288" t="inlineStr">
        <is>
          <t>Отвердитель № 1</t>
        </is>
      </c>
      <c r="E669" s="374" t="inlineStr">
        <is>
          <t>т</t>
        </is>
      </c>
      <c r="F669" s="374" t="n">
        <v>0.0065</v>
      </c>
      <c r="G669" s="290" t="n">
        <v>67872</v>
      </c>
      <c r="H669" s="302">
        <f>ROUND(F669*G669,2)</f>
        <v/>
      </c>
      <c r="I669" s="314" t="n"/>
    </row>
    <row r="670" ht="25.5" customHeight="1" s="248">
      <c r="A670" s="300" t="n">
        <v>654</v>
      </c>
      <c r="B670" s="346" t="n"/>
      <c r="C670" s="287" t="inlineStr">
        <is>
          <t>05.1.03.09-0023</t>
        </is>
      </c>
      <c r="D670" s="288" t="inlineStr">
        <is>
          <t>Перемычка брусковая 3ПБ-21-8-п, бетон B15, объем 0,055 м3, расход арматуры 1,73 кг</t>
        </is>
      </c>
      <c r="E670" s="374" t="inlineStr">
        <is>
          <t>шт</t>
        </is>
      </c>
      <c r="F670" s="374" t="n">
        <v>6</v>
      </c>
      <c r="G670" s="290" t="n">
        <v>73.05</v>
      </c>
      <c r="H670" s="302">
        <f>ROUND(F670*G670,2)</f>
        <v/>
      </c>
      <c r="I670" s="314" t="n"/>
    </row>
    <row r="671" ht="51" customHeight="1" s="248">
      <c r="A671" s="300" t="n">
        <v>655</v>
      </c>
      <c r="B671" s="346" t="n"/>
      <c r="C671" s="287" t="inlineStr">
        <is>
          <t>01.7.15.14-0045</t>
        </is>
      </c>
      <c r="D671" s="288" t="inlineStr">
        <is>
          <t>Шурупы самонарезающий прокалывающий, для крепления гипсокартонных листов (ГКЛ, ГКЛВ, ГКЛВО) к каркасу из металлических профилей 3,5/35 мм</t>
        </is>
      </c>
      <c r="E671" s="374" t="inlineStr">
        <is>
          <t>100 шт</t>
        </is>
      </c>
      <c r="F671" s="374" t="n">
        <v>144.61</v>
      </c>
      <c r="G671" s="290" t="n">
        <v>3</v>
      </c>
      <c r="H671" s="302">
        <f>ROUND(F671*G671,2)</f>
        <v/>
      </c>
      <c r="I671" s="314" t="n"/>
    </row>
    <row r="672">
      <c r="A672" s="300" t="n">
        <v>656</v>
      </c>
      <c r="B672" s="346" t="n"/>
      <c r="C672" s="287" t="inlineStr">
        <is>
          <t>02.3.01.07-0011</t>
        </is>
      </c>
      <c r="D672" s="288" t="inlineStr">
        <is>
          <t>Порошок кварцевый</t>
        </is>
      </c>
      <c r="E672" s="374" t="inlineStr">
        <is>
          <t>т</t>
        </is>
      </c>
      <c r="F672" s="374" t="n">
        <v>0.865</v>
      </c>
      <c r="G672" s="290" t="n">
        <v>500.6</v>
      </c>
      <c r="H672" s="302">
        <f>ROUND(F672*G672,2)</f>
        <v/>
      </c>
      <c r="I672" s="314" t="n"/>
    </row>
    <row r="673" ht="25.5" customHeight="1" s="248">
      <c r="A673" s="300" t="n">
        <v>657</v>
      </c>
      <c r="B673" s="346" t="n"/>
      <c r="C673" s="287" t="inlineStr">
        <is>
          <t>08.3.07.01-0051</t>
        </is>
      </c>
      <c r="D673" s="288" t="inlineStr">
        <is>
          <t>Прокат полосовой, горячекатаный, марка стали Ст3сп, размер 50х4 мм</t>
        </is>
      </c>
      <c r="E673" s="374" t="inlineStr">
        <is>
          <t>т</t>
        </is>
      </c>
      <c r="F673" s="374" t="n">
        <v>0.05808</v>
      </c>
      <c r="G673" s="290" t="n">
        <v>7396.23</v>
      </c>
      <c r="H673" s="302">
        <f>ROUND(F673*G673,2)</f>
        <v/>
      </c>
      <c r="I673" s="314" t="n"/>
    </row>
    <row r="674" ht="25.5" customHeight="1" s="248">
      <c r="A674" s="300" t="n">
        <v>658</v>
      </c>
      <c r="B674" s="346" t="n"/>
      <c r="C674" s="287" t="inlineStr">
        <is>
          <t>18.1.10.10-0072</t>
        </is>
      </c>
      <c r="D674" s="288" t="inlineStr">
        <is>
          <t>Смесители латунные с гальванопокрытием для мойки настольный, с верхней камерой смешения</t>
        </is>
      </c>
      <c r="E674" s="374" t="inlineStr">
        <is>
          <t>шт</t>
        </is>
      </c>
      <c r="F674" s="374" t="n">
        <v>3</v>
      </c>
      <c r="G674" s="290" t="n">
        <v>143</v>
      </c>
      <c r="H674" s="302">
        <f>ROUND(F674*G674,2)</f>
        <v/>
      </c>
      <c r="I674" s="314" t="n"/>
    </row>
    <row r="675" ht="38.25" customHeight="1" s="248">
      <c r="A675" s="300" t="n">
        <v>659</v>
      </c>
      <c r="B675" s="346" t="n"/>
      <c r="C675" s="287" t="inlineStr">
        <is>
          <t>19.3.02.08-0022</t>
        </is>
      </c>
      <c r="D675" s="288" t="inlineStr">
        <is>
          <t>Кронштейны для крепления внешнего блока сплит-системы, рекомендуемая нагрузка до 150 кг (два кронштейна, болты, гайки, шайбы)</t>
        </is>
      </c>
      <c r="E675" s="374" t="inlineStr">
        <is>
          <t>компл</t>
        </is>
      </c>
      <c r="F675" s="374" t="n">
        <v>2</v>
      </c>
      <c r="G675" s="290" t="n">
        <v>212.77</v>
      </c>
      <c r="H675" s="302">
        <f>ROUND(F675*G675,2)</f>
        <v/>
      </c>
      <c r="I675" s="314" t="n"/>
    </row>
    <row r="676" ht="25.5" customHeight="1" s="248">
      <c r="A676" s="300" t="n">
        <v>660</v>
      </c>
      <c r="B676" s="346" t="n"/>
      <c r="C676" s="287" t="inlineStr">
        <is>
          <t>01.1.01.09-0026</t>
        </is>
      </c>
      <c r="D676" s="288" t="inlineStr">
        <is>
          <t>Шнур асбестовый общего назначения ШАОН, диаметр 8-10 мм</t>
        </is>
      </c>
      <c r="E676" s="374" t="inlineStr">
        <is>
          <t>т</t>
        </is>
      </c>
      <c r="F676" s="374" t="n">
        <v>0.016</v>
      </c>
      <c r="G676" s="290" t="n">
        <v>26499</v>
      </c>
      <c r="H676" s="302">
        <f>ROUND(F676*G676,2)</f>
        <v/>
      </c>
      <c r="I676" s="314" t="n"/>
    </row>
    <row r="677" ht="25.5" customHeight="1" s="248">
      <c r="A677" s="300" t="n">
        <v>661</v>
      </c>
      <c r="B677" s="346" t="n"/>
      <c r="C677" s="287" t="inlineStr">
        <is>
          <t>Прайс из СД ОП</t>
        </is>
      </c>
      <c r="D677" s="288" t="inlineStr">
        <is>
          <t>Выключатель одноклавишный наружной установки, 10 А, IP44 Этюд, арт. ВА10-041В</t>
        </is>
      </c>
      <c r="E677" s="374" t="inlineStr">
        <is>
          <t>шт.</t>
        </is>
      </c>
      <c r="F677" s="374" t="n">
        <v>31</v>
      </c>
      <c r="G677" s="290" t="n">
        <v>13.18</v>
      </c>
      <c r="H677" s="302">
        <f>ROUND(F677*G677,2)</f>
        <v/>
      </c>
      <c r="I677" s="314" t="n"/>
    </row>
    <row r="678" ht="25.5" customHeight="1" s="248">
      <c r="A678" s="300" t="n">
        <v>662</v>
      </c>
      <c r="B678" s="346" t="n"/>
      <c r="C678" s="287" t="inlineStr">
        <is>
          <t>21.2.03.05-0070</t>
        </is>
      </c>
      <c r="D678" s="288" t="inlineStr">
        <is>
          <t>Провод силовой установочный с медными жилами ПВ3 6-450 (прим. Провод заземления ПВ 6-3п)</t>
        </is>
      </c>
      <c r="E678" s="374" t="inlineStr">
        <is>
          <t>1000 м</t>
        </is>
      </c>
      <c r="F678" s="374" t="n">
        <v>0.08160000000000001</v>
      </c>
      <c r="G678" s="290" t="n">
        <v>4999.13</v>
      </c>
      <c r="H678" s="302">
        <f>ROUND(F678*G678,2)</f>
        <v/>
      </c>
      <c r="I678" s="314" t="n"/>
    </row>
    <row r="679" ht="25.5" customHeight="1" s="248">
      <c r="A679" s="300" t="n">
        <v>663</v>
      </c>
      <c r="B679" s="346" t="n"/>
      <c r="C679" s="287" t="inlineStr">
        <is>
          <t>Прайс из СД ОП</t>
        </is>
      </c>
      <c r="D679" s="288" t="inlineStr">
        <is>
          <t xml:space="preserve">Автоматический выключатель трехполюсный, OptiDin BM63-3С25  </t>
        </is>
      </c>
      <c r="E679" s="374" t="inlineStr">
        <is>
          <t>шт.</t>
        </is>
      </c>
      <c r="F679" s="374" t="n">
        <v>7</v>
      </c>
      <c r="G679" s="290" t="n">
        <v>58.24</v>
      </c>
      <c r="H679" s="302">
        <f>ROUND(F679*G679,2)</f>
        <v/>
      </c>
      <c r="I679" s="314" t="n"/>
    </row>
    <row r="680">
      <c r="A680" s="300" t="n">
        <v>664</v>
      </c>
      <c r="B680" s="346" t="n"/>
      <c r="C680" s="287" t="inlineStr">
        <is>
          <t>Прайс из СД ОП</t>
        </is>
      </c>
      <c r="D680" s="288" t="inlineStr">
        <is>
          <t xml:space="preserve">Решетки с фиксированными жалюзи АЛН 700х500 </t>
        </is>
      </c>
      <c r="E680" s="374" t="inlineStr">
        <is>
          <t>шт.</t>
        </is>
      </c>
      <c r="F680" s="374" t="n">
        <v>2</v>
      </c>
      <c r="G680" s="290" t="n">
        <v>200.62</v>
      </c>
      <c r="H680" s="302">
        <f>ROUND(F680*G680,2)</f>
        <v/>
      </c>
      <c r="I680" s="314" t="n"/>
    </row>
    <row r="681">
      <c r="A681" s="300" t="n">
        <v>665</v>
      </c>
      <c r="B681" s="346" t="n"/>
      <c r="C681" s="287" t="inlineStr">
        <is>
          <t>25.2.01.01-0001</t>
        </is>
      </c>
      <c r="D681" s="288" t="inlineStr">
        <is>
          <t>Бирки-оконцеватели</t>
        </is>
      </c>
      <c r="E681" s="374" t="inlineStr">
        <is>
          <t>100 шт</t>
        </is>
      </c>
      <c r="F681" s="374" t="n">
        <v>6.217</v>
      </c>
      <c r="G681" s="290" t="n">
        <v>63</v>
      </c>
      <c r="H681" s="302">
        <f>ROUND(F681*G681,2)</f>
        <v/>
      </c>
      <c r="I681" s="314" t="n"/>
    </row>
    <row r="682" ht="25.5" customHeight="1" s="248">
      <c r="A682" s="300" t="n">
        <v>666</v>
      </c>
      <c r="B682" s="346" t="n"/>
      <c r="C682" s="287" t="inlineStr">
        <is>
          <t>23.8.03.02-0002</t>
        </is>
      </c>
      <c r="D682" s="288" t="inlineStr">
        <is>
          <t>Клипса для крепежа гофротрубы, номинальный диаметр 20 мм</t>
        </is>
      </c>
      <c r="E682" s="374" t="inlineStr">
        <is>
          <t>10 шт</t>
        </is>
      </c>
      <c r="F682" s="374" t="n">
        <v>134.75</v>
      </c>
      <c r="G682" s="290" t="n">
        <v>2.9</v>
      </c>
      <c r="H682" s="302">
        <f>ROUND(F682*G682,2)</f>
        <v/>
      </c>
      <c r="I682" s="314" t="n"/>
    </row>
    <row r="683" ht="25.5" customHeight="1" s="248">
      <c r="A683" s="300" t="n">
        <v>667</v>
      </c>
      <c r="B683" s="346" t="n"/>
      <c r="C683" s="287" t="inlineStr">
        <is>
          <t>Прайс из СД ОП</t>
        </is>
      </c>
      <c r="D683" s="288" t="inlineStr">
        <is>
          <t>Автоматический выключатель трехполюсный, OptiDin BM63-3С40</t>
        </is>
      </c>
      <c r="E683" s="374" t="inlineStr">
        <is>
          <t>шт.</t>
        </is>
      </c>
      <c r="F683" s="374" t="n">
        <v>6</v>
      </c>
      <c r="G683" s="290" t="n">
        <v>64.39</v>
      </c>
      <c r="H683" s="302">
        <f>ROUND(F683*G683,2)</f>
        <v/>
      </c>
      <c r="I683" s="314" t="n"/>
    </row>
    <row r="684" ht="25.5" customFormat="1" customHeight="1" s="299">
      <c r="A684" s="300" t="n">
        <v>668</v>
      </c>
      <c r="B684" s="346" t="n"/>
      <c r="C684" s="287" t="inlineStr">
        <is>
          <t>19.2.03.03-0087</t>
        </is>
      </c>
      <c r="D684" s="288" t="inlineStr">
        <is>
          <t>Решетки вентиляционные наружные РН, из оцинкованной стали, размер 700х600 мм</t>
        </is>
      </c>
      <c r="E684" s="374" t="inlineStr">
        <is>
          <t>шт</t>
        </is>
      </c>
      <c r="F684" s="374" t="n">
        <v>1</v>
      </c>
      <c r="G684" s="290" t="n">
        <v>385.66</v>
      </c>
      <c r="H684" s="302">
        <f>ROUND(F684*G684,2)</f>
        <v/>
      </c>
      <c r="I684" s="314" t="n"/>
    </row>
    <row r="685">
      <c r="A685" s="300" t="n">
        <v>669</v>
      </c>
      <c r="B685" s="346" t="n"/>
      <c r="C685" s="287" t="inlineStr">
        <is>
          <t>Прайс из СД ОП</t>
        </is>
      </c>
      <c r="D685" s="288" t="inlineStr">
        <is>
          <t xml:space="preserve">Изолента </t>
        </is>
      </c>
      <c r="E685" s="374" t="inlineStr">
        <is>
          <t>кг</t>
        </is>
      </c>
      <c r="F685" s="374" t="n">
        <v>5</v>
      </c>
      <c r="G685" s="290" t="n">
        <v>76.93000000000001</v>
      </c>
      <c r="H685" s="302">
        <f>ROUND(F685*G685,2)</f>
        <v/>
      </c>
      <c r="I685" s="314" t="n"/>
    </row>
    <row r="686">
      <c r="A686" s="300" t="n">
        <v>670</v>
      </c>
      <c r="B686" s="346" t="n"/>
      <c r="C686" s="287" t="inlineStr">
        <is>
          <t>01.7.06.11-0001</t>
        </is>
      </c>
      <c r="D686" s="288" t="inlineStr">
        <is>
          <t>Лента предварительно сжатая, уплотнительная</t>
        </is>
      </c>
      <c r="E686" s="374" t="inlineStr">
        <is>
          <t>10 м</t>
        </is>
      </c>
      <c r="F686" s="374" t="n">
        <v>5.897</v>
      </c>
      <c r="G686" s="290" t="n">
        <v>64.09999999999999</v>
      </c>
      <c r="H686" s="302">
        <f>ROUND(F686*G686,2)</f>
        <v/>
      </c>
    </row>
    <row r="687">
      <c r="A687" s="300" t="n">
        <v>671</v>
      </c>
      <c r="B687" s="346" t="n"/>
      <c r="C687" s="287" t="inlineStr">
        <is>
          <t>Прайс из СД ОП</t>
        </is>
      </c>
      <c r="D687" s="288" t="inlineStr">
        <is>
          <t>Угловой коньковый зажим 100 мм ND2202</t>
        </is>
      </c>
      <c r="E687" s="374" t="inlineStr">
        <is>
          <t>шт.</t>
        </is>
      </c>
      <c r="F687" s="374" t="n">
        <v>20</v>
      </c>
      <c r="G687" s="290" t="n">
        <v>18.82</v>
      </c>
      <c r="H687" s="302">
        <f>ROUND(F687*G687,2)</f>
        <v/>
      </c>
    </row>
    <row r="688" ht="25.5" customHeight="1" s="248">
      <c r="A688" s="300" t="n">
        <v>672</v>
      </c>
      <c r="B688" s="346" t="n"/>
      <c r="C688" s="287" t="inlineStr">
        <is>
          <t>20.4.04.02-0042</t>
        </is>
      </c>
      <c r="D688" s="288" t="inlineStr">
        <is>
          <t>Щиты распределительные наружной установки ЩРН-12, IP31, размер 265х310х120 мм</t>
        </is>
      </c>
      <c r="E688" s="374" t="inlineStr">
        <is>
          <t>шт</t>
        </is>
      </c>
      <c r="F688" s="374" t="n">
        <v>3</v>
      </c>
      <c r="G688" s="290" t="n">
        <v>124.13</v>
      </c>
      <c r="H688" s="302">
        <f>ROUND(F688*G688,2)</f>
        <v/>
      </c>
    </row>
    <row r="689" ht="25.5" customHeight="1" s="248">
      <c r="A689" s="300" t="n">
        <v>673</v>
      </c>
      <c r="B689" s="346" t="n"/>
      <c r="C689" s="287" t="inlineStr">
        <is>
          <t>05.1.03.09-0016</t>
        </is>
      </c>
      <c r="D689" s="288" t="inlineStr">
        <is>
          <t>Перемычка брусковая 3ПБ16-37-п, бетон B15, объем 0,041 м3, расход арматуры 3,26 кг</t>
        </is>
      </c>
      <c r="E689" s="374" t="inlineStr">
        <is>
          <t>шт</t>
        </is>
      </c>
      <c r="F689" s="374" t="n">
        <v>6</v>
      </c>
      <c r="G689" s="290" t="n">
        <v>61.93</v>
      </c>
      <c r="H689" s="302">
        <f>ROUND(F689*G689,2)</f>
        <v/>
      </c>
    </row>
    <row r="690" ht="51" customHeight="1" s="248">
      <c r="A690" s="300" t="n">
        <v>674</v>
      </c>
      <c r="B690" s="346" t="n"/>
      <c r="C690" s="287" t="inlineStr">
        <is>
          <t>08.2.02.11-0007</t>
        </is>
      </c>
      <c r="D690" s="288" t="inlineStr">
        <is>
          <t>Канат двойной свивки ТК, конструкции 6х19(1+6+12)+1 о.с., оцинкованный, из проволок марки В, маркировочная группа 1770 н/мм2, диаметр 5,5 мм</t>
        </is>
      </c>
      <c r="E690" s="374" t="inlineStr">
        <is>
          <t>10 м</t>
        </is>
      </c>
      <c r="F690" s="374" t="n">
        <v>7.3707</v>
      </c>
      <c r="G690" s="290" t="n">
        <v>50.24</v>
      </c>
      <c r="H690" s="302">
        <f>ROUND(F690*G690,2)</f>
        <v/>
      </c>
    </row>
    <row r="691" ht="38.25" customHeight="1" s="248">
      <c r="A691" s="300" t="n">
        <v>675</v>
      </c>
      <c r="B691" s="346" t="n"/>
      <c r="C691" s="287" t="inlineStr">
        <is>
          <t>24.3.01.02-0021</t>
        </is>
      </c>
      <c r="D691" s="288" t="inlineStr">
        <is>
          <t>Трубы из самозатухающего ПВХ гибкие гофрированные, легкие, с зондом, номинальный внутренний диаметр 16 мм</t>
        </is>
      </c>
      <c r="E691" s="374" t="inlineStr">
        <is>
          <t>м</t>
        </is>
      </c>
      <c r="F691" s="374" t="n">
        <v>230</v>
      </c>
      <c r="G691" s="290" t="n">
        <v>1.61</v>
      </c>
      <c r="H691" s="302">
        <f>ROUND(F691*G691,2)</f>
        <v/>
      </c>
    </row>
    <row r="692">
      <c r="A692" s="300" t="n">
        <v>676</v>
      </c>
      <c r="B692" s="346" t="n"/>
      <c r="C692" s="287" t="inlineStr">
        <is>
          <t>Прайс из СД ОП</t>
        </is>
      </c>
      <c r="D692" s="288" t="inlineStr">
        <is>
          <t>Контактор модульный OptiDin MK63-2020-230AC</t>
        </is>
      </c>
      <c r="E692" s="374" t="inlineStr">
        <is>
          <t>1шт.</t>
        </is>
      </c>
      <c r="F692" s="374" t="n">
        <v>2</v>
      </c>
      <c r="G692" s="290" t="n">
        <v>184.05</v>
      </c>
      <c r="H692" s="302">
        <f>ROUND(F692*G692,2)</f>
        <v/>
      </c>
      <c r="I692" s="314" t="n"/>
    </row>
    <row r="693" ht="25.5" customHeight="1" s="248">
      <c r="A693" s="300" t="n">
        <v>677</v>
      </c>
      <c r="B693" s="346" t="n"/>
      <c r="C693" s="287" t="inlineStr">
        <is>
          <t>19.1.01.03-0076</t>
        </is>
      </c>
      <c r="D693" s="288" t="inlineStr">
        <is>
          <t>Воздуховоды из оцинкованной стали, толщина 0,7 мм, диаметр от 500 до 560 мм</t>
        </is>
      </c>
      <c r="E693" s="374" t="inlineStr">
        <is>
          <t>м2</t>
        </is>
      </c>
      <c r="F693" s="374" t="n">
        <v>3.9407</v>
      </c>
      <c r="G693" s="290" t="n">
        <v>90.67</v>
      </c>
      <c r="H693" s="302">
        <f>ROUND(F693*G693,2)</f>
        <v/>
      </c>
      <c r="I693" s="314" t="n"/>
    </row>
    <row r="694" ht="38.25" customHeight="1" s="248">
      <c r="A694" s="300" t="n">
        <v>678</v>
      </c>
      <c r="B694" s="346" t="n"/>
      <c r="C694" s="287" t="inlineStr">
        <is>
          <t>19.2.03.02-0080</t>
        </is>
      </c>
      <c r="D694" s="288" t="inlineStr">
        <is>
          <t>Решетки вентиляционные, жалюзийные, регулируемые АМН, алюминиевые, размер 150х150 мм</t>
        </is>
      </c>
      <c r="E694" s="374" t="inlineStr">
        <is>
          <t>шт</t>
        </is>
      </c>
      <c r="F694" s="374" t="n">
        <v>6</v>
      </c>
      <c r="G694" s="290" t="n">
        <v>59.36</v>
      </c>
      <c r="H694" s="302">
        <f>ROUND(F694*G694,2)</f>
        <v/>
      </c>
      <c r="I694" s="314" t="n"/>
    </row>
    <row r="695" ht="25.5" customHeight="1" s="248">
      <c r="A695" s="300" t="n">
        <v>679</v>
      </c>
      <c r="B695" s="346" t="n"/>
      <c r="C695" s="287" t="inlineStr">
        <is>
          <t>08.4.03.02-0004</t>
        </is>
      </c>
      <c r="D695" s="288" t="inlineStr">
        <is>
          <t>Сталь арматурная, горячекатаная, гладкая, класс А-I, диаметр 12 мм</t>
        </is>
      </c>
      <c r="E695" s="374" t="inlineStr">
        <is>
          <t>т</t>
        </is>
      </c>
      <c r="F695" s="374" t="n">
        <v>0.0545</v>
      </c>
      <c r="G695" s="290" t="n">
        <v>6508.75</v>
      </c>
      <c r="H695" s="302">
        <f>ROUND(F695*G695,2)</f>
        <v/>
      </c>
      <c r="I695" s="314" t="n"/>
    </row>
    <row r="696">
      <c r="A696" s="300" t="n">
        <v>680</v>
      </c>
      <c r="B696" s="346" t="n"/>
      <c r="C696" s="287" t="inlineStr">
        <is>
          <t>14.1.02.04-0101</t>
        </is>
      </c>
      <c r="D696" s="288" t="inlineStr">
        <is>
          <t>Клей-мастика Бустилат</t>
        </is>
      </c>
      <c r="E696" s="374" t="inlineStr">
        <is>
          <t>т</t>
        </is>
      </c>
      <c r="F696" s="374" t="n">
        <v>0.0313</v>
      </c>
      <c r="G696" s="290" t="n">
        <v>11300</v>
      </c>
      <c r="H696" s="302">
        <f>ROUND(F696*G696,2)</f>
        <v/>
      </c>
      <c r="I696" s="314" t="n"/>
    </row>
    <row r="697">
      <c r="A697" s="300" t="n">
        <v>681</v>
      </c>
      <c r="B697" s="346" t="n"/>
      <c r="C697" s="287" t="inlineStr">
        <is>
          <t>Прайс из СД ОП</t>
        </is>
      </c>
      <c r="D697" s="288" t="inlineStr">
        <is>
          <t>Клемма винтовая, 35 мм2 М35/16</t>
        </is>
      </c>
      <c r="E697" s="374" t="inlineStr">
        <is>
          <t>шт.</t>
        </is>
      </c>
      <c r="F697" s="374" t="n">
        <v>12</v>
      </c>
      <c r="G697" s="290" t="n">
        <v>29.12</v>
      </c>
      <c r="H697" s="302">
        <f>ROUND(F697*G697,2)</f>
        <v/>
      </c>
      <c r="I697" s="314" t="n"/>
    </row>
    <row r="698">
      <c r="A698" s="300" t="n">
        <v>682</v>
      </c>
      <c r="B698" s="346" t="n"/>
      <c r="C698" s="287" t="inlineStr">
        <is>
          <t>01.7.15.14-0022</t>
        </is>
      </c>
      <c r="D698" s="288" t="inlineStr">
        <is>
          <t>Шурупы для ГВЛ 3,9х30</t>
        </is>
      </c>
      <c r="E698" s="374" t="inlineStr">
        <is>
          <t>100 шт</t>
        </is>
      </c>
      <c r="F698" s="374" t="n">
        <v>87.256</v>
      </c>
      <c r="G698" s="290" t="n">
        <v>4</v>
      </c>
      <c r="H698" s="302">
        <f>ROUND(F698*G698,2)</f>
        <v/>
      </c>
      <c r="I698" s="314" t="n"/>
    </row>
    <row r="699">
      <c r="A699" s="300" t="n">
        <v>683</v>
      </c>
      <c r="B699" s="346" t="n"/>
      <c r="C699" s="287" t="inlineStr">
        <is>
          <t>Прайс из СД ОП</t>
        </is>
      </c>
      <c r="D699" s="288" t="inlineStr">
        <is>
          <t xml:space="preserve">Кронштейн ТС.04 </t>
        </is>
      </c>
      <c r="E699" s="374" t="inlineStr">
        <is>
          <t>шт.</t>
        </is>
      </c>
      <c r="F699" s="374" t="n">
        <v>12</v>
      </c>
      <c r="G699" s="290" t="n">
        <v>28.16</v>
      </c>
      <c r="H699" s="302">
        <f>ROUND(F699*G699,2)</f>
        <v/>
      </c>
      <c r="I699" s="314" t="n"/>
    </row>
    <row r="700">
      <c r="A700" s="300" t="n">
        <v>684</v>
      </c>
      <c r="B700" s="346" t="n"/>
      <c r="C700" s="287" t="inlineStr">
        <is>
          <t>01.3.02.03-0001</t>
        </is>
      </c>
      <c r="D700" s="288" t="inlineStr">
        <is>
          <t>Ацетилен газообразный технический</t>
        </is>
      </c>
      <c r="E700" s="374" t="inlineStr">
        <is>
          <t>м3</t>
        </is>
      </c>
      <c r="F700" s="374" t="n">
        <v>8.43</v>
      </c>
      <c r="G700" s="290" t="n">
        <v>38.51</v>
      </c>
      <c r="H700" s="302">
        <f>ROUND(F700*G700,2)</f>
        <v/>
      </c>
      <c r="I700" s="314" t="n"/>
    </row>
    <row r="701" ht="38.25" customHeight="1" s="248">
      <c r="A701" s="300" t="n">
        <v>685</v>
      </c>
      <c r="B701" s="346" t="n"/>
      <c r="C701" s="287" t="inlineStr">
        <is>
          <t>18.2.02.05-0006</t>
        </is>
      </c>
      <c r="D701" s="288" t="inlineStr">
        <is>
          <t>Мойки стальные эмалированные на одно отделение с одной чашей, c креплениями МСКЦ со смесителем пластмассовым бутылочным сифоном</t>
        </is>
      </c>
      <c r="E701" s="374" t="inlineStr">
        <is>
          <t>компл</t>
        </is>
      </c>
      <c r="F701" s="374" t="n">
        <v>1</v>
      </c>
      <c r="G701" s="290" t="n">
        <v>318.19</v>
      </c>
      <c r="H701" s="302">
        <f>ROUND(F701*G701,2)</f>
        <v/>
      </c>
      <c r="I701" s="314" t="n"/>
    </row>
    <row r="702">
      <c r="A702" s="300" t="n">
        <v>686</v>
      </c>
      <c r="B702" s="346" t="n"/>
      <c r="C702" s="287" t="inlineStr">
        <is>
          <t>18.2.01.06-0001</t>
        </is>
      </c>
      <c r="D702" s="288" t="inlineStr">
        <is>
          <t>Унитаз-компакт «Комфорт»</t>
        </is>
      </c>
      <c r="E702" s="374" t="inlineStr">
        <is>
          <t>компл</t>
        </is>
      </c>
      <c r="F702" s="374" t="n">
        <v>1</v>
      </c>
      <c r="G702" s="290" t="n">
        <v>318</v>
      </c>
      <c r="H702" s="302">
        <f>ROUND(F702*G702,2)</f>
        <v/>
      </c>
      <c r="I702" s="314" t="n"/>
    </row>
    <row r="703">
      <c r="A703" s="300" t="n">
        <v>687</v>
      </c>
      <c r="B703" s="346" t="n"/>
      <c r="C703" s="287" t="inlineStr">
        <is>
          <t>01.7.15.07-0082</t>
        </is>
      </c>
      <c r="D703" s="288" t="inlineStr">
        <is>
          <t>Дюбель-гвозди, размер 6х39 мм</t>
        </is>
      </c>
      <c r="E703" s="374" t="inlineStr">
        <is>
          <t>100 шт</t>
        </is>
      </c>
      <c r="F703" s="374" t="n">
        <v>4.5396</v>
      </c>
      <c r="G703" s="290" t="n">
        <v>70</v>
      </c>
      <c r="H703" s="302">
        <f>ROUND(F703*G703,2)</f>
        <v/>
      </c>
      <c r="I703" s="314" t="n"/>
    </row>
    <row r="704" ht="25.5" customHeight="1" s="248">
      <c r="A704" s="300" t="n">
        <v>688</v>
      </c>
      <c r="B704" s="346" t="n"/>
      <c r="C704" s="287" t="inlineStr">
        <is>
          <t>01.7.16.02-0001</t>
        </is>
      </c>
      <c r="D704" s="288" t="inlineStr">
        <is>
          <t>Детали деревянные лесов из пиломатериалов хвойных пород</t>
        </is>
      </c>
      <c r="E704" s="374" t="inlineStr">
        <is>
          <t>м3</t>
        </is>
      </c>
      <c r="F704" s="374" t="n">
        <v>0.2879</v>
      </c>
      <c r="G704" s="290" t="n">
        <v>1100</v>
      </c>
      <c r="H704" s="302">
        <f>ROUND(F704*G704,2)</f>
        <v/>
      </c>
      <c r="I704" s="314" t="n"/>
    </row>
    <row r="705" ht="38.25" customHeight="1" s="248">
      <c r="A705" s="300" t="n">
        <v>689</v>
      </c>
      <c r="B705" s="346" t="n"/>
      <c r="C705" s="287" t="inlineStr">
        <is>
          <t>05.2.02.01-0040</t>
        </is>
      </c>
      <c r="D705" s="288" t="inlineStr">
        <is>
          <t>Блоки бетонные для стен подвалов полнотелые ФБС12-4-3-Т, бетон B7,5 (М100, объем 0,127 м3, расход арматуры 0,74 кг</t>
        </is>
      </c>
      <c r="E705" s="374" t="inlineStr">
        <is>
          <t>шт</t>
        </is>
      </c>
      <c r="F705" s="374" t="n">
        <v>4</v>
      </c>
      <c r="G705" s="290" t="n">
        <v>78.73999999999999</v>
      </c>
      <c r="H705" s="302">
        <f>ROUND(F705*G705,2)</f>
        <v/>
      </c>
      <c r="I705" s="314" t="n"/>
    </row>
    <row r="706" ht="25.5" customHeight="1" s="248">
      <c r="A706" s="300" t="n">
        <v>690</v>
      </c>
      <c r="B706" s="346" t="n"/>
      <c r="C706" s="287" t="inlineStr">
        <is>
          <t>Прайс из СД ОП</t>
        </is>
      </c>
      <c r="D706" s="288" t="inlineStr">
        <is>
          <t>Автоматический выключатель трехполюсный, OptiDin BM63-3С63</t>
        </is>
      </c>
      <c r="E706" s="374" t="inlineStr">
        <is>
          <t>шт.</t>
        </is>
      </c>
      <c r="F706" s="374" t="n">
        <v>4</v>
      </c>
      <c r="G706" s="290" t="n">
        <v>77.51000000000001</v>
      </c>
      <c r="H706" s="302">
        <f>ROUND(F706*G706,2)</f>
        <v/>
      </c>
      <c r="I706" s="314" t="n"/>
    </row>
    <row r="707">
      <c r="A707" s="300" t="n">
        <v>691</v>
      </c>
      <c r="B707" s="346" t="n"/>
      <c r="C707" s="287" t="inlineStr">
        <is>
          <t>01.7.11.07-0045</t>
        </is>
      </c>
      <c r="D707" s="288" t="inlineStr">
        <is>
          <t>Электроды сварочные Э42А, диаметр 5 мм</t>
        </is>
      </c>
      <c r="E707" s="374" t="inlineStr">
        <is>
          <t>т</t>
        </is>
      </c>
      <c r="F707" s="374" t="n">
        <v>0.0288</v>
      </c>
      <c r="G707" s="290" t="n">
        <v>10362</v>
      </c>
      <c r="H707" s="302">
        <f>ROUND(F707*G707,2)</f>
        <v/>
      </c>
      <c r="I707" s="314" t="n"/>
    </row>
    <row r="708" ht="25.5" customHeight="1" s="248">
      <c r="A708" s="300" t="n">
        <v>692</v>
      </c>
      <c r="B708" s="346" t="n"/>
      <c r="C708" s="287" t="inlineStr">
        <is>
          <t>05.1.08.07-0003</t>
        </is>
      </c>
      <c r="D708" s="288" t="inlineStr">
        <is>
          <t>Плиты опорные ОП 4.4-Т, бетон B15, объем 0,02 м3, расход арматуры 1,6 кг</t>
        </is>
      </c>
      <c r="E708" s="374" t="inlineStr">
        <is>
          <t>шт</t>
        </is>
      </c>
      <c r="F708" s="374" t="n">
        <v>8</v>
      </c>
      <c r="G708" s="290" t="n">
        <v>37.24</v>
      </c>
      <c r="H708" s="302">
        <f>ROUND(F708*G708,2)</f>
        <v/>
      </c>
      <c r="I708" s="314" t="n"/>
    </row>
    <row r="709" customFormat="1" s="299">
      <c r="A709" s="300" t="n">
        <v>693</v>
      </c>
      <c r="B709" s="346" t="n"/>
      <c r="C709" s="287" t="inlineStr">
        <is>
          <t>Прайс из СД ОП</t>
        </is>
      </c>
      <c r="D709" s="288" t="inlineStr">
        <is>
          <t>Полоса крепёжная 0,5х15, 1250 мм</t>
        </is>
      </c>
      <c r="E709" s="374" t="inlineStr">
        <is>
          <t>шт.</t>
        </is>
      </c>
      <c r="F709" s="374" t="n">
        <v>60</v>
      </c>
      <c r="G709" s="290" t="n">
        <v>4.92</v>
      </c>
      <c r="H709" s="302">
        <f>ROUND(F709*G709,2)</f>
        <v/>
      </c>
      <c r="I709" s="314" t="n"/>
    </row>
    <row r="710" ht="25.5" customHeight="1" s="248">
      <c r="A710" s="300" t="n">
        <v>694</v>
      </c>
      <c r="B710" s="346" t="n"/>
      <c r="C710" s="287" t="inlineStr">
        <is>
          <t>Прайс из СД ОП</t>
        </is>
      </c>
      <c r="D710" s="288" t="inlineStr">
        <is>
          <t>Коробка распределительная на 4 ввода, 60х40 мм круглая, IP55, Tyco 60х40</t>
        </is>
      </c>
      <c r="E710" s="374" t="inlineStr">
        <is>
          <t>шт.</t>
        </is>
      </c>
      <c r="F710" s="374" t="n">
        <v>102</v>
      </c>
      <c r="G710" s="290" t="n">
        <v>2.88</v>
      </c>
      <c r="H710" s="302">
        <f>ROUND(F710*G710,2)</f>
        <v/>
      </c>
      <c r="I710" s="314" t="n"/>
    </row>
    <row r="711">
      <c r="A711" s="300" t="n">
        <v>695</v>
      </c>
      <c r="B711" s="346" t="n"/>
      <c r="C711" s="287" t="inlineStr">
        <is>
          <t>20.5.04.03-0011</t>
        </is>
      </c>
      <c r="D711" s="288" t="inlineStr">
        <is>
          <t>Зажимы наборные</t>
        </is>
      </c>
      <c r="E711" s="374" t="inlineStr">
        <is>
          <t>шт</t>
        </is>
      </c>
      <c r="F711" s="374" t="n">
        <v>83.64</v>
      </c>
      <c r="G711" s="290" t="n">
        <v>3.5</v>
      </c>
      <c r="H711" s="302">
        <f>ROUND(F711*G711,2)</f>
        <v/>
      </c>
      <c r="I711" s="314" t="n"/>
      <c r="K711" s="307" t="n"/>
    </row>
    <row r="712">
      <c r="A712" s="300" t="n">
        <v>696</v>
      </c>
      <c r="B712" s="346" t="n"/>
      <c r="C712" s="287" t="inlineStr">
        <is>
          <t>03.1.02.03-0011</t>
        </is>
      </c>
      <c r="D712" s="288" t="inlineStr">
        <is>
          <t>Известь строительная негашеная комовая, сорт I</t>
        </is>
      </c>
      <c r="E712" s="374" t="inlineStr">
        <is>
          <t>т</t>
        </is>
      </c>
      <c r="F712" s="374" t="n">
        <v>0.3983</v>
      </c>
      <c r="G712" s="290" t="n">
        <v>734.5</v>
      </c>
      <c r="H712" s="302">
        <f>ROUND(F712*G712,2)</f>
        <v/>
      </c>
      <c r="I712" s="314" t="n"/>
      <c r="K712" s="307" t="n"/>
    </row>
    <row r="713" ht="63.75" customHeight="1" s="248">
      <c r="A713" s="300" t="n">
        <v>697</v>
      </c>
      <c r="B713" s="346" t="n"/>
      <c r="C713" s="287" t="inlineStr">
        <is>
          <t>19.3.01.06-0001</t>
        </is>
      </c>
      <c r="D713" s="288" t="inlineStr">
        <is>
          <t>Клапаны воздушные полипропиленовые для невентилируемых канализационных стояков с резиновой мембраной, двойной изолированной стенкой, уменьшителем, защитной сеткой, диаметр 50, 75, 110 мм</t>
        </is>
      </c>
      <c r="E713" s="374" t="inlineStr">
        <is>
          <t>шт</t>
        </is>
      </c>
      <c r="F713" s="374" t="n">
        <v>1</v>
      </c>
      <c r="G713" s="290" t="n">
        <v>291.59</v>
      </c>
      <c r="H713" s="302">
        <f>ROUND(F713*G713,2)</f>
        <v/>
      </c>
      <c r="I713" s="314" t="n"/>
      <c r="K713" s="307" t="n"/>
    </row>
    <row r="714" ht="25.5" customHeight="1" s="248">
      <c r="A714" s="300" t="n">
        <v>698</v>
      </c>
      <c r="B714" s="346" t="n"/>
      <c r="C714" s="287" t="inlineStr">
        <is>
          <t>19.2.03.02-0109</t>
        </is>
      </c>
      <c r="D714" s="288" t="inlineStr">
        <is>
          <t>Решетки вентиляционные алюминиевые "АРКТОС" типа: АМР, размером 100х400 мм</t>
        </is>
      </c>
      <c r="E714" s="374" t="inlineStr">
        <is>
          <t>шт</t>
        </is>
      </c>
      <c r="F714" s="374" t="n">
        <v>2</v>
      </c>
      <c r="G714" s="290" t="n">
        <v>143.88</v>
      </c>
      <c r="H714" s="302">
        <f>ROUND(F714*G714,2)</f>
        <v/>
      </c>
      <c r="I714" s="314" t="n"/>
    </row>
    <row r="715" ht="25.5" customHeight="1" s="248">
      <c r="A715" s="300" t="n">
        <v>699</v>
      </c>
      <c r="B715" s="346" t="n"/>
      <c r="C715" s="287" t="inlineStr">
        <is>
          <t>Прайс из СД ОП</t>
        </is>
      </c>
      <c r="D715" s="288" t="inlineStr">
        <is>
          <t>Автоматический выключатель однополюсный, OptiDin BM63-1С16</t>
        </is>
      </c>
      <c r="E715" s="374" t="inlineStr">
        <is>
          <t>шт.</t>
        </is>
      </c>
      <c r="F715" s="374" t="n">
        <v>16</v>
      </c>
      <c r="G715" s="290" t="n">
        <v>17.46</v>
      </c>
      <c r="H715" s="302">
        <f>ROUND(F715*G715,2)</f>
        <v/>
      </c>
      <c r="I715" s="314" t="n"/>
    </row>
    <row r="716" ht="25.5" customHeight="1" s="248">
      <c r="A716" s="300" t="n">
        <v>700</v>
      </c>
      <c r="B716" s="346" t="n"/>
      <c r="C716" s="287" t="inlineStr">
        <is>
          <t>Прайс из СД ОП</t>
        </is>
      </c>
      <c r="D716" s="288" t="inlineStr">
        <is>
          <t>Выключатель одноклавишный скрытой установки, 10 А, IP20 Legrand Valena, арт. 774401</t>
        </is>
      </c>
      <c r="E716" s="374" t="inlineStr">
        <is>
          <t>шт.</t>
        </is>
      </c>
      <c r="F716" s="374" t="n">
        <v>16</v>
      </c>
      <c r="G716" s="290" t="n">
        <v>17.18</v>
      </c>
      <c r="H716" s="302">
        <f>ROUND(F716*G716,2)</f>
        <v/>
      </c>
      <c r="I716" s="314" t="n"/>
    </row>
    <row r="717">
      <c r="A717" s="300" t="n">
        <v>701</v>
      </c>
      <c r="B717" s="346" t="n"/>
      <c r="C717" s="287" t="inlineStr">
        <is>
          <t>Прайс из СД ОП</t>
        </is>
      </c>
      <c r="D717" s="288" t="inlineStr">
        <is>
          <t xml:space="preserve">Рейка краевая алюминиевая Технониколь </t>
        </is>
      </c>
      <c r="E717" s="374" t="inlineStr">
        <is>
          <t>м</t>
        </is>
      </c>
      <c r="F717" s="374" t="n">
        <v>27</v>
      </c>
      <c r="G717" s="290" t="n">
        <v>10.15</v>
      </c>
      <c r="H717" s="302">
        <f>ROUND(F717*G717,2)</f>
        <v/>
      </c>
      <c r="I717" s="314" t="n"/>
    </row>
    <row r="718">
      <c r="A718" s="300" t="n">
        <v>702</v>
      </c>
      <c r="B718" s="346" t="n"/>
      <c r="C718" s="287" t="inlineStr">
        <is>
          <t>11.1.03.01-0003</t>
        </is>
      </c>
      <c r="D718" s="288" t="inlineStr">
        <is>
          <t>Бруски деревянные, размер 75х50 мм</t>
        </is>
      </c>
      <c r="E718" s="374" t="inlineStr">
        <is>
          <t>м</t>
        </is>
      </c>
      <c r="F718" s="374" t="n">
        <v>43.66</v>
      </c>
      <c r="G718" s="290" t="n">
        <v>6.26</v>
      </c>
      <c r="H718" s="302">
        <f>ROUND(F718*G718,2)</f>
        <v/>
      </c>
      <c r="I718" s="314" t="n"/>
    </row>
    <row r="719" ht="25.5" customHeight="1" s="248">
      <c r="A719" s="300" t="n">
        <v>703</v>
      </c>
      <c r="B719" s="346" t="n"/>
      <c r="C719" s="287" t="inlineStr">
        <is>
          <t>01.1.02.08-0001</t>
        </is>
      </c>
      <c r="D719" s="288" t="inlineStr">
        <is>
          <t>Прокладки из паронита ПМБ, толщина 1 мм, диаметр 50 мм</t>
        </is>
      </c>
      <c r="E719" s="374" t="inlineStr">
        <is>
          <t>1000 шт</t>
        </is>
      </c>
      <c r="F719" s="374" t="n">
        <v>0.079</v>
      </c>
      <c r="G719" s="290" t="n">
        <v>3450</v>
      </c>
      <c r="H719" s="302">
        <f>ROUND(F719*G719,2)</f>
        <v/>
      </c>
      <c r="I719" s="314" t="n"/>
    </row>
    <row r="720" ht="25.5" customHeight="1" s="248">
      <c r="A720" s="300" t="n">
        <v>704</v>
      </c>
      <c r="B720" s="346" t="n"/>
      <c r="C720" s="287" t="inlineStr">
        <is>
          <t>11.1.03.01-0077</t>
        </is>
      </c>
      <c r="D720" s="288" t="inlineStr">
        <is>
          <t>Бруски обрезные, хвойных пород, длина 4-6,5 м, ширина 75-150 мм, толщина 40-75 мм, сорт I</t>
        </is>
      </c>
      <c r="E720" s="374" t="inlineStr">
        <is>
          <t>м3</t>
        </is>
      </c>
      <c r="F720" s="374" t="n">
        <v>0.16</v>
      </c>
      <c r="G720" s="290" t="n">
        <v>1700</v>
      </c>
      <c r="H720" s="302">
        <f>ROUND(F720*G720,2)</f>
        <v/>
      </c>
      <c r="I720" s="314" t="n"/>
    </row>
    <row r="721">
      <c r="A721" s="300" t="n">
        <v>705</v>
      </c>
      <c r="B721" s="346" t="n"/>
      <c r="C721" s="287" t="inlineStr">
        <is>
          <t>Прайс из СД ОП</t>
        </is>
      </c>
      <c r="D721" s="288" t="inlineStr">
        <is>
          <t>Наружная решетка CG 160</t>
        </is>
      </c>
      <c r="E721" s="374" t="inlineStr">
        <is>
          <t>шт.</t>
        </is>
      </c>
      <c r="F721" s="374" t="n">
        <v>2</v>
      </c>
      <c r="G721" s="290" t="n">
        <v>131.14</v>
      </c>
      <c r="H721" s="302">
        <f>ROUND(F721*G721,2)</f>
        <v/>
      </c>
      <c r="I721" s="314" t="n"/>
    </row>
    <row r="722" ht="25.5" customHeight="1" s="248">
      <c r="A722" s="300" t="n">
        <v>706</v>
      </c>
      <c r="B722" s="346" t="n"/>
      <c r="C722" s="287" t="inlineStr">
        <is>
          <t>14.4.01.21-0001</t>
        </is>
      </c>
      <c r="D722" s="288" t="inlineStr">
        <is>
          <t>Грунт-эмаль антикоррозионная быстросохнущая, трехслойное покрытие по ржавчине, цвет серый</t>
        </is>
      </c>
      <c r="E722" s="374" t="inlineStr">
        <is>
          <t>кг</t>
        </is>
      </c>
      <c r="F722" s="374" t="n">
        <v>14.247</v>
      </c>
      <c r="G722" s="290" t="n">
        <v>18.05</v>
      </c>
      <c r="H722" s="302">
        <f>ROUND(F722*G722,2)</f>
        <v/>
      </c>
      <c r="I722" s="314" t="n"/>
    </row>
    <row r="723" ht="51" customHeight="1" s="248">
      <c r="A723" s="300" t="n">
        <v>707</v>
      </c>
      <c r="B723" s="346" t="n"/>
      <c r="C723" s="287" t="inlineStr">
        <is>
          <t>24.3.02.01-0001</t>
        </is>
      </c>
      <c r="D723" s="288" t="inlineStr">
        <is>
          <t>Блок трубопровода полипропиленовый напорный с гильзами и креплениями для холодного и горячего водоснабжения, PPRS, SDR11, номинальное давление 1,0 МПа, размер 16х1,8 мм</t>
        </is>
      </c>
      <c r="E723" s="374" t="inlineStr">
        <is>
          <t>м</t>
        </is>
      </c>
      <c r="F723" s="374" t="n">
        <v>73</v>
      </c>
      <c r="G723" s="290" t="n">
        <v>3.49</v>
      </c>
      <c r="H723" s="302">
        <f>ROUND(F723*G723,2)</f>
        <v/>
      </c>
      <c r="I723" s="314" t="n"/>
    </row>
    <row r="724" ht="63.75" customHeight="1" s="248">
      <c r="A724" s="300" t="n">
        <v>708</v>
      </c>
      <c r="B724" s="346" t="n"/>
      <c r="C724" s="287" t="inlineStr">
        <is>
          <t>18.2.01.05-0009</t>
        </is>
      </c>
      <c r="D724" s="288" t="inlineStr">
        <is>
          <t>Умывальники полуфарфоровые и фарфоровые с краном настольным, кронштейнами, сифоном бутылочным латунным и выпуском, овальные со скрытыми установочными поверхностями без спинки, размер 550х480х150 мм</t>
        </is>
      </c>
      <c r="E724" s="374" t="inlineStr">
        <is>
          <t>компл</t>
        </is>
      </c>
      <c r="F724" s="374" t="n">
        <v>1</v>
      </c>
      <c r="G724" s="290" t="n">
        <v>251.56</v>
      </c>
      <c r="H724" s="302">
        <f>ROUND(F724*G724,2)</f>
        <v/>
      </c>
      <c r="I724" s="314" t="n"/>
    </row>
    <row r="725" ht="25.5" customHeight="1" s="248">
      <c r="A725" s="300" t="n">
        <v>709</v>
      </c>
      <c r="B725" s="346" t="n"/>
      <c r="C725" s="287" t="inlineStr">
        <is>
          <t>Прайс из СД ОП</t>
        </is>
      </c>
      <c r="D725" s="288" t="inlineStr">
        <is>
          <t>Розетка двухклавишная скрытой установки, 16 А, IP20 Legrand Valena, арт. 774420</t>
        </is>
      </c>
      <c r="E725" s="374" t="inlineStr">
        <is>
          <t>шт.</t>
        </is>
      </c>
      <c r="F725" s="374" t="n">
        <v>11</v>
      </c>
      <c r="G725" s="290" t="n">
        <v>22.84</v>
      </c>
      <c r="H725" s="302">
        <f>ROUND(F725*G725,2)</f>
        <v/>
      </c>
      <c r="I725" s="314" t="n"/>
    </row>
    <row r="726" ht="25.5" customFormat="1" customHeight="1" s="299">
      <c r="A726" s="300" t="n">
        <v>710</v>
      </c>
      <c r="B726" s="346" t="n"/>
      <c r="C726" s="287" t="inlineStr">
        <is>
          <t>Прайс из СД ОП</t>
        </is>
      </c>
      <c r="D726" s="288" t="inlineStr">
        <is>
          <t>Переключатель одноклавишный наружной установки, 10 А, IP44 Этюд, арт. ВА10-046В</t>
        </is>
      </c>
      <c r="E726" s="374" t="inlineStr">
        <is>
          <t>шт.</t>
        </is>
      </c>
      <c r="F726" s="374" t="n">
        <v>16</v>
      </c>
      <c r="G726" s="290" t="n">
        <v>15.59</v>
      </c>
      <c r="H726" s="302">
        <f>ROUND(F726*G726,2)</f>
        <v/>
      </c>
      <c r="I726" s="314" t="n"/>
    </row>
    <row r="727" ht="25.5" customHeight="1" s="248">
      <c r="A727" s="300" t="n">
        <v>711</v>
      </c>
      <c r="B727" s="346" t="n"/>
      <c r="C727" s="287" t="inlineStr">
        <is>
          <t>11.1.03.01-0085</t>
        </is>
      </c>
      <c r="D727" s="288" t="inlineStr">
        <is>
          <t>Бруски обрезные, хвойных пород, длина 4-6,5 м, ширина 75-150 мм, толщина 150 мм и более, сорт I</t>
        </is>
      </c>
      <c r="E727" s="374" t="inlineStr">
        <is>
          <t>м3</t>
        </is>
      </c>
      <c r="F727" s="374" t="n">
        <v>0.1068</v>
      </c>
      <c r="G727" s="290" t="n">
        <v>2308.01</v>
      </c>
      <c r="H727" s="302">
        <f>ROUND(F727*G727,2)</f>
        <v/>
      </c>
      <c r="I727" s="314" t="n"/>
    </row>
    <row r="728">
      <c r="A728" s="300" t="n">
        <v>712</v>
      </c>
      <c r="B728" s="346" t="n"/>
      <c r="C728" s="287" t="inlineStr">
        <is>
          <t>Прайс из СД ОП</t>
        </is>
      </c>
      <c r="D728" s="288" t="inlineStr">
        <is>
          <t>Монтажный хомут Канал-МК-315</t>
        </is>
      </c>
      <c r="E728" s="374" t="inlineStr">
        <is>
          <t>шт.</t>
        </is>
      </c>
      <c r="F728" s="374" t="n">
        <v>7</v>
      </c>
      <c r="G728" s="290" t="n">
        <v>35.03</v>
      </c>
      <c r="H728" s="302">
        <f>ROUND(F728*G728,2)</f>
        <v/>
      </c>
      <c r="I728" s="314" t="n"/>
      <c r="K728" s="307" t="n"/>
    </row>
    <row r="729">
      <c r="A729" s="300" t="n">
        <v>713</v>
      </c>
      <c r="B729" s="346" t="n"/>
      <c r="C729" s="287" t="inlineStr">
        <is>
          <t>14.4.03.03-0002</t>
        </is>
      </c>
      <c r="D729" s="288" t="inlineStr">
        <is>
          <t>Лак битумный БТ-123</t>
        </is>
      </c>
      <c r="E729" s="374" t="inlineStr">
        <is>
          <t>т</t>
        </is>
      </c>
      <c r="F729" s="374" t="n">
        <v>0.0312</v>
      </c>
      <c r="G729" s="290" t="n">
        <v>7826.9</v>
      </c>
      <c r="H729" s="302">
        <f>ROUND(F729*G729,2)</f>
        <v/>
      </c>
      <c r="I729" s="314" t="n"/>
      <c r="K729" s="307" t="n"/>
    </row>
    <row r="730" ht="25.5" customHeight="1" s="248">
      <c r="A730" s="300" t="n">
        <v>714</v>
      </c>
      <c r="B730" s="346" t="n"/>
      <c r="C730" s="287" t="inlineStr">
        <is>
          <t>Прайс из СД ОП</t>
        </is>
      </c>
      <c r="D730" s="288" t="inlineStr">
        <is>
          <t>Рамка скрытая однопостовая,  Legrand Valena, арт. 774451</t>
        </is>
      </c>
      <c r="E730" s="374" t="inlineStr">
        <is>
          <t>шт.</t>
        </is>
      </c>
      <c r="F730" s="374" t="n">
        <v>41</v>
      </c>
      <c r="G730" s="290" t="n">
        <v>5.85</v>
      </c>
      <c r="H730" s="302">
        <f>ROUND(F730*G730,2)</f>
        <v/>
      </c>
      <c r="I730" s="314" t="n"/>
      <c r="K730" s="307" t="n"/>
    </row>
    <row r="731" ht="25.5" customHeight="1" s="248">
      <c r="A731" s="300" t="n">
        <v>715</v>
      </c>
      <c r="B731" s="346" t="n"/>
      <c r="C731" s="287" t="inlineStr">
        <is>
          <t>08.3.08.02-0051</t>
        </is>
      </c>
      <c r="D731" s="288" t="inlineStr">
        <is>
          <t>Уголок горячекатаный, марка стали ВСт3кп2, размер 25х25х3 мм</t>
        </is>
      </c>
      <c r="E731" s="374" t="inlineStr">
        <is>
          <t>т</t>
        </is>
      </c>
      <c r="F731" s="374" t="n">
        <v>0.03969</v>
      </c>
      <c r="G731" s="290" t="n">
        <v>6031.1</v>
      </c>
      <c r="H731" s="302">
        <f>ROUND(F731*G731,2)</f>
        <v/>
      </c>
    </row>
    <row r="732" ht="25.5" customHeight="1" s="248">
      <c r="A732" s="300" t="n">
        <v>716</v>
      </c>
      <c r="B732" s="346" t="n"/>
      <c r="C732" s="287" t="inlineStr">
        <is>
          <t>Прайс из СД ОП</t>
        </is>
      </c>
      <c r="D732" s="288" t="inlineStr">
        <is>
          <t xml:space="preserve">Пост светозвуковой сигнализации "ГАЗ! НЕ ВХОДИТЬ"  Уличного исполнения  ЛЮКС-24-К CH </t>
        </is>
      </c>
      <c r="E732" s="374" t="inlineStr">
        <is>
          <t>шт.</t>
        </is>
      </c>
      <c r="F732" s="374" t="n">
        <v>4</v>
      </c>
      <c r="G732" s="290" t="n">
        <v>59.54</v>
      </c>
      <c r="H732" s="302">
        <f>ROUND(F732*G732,2)</f>
        <v/>
      </c>
    </row>
    <row r="733">
      <c r="A733" s="300" t="n">
        <v>717</v>
      </c>
      <c r="B733" s="346" t="n"/>
      <c r="C733" s="287" t="inlineStr">
        <is>
          <t>01.2.01.02-0054</t>
        </is>
      </c>
      <c r="D733" s="288" t="inlineStr">
        <is>
          <t>Битумы нефтяные строительные БН-90/10</t>
        </is>
      </c>
      <c r="E733" s="374" t="inlineStr">
        <is>
          <t>т</t>
        </is>
      </c>
      <c r="F733" s="374" t="n">
        <v>0.172</v>
      </c>
      <c r="G733" s="290" t="n">
        <v>1383.1</v>
      </c>
      <c r="H733" s="302">
        <f>ROUND(F733*G733,2)</f>
        <v/>
      </c>
    </row>
    <row r="734">
      <c r="A734" s="300" t="n">
        <v>718</v>
      </c>
      <c r="B734" s="346" t="n"/>
      <c r="C734" s="287" t="inlineStr">
        <is>
          <t>01.3.01.01-0001</t>
        </is>
      </c>
      <c r="D734" s="288" t="inlineStr">
        <is>
          <t>Бензин авиационный Б-70</t>
        </is>
      </c>
      <c r="E734" s="374" t="inlineStr">
        <is>
          <t>т</t>
        </is>
      </c>
      <c r="F734" s="374" t="n">
        <v>0.0529</v>
      </c>
      <c r="G734" s="290" t="n">
        <v>4488.4</v>
      </c>
      <c r="H734" s="302">
        <f>ROUND(F734*G734,2)</f>
        <v/>
      </c>
    </row>
    <row r="735">
      <c r="A735" s="300" t="n">
        <v>719</v>
      </c>
      <c r="B735" s="346" t="n"/>
      <c r="C735" s="287" t="inlineStr">
        <is>
          <t>Прайс из СД ОП</t>
        </is>
      </c>
      <c r="D735" s="288" t="inlineStr">
        <is>
          <t xml:space="preserve">Пост светозвуковой сигнализации "ГАЗ! НЕ ВХОДИТЬ"  </t>
        </is>
      </c>
      <c r="E735" s="374" t="inlineStr">
        <is>
          <t>шт.</t>
        </is>
      </c>
      <c r="F735" s="374" t="n">
        <v>4</v>
      </c>
      <c r="G735" s="290" t="n">
        <v>59.18</v>
      </c>
      <c r="H735" s="302">
        <f>ROUND(F735*G735,2)</f>
        <v/>
      </c>
    </row>
    <row r="736" ht="25.5" customHeight="1" s="248">
      <c r="A736" s="300" t="n">
        <v>720</v>
      </c>
      <c r="B736" s="346" t="n"/>
      <c r="C736" s="287" t="inlineStr">
        <is>
          <t>Прайс из СД ОП</t>
        </is>
      </c>
      <c r="D736" s="288" t="inlineStr">
        <is>
          <t xml:space="preserve">Автоматический выключатель трехполюсный, OptiDin BM63-3С20  </t>
        </is>
      </c>
      <c r="E736" s="374" t="inlineStr">
        <is>
          <t>шт.</t>
        </is>
      </c>
      <c r="F736" s="374" t="n">
        <v>4</v>
      </c>
      <c r="G736" s="290" t="n">
        <v>58.38</v>
      </c>
      <c r="H736" s="302">
        <f>ROUND(F736*G736,2)</f>
        <v/>
      </c>
    </row>
    <row r="737" ht="25.5" customHeight="1" s="248">
      <c r="A737" s="300" t="n">
        <v>721</v>
      </c>
      <c r="B737" s="346" t="n"/>
      <c r="C737" s="287" t="inlineStr">
        <is>
          <t>11.1.03.01-0080</t>
        </is>
      </c>
      <c r="D737" s="288" t="inlineStr">
        <is>
          <t>Бруски обрезные, хвойных пород, длина 4-6,5 м, ширина 75-150 мм, толщина 40-75 мм, сорт IV</t>
        </is>
      </c>
      <c r="E737" s="374" t="inlineStr">
        <is>
          <t>м3</t>
        </is>
      </c>
      <c r="F737" s="374" t="n">
        <v>0.2208</v>
      </c>
      <c r="G737" s="290" t="n">
        <v>1056</v>
      </c>
      <c r="H737" s="302">
        <f>ROUND(F737*G737,2)</f>
        <v/>
      </c>
    </row>
    <row r="738">
      <c r="A738" s="300" t="n">
        <v>722</v>
      </c>
      <c r="B738" s="346" t="n"/>
      <c r="C738" s="287" t="inlineStr">
        <is>
          <t>07.2.07.13-0171</t>
        </is>
      </c>
      <c r="D738" s="288" t="inlineStr">
        <is>
          <t>Подкладки металлические</t>
        </is>
      </c>
      <c r="E738" s="374" t="inlineStr">
        <is>
          <t>кг</t>
        </is>
      </c>
      <c r="F738" s="374" t="n">
        <v>18.2</v>
      </c>
      <c r="G738" s="290" t="n">
        <v>12.6</v>
      </c>
      <c r="H738" s="302">
        <f>ROUND(F738*G738,2)</f>
        <v/>
      </c>
    </row>
    <row r="739" ht="25.5" customHeight="1" s="248">
      <c r="A739" s="300" t="n">
        <v>723</v>
      </c>
      <c r="B739" s="346" t="n"/>
      <c r="C739" s="287" t="inlineStr">
        <is>
          <t>Прайс из СД ОП</t>
        </is>
      </c>
      <c r="D739" s="288" t="inlineStr">
        <is>
          <t>Автоматический выключатель трехполюсный, OptiDin BM63-3С10</t>
        </is>
      </c>
      <c r="E739" s="374" t="inlineStr">
        <is>
          <t>шт.</t>
        </is>
      </c>
      <c r="F739" s="374" t="n">
        <v>4</v>
      </c>
      <c r="G739" s="290" t="n">
        <v>56.56</v>
      </c>
      <c r="H739" s="302">
        <f>ROUND(F739*G739,2)</f>
        <v/>
      </c>
    </row>
    <row r="740">
      <c r="A740" s="300" t="n">
        <v>724</v>
      </c>
      <c r="B740" s="346" t="n"/>
      <c r="C740" s="287" t="inlineStr">
        <is>
          <t>01.7.03.04-0001</t>
        </is>
      </c>
      <c r="D740" s="288" t="inlineStr">
        <is>
          <t>Электроэнергия</t>
        </is>
      </c>
      <c r="E740" s="374" t="inlineStr">
        <is>
          <t>кВт-ч</t>
        </is>
      </c>
      <c r="F740" s="374" t="n">
        <v>564.96</v>
      </c>
      <c r="G740" s="290" t="n">
        <v>0.4</v>
      </c>
      <c r="H740" s="302">
        <f>ROUND(F740*G740,2)</f>
        <v/>
      </c>
    </row>
    <row r="741" ht="25.5" customHeight="1" s="248">
      <c r="A741" s="300" t="n">
        <v>725</v>
      </c>
      <c r="B741" s="346" t="n"/>
      <c r="C741" s="287" t="inlineStr">
        <is>
          <t>01.7.06.01-0042</t>
        </is>
      </c>
      <c r="D741" s="288" t="inlineStr">
        <is>
          <t>Лента эластичная самоклеящаяся для профилей направляющих 50/30000 мм</t>
        </is>
      </c>
      <c r="E741" s="374" t="inlineStr">
        <is>
          <t>м</t>
        </is>
      </c>
      <c r="F741" s="374" t="n">
        <v>376.4</v>
      </c>
      <c r="G741" s="290" t="n">
        <v>0.6</v>
      </c>
      <c r="H741" s="302">
        <f>ROUND(F741*G741,2)</f>
        <v/>
      </c>
      <c r="I741" s="314" t="n"/>
    </row>
    <row r="742">
      <c r="A742" s="300" t="n">
        <v>726</v>
      </c>
      <c r="B742" s="346" t="n"/>
      <c r="C742" s="287" t="inlineStr">
        <is>
          <t>Прайс из СД ОП</t>
        </is>
      </c>
      <c r="D742" s="288" t="inlineStr">
        <is>
          <t xml:space="preserve">Заклепки 4,8х8 </t>
        </is>
      </c>
      <c r="E742" s="374" t="inlineStr">
        <is>
          <t>шт.</t>
        </is>
      </c>
      <c r="F742" s="374" t="n">
        <v>1500</v>
      </c>
      <c r="G742" s="290" t="n">
        <v>0.15</v>
      </c>
      <c r="H742" s="302">
        <f>ROUND(F742*G742,2)</f>
        <v/>
      </c>
      <c r="I742" s="314" t="n"/>
    </row>
    <row r="743">
      <c r="A743" s="300" t="n">
        <v>727</v>
      </c>
      <c r="B743" s="346" t="n"/>
      <c r="C743" s="287" t="inlineStr">
        <is>
          <t>20.2.08.05-0017</t>
        </is>
      </c>
      <c r="D743" s="288" t="inlineStr">
        <is>
          <t>Профиль монтажный</t>
        </is>
      </c>
      <c r="E743" s="374" t="inlineStr">
        <is>
          <t>шт</t>
        </is>
      </c>
      <c r="F743" s="374" t="n">
        <v>3.355</v>
      </c>
      <c r="G743" s="290" t="n">
        <v>66.81999999999999</v>
      </c>
      <c r="H743" s="302">
        <f>ROUND(F743*G743,2)</f>
        <v/>
      </c>
      <c r="I743" s="314" t="n"/>
    </row>
    <row r="744">
      <c r="A744" s="300" t="n">
        <v>728</v>
      </c>
      <c r="B744" s="346" t="n"/>
      <c r="C744" s="287" t="inlineStr">
        <is>
          <t>Прайс из СД ОП</t>
        </is>
      </c>
      <c r="D744" s="288" t="inlineStr">
        <is>
          <t xml:space="preserve">Смеситель См-ДшДРНТр </t>
        </is>
      </c>
      <c r="E744" s="374" t="inlineStr">
        <is>
          <t>шт.</t>
        </is>
      </c>
      <c r="F744" s="374" t="n">
        <v>1</v>
      </c>
      <c r="G744" s="290" t="n">
        <v>223.7</v>
      </c>
      <c r="H744" s="302">
        <f>ROUND(F744*G744,2)</f>
        <v/>
      </c>
      <c r="I744" s="314" t="n"/>
    </row>
    <row r="745">
      <c r="A745" s="300" t="n">
        <v>729</v>
      </c>
      <c r="B745" s="346" t="n"/>
      <c r="C745" s="287" t="inlineStr">
        <is>
          <t>Прайс из СД ОП</t>
        </is>
      </c>
      <c r="D745" s="288" t="inlineStr">
        <is>
          <t xml:space="preserve">Наружная решетка CG 100 </t>
        </is>
      </c>
      <c r="E745" s="374" t="inlineStr">
        <is>
          <t>шт.</t>
        </is>
      </c>
      <c r="F745" s="374" t="n">
        <v>3</v>
      </c>
      <c r="G745" s="290" t="n">
        <v>73.73999999999999</v>
      </c>
      <c r="H745" s="302">
        <f>ROUND(F745*G745,2)</f>
        <v/>
      </c>
      <c r="I745" s="314" t="n"/>
    </row>
    <row r="746">
      <c r="A746" s="300" t="n">
        <v>730</v>
      </c>
      <c r="B746" s="346" t="n"/>
      <c r="C746" s="287" t="inlineStr">
        <is>
          <t>01.8.01.07-0001</t>
        </is>
      </c>
      <c r="D746" s="288" t="inlineStr">
        <is>
          <t>Стекло жидкое калийное</t>
        </is>
      </c>
      <c r="E746" s="374" t="inlineStr">
        <is>
          <t>т</t>
        </is>
      </c>
      <c r="F746" s="374" t="n">
        <v>0.0806</v>
      </c>
      <c r="G746" s="290" t="n">
        <v>2734.6</v>
      </c>
      <c r="H746" s="302">
        <f>ROUND(F746*G746,2)</f>
        <v/>
      </c>
      <c r="I746" s="314" t="n"/>
    </row>
    <row r="747">
      <c r="A747" s="300" t="n">
        <v>731</v>
      </c>
      <c r="B747" s="346" t="n"/>
      <c r="C747" s="287" t="inlineStr">
        <is>
          <t>14.5.09.04-0115</t>
        </is>
      </c>
      <c r="D747" s="288" t="inlineStr">
        <is>
          <t>Отвердитель амино-фенольный</t>
        </is>
      </c>
      <c r="E747" s="374" t="inlineStr">
        <is>
          <t>кг</t>
        </is>
      </c>
      <c r="F747" s="374" t="n">
        <v>4.5345</v>
      </c>
      <c r="G747" s="290" t="n">
        <v>48.6</v>
      </c>
      <c r="H747" s="302">
        <f>ROUND(F747*G747,2)</f>
        <v/>
      </c>
      <c r="I747" s="314" t="n"/>
    </row>
    <row r="748">
      <c r="A748" s="300" t="n">
        <v>732</v>
      </c>
      <c r="B748" s="346" t="n"/>
      <c r="C748" s="287" t="inlineStr">
        <is>
          <t>08.3.03.05-0002</t>
        </is>
      </c>
      <c r="D748" s="288" t="inlineStr">
        <is>
          <t>Проволока канатная оцинкованная, диаметр 3 мм</t>
        </is>
      </c>
      <c r="E748" s="374" t="inlineStr">
        <is>
          <t>т</t>
        </is>
      </c>
      <c r="F748" s="374" t="n">
        <v>0.0268</v>
      </c>
      <c r="G748" s="290" t="n">
        <v>8190</v>
      </c>
      <c r="H748" s="302">
        <f>ROUND(F748*G748,2)</f>
        <v/>
      </c>
      <c r="I748" s="314" t="n"/>
    </row>
    <row r="749" ht="25.5" customHeight="1" s="248">
      <c r="A749" s="300" t="n">
        <v>733</v>
      </c>
      <c r="B749" s="346" t="n"/>
      <c r="C749" s="287" t="inlineStr">
        <is>
          <t>01.7.06.04-0002</t>
        </is>
      </c>
      <c r="D749" s="288" t="inlineStr">
        <is>
          <t>Лента бумажная для повышения трещиностойкости стыков ГКЛ и ГВЛ</t>
        </is>
      </c>
      <c r="E749" s="374" t="inlineStr">
        <is>
          <t>м</t>
        </is>
      </c>
      <c r="F749" s="374" t="n">
        <v>1275.61</v>
      </c>
      <c r="G749" s="290" t="n">
        <v>0.17</v>
      </c>
      <c r="H749" s="302">
        <f>ROUND(F749*G749,2)</f>
        <v/>
      </c>
      <c r="I749" s="314" t="n"/>
    </row>
    <row r="750">
      <c r="A750" s="300" t="n">
        <v>734</v>
      </c>
      <c r="B750" s="346" t="n"/>
      <c r="C750" s="287" t="inlineStr">
        <is>
          <t>11.3.03.15-0021</t>
        </is>
      </c>
      <c r="D750" s="288" t="inlineStr">
        <is>
          <t>Клинья пластиковые монтажные</t>
        </is>
      </c>
      <c r="E750" s="374" t="inlineStr">
        <is>
          <t>100 шт</t>
        </is>
      </c>
      <c r="F750" s="374" t="n">
        <v>4.336</v>
      </c>
      <c r="G750" s="290" t="n">
        <v>50</v>
      </c>
      <c r="H750" s="302">
        <f>ROUND(F750*G750,2)</f>
        <v/>
      </c>
      <c r="I750" s="314" t="n"/>
    </row>
    <row r="751" ht="25.5" customHeight="1" s="248">
      <c r="A751" s="300" t="n">
        <v>735</v>
      </c>
      <c r="B751" s="346" t="n"/>
      <c r="C751" s="287" t="inlineStr">
        <is>
          <t>Прайс из СД ОП</t>
        </is>
      </c>
      <c r="D751" s="288" t="inlineStr">
        <is>
          <t xml:space="preserve">Рамка скрытая однопостовая,  Legrand Valena, арт. 774451 </t>
        </is>
      </c>
      <c r="E751" s="374" t="inlineStr">
        <is>
          <t>шт.</t>
        </is>
      </c>
      <c r="F751" s="374" t="n">
        <v>37</v>
      </c>
      <c r="G751" s="290" t="n">
        <v>5.85</v>
      </c>
      <c r="H751" s="302">
        <f>ROUND(F751*G751,2)</f>
        <v/>
      </c>
      <c r="I751" s="314" t="n"/>
    </row>
    <row r="752" ht="25.5" customHeight="1" s="248">
      <c r="A752" s="300" t="n">
        <v>736</v>
      </c>
      <c r="B752" s="346" t="n"/>
      <c r="C752" s="287" t="inlineStr">
        <is>
          <t>04.1.02.05-0004</t>
        </is>
      </c>
      <c r="D752" s="288" t="inlineStr">
        <is>
          <t>Смеси бетонные тяжелого бетона (БСТ), класс В10 (М150)</t>
        </is>
      </c>
      <c r="E752" s="374" t="inlineStr">
        <is>
          <t>м3</t>
        </is>
      </c>
      <c r="F752" s="374" t="n">
        <v>0.4416</v>
      </c>
      <c r="G752" s="290" t="n">
        <v>490</v>
      </c>
      <c r="H752" s="302">
        <f>ROUND(F752*G752,2)</f>
        <v/>
      </c>
      <c r="I752" s="314" t="n"/>
    </row>
    <row r="753" ht="25.5" customHeight="1" s="248">
      <c r="A753" s="300" t="n">
        <v>737</v>
      </c>
      <c r="B753" s="346" t="n"/>
      <c r="C753" s="287" t="inlineStr">
        <is>
          <t>03.2.01.01-0001</t>
        </is>
      </c>
      <c r="D753" s="288" t="inlineStr">
        <is>
          <t>Портландцемент общестроительного назначения бездобавочный М400 Д0 (ЦЕМ I 32,5Н)</t>
        </is>
      </c>
      <c r="E753" s="374" t="inlineStr">
        <is>
          <t>т</t>
        </is>
      </c>
      <c r="F753" s="374" t="n">
        <v>0.521</v>
      </c>
      <c r="G753" s="290" t="n">
        <v>412</v>
      </c>
      <c r="H753" s="302">
        <f>ROUND(F753*G753,2)</f>
        <v/>
      </c>
      <c r="I753" s="314" t="n"/>
    </row>
    <row r="754" ht="25.5" customHeight="1" s="248">
      <c r="A754" s="300" t="n">
        <v>738</v>
      </c>
      <c r="B754" s="346" t="n"/>
      <c r="C754" s="287" t="inlineStr">
        <is>
          <t>05.1.07.28-0066</t>
        </is>
      </c>
      <c r="D754" s="288" t="inlineStr">
        <is>
          <t>Ступени железобетонные лестничные ЛСВ 14, бетон B15, объем 0,046 м3, расход арматуры 0,89 кг</t>
        </is>
      </c>
      <c r="E754" s="374" t="inlineStr">
        <is>
          <t>шт</t>
        </is>
      </c>
      <c r="F754" s="374" t="n">
        <v>3</v>
      </c>
      <c r="G754" s="290" t="n">
        <v>71.37</v>
      </c>
      <c r="H754" s="302">
        <f>ROUND(F754*G754,2)</f>
        <v/>
      </c>
      <c r="I754" s="314" t="n"/>
    </row>
    <row r="755" ht="25.5" customHeight="1" s="248">
      <c r="A755" s="300" t="n">
        <v>739</v>
      </c>
      <c r="B755" s="346" t="n"/>
      <c r="C755" s="287" t="inlineStr">
        <is>
          <t>Прайс из СД ОП</t>
        </is>
      </c>
      <c r="D755" s="288" t="inlineStr">
        <is>
          <t>Розетка двухклавишная наружной установки, 16 А, IP44 Этюд, арт. РА16-044В</t>
        </is>
      </c>
      <c r="E755" s="374" t="inlineStr">
        <is>
          <t>шт.</t>
        </is>
      </c>
      <c r="F755" s="374" t="n">
        <v>13</v>
      </c>
      <c r="G755" s="290" t="n">
        <v>16.34</v>
      </c>
      <c r="H755" s="302">
        <f>ROUND(F755*G755,2)</f>
        <v/>
      </c>
      <c r="I755" s="314" t="n"/>
    </row>
    <row r="756" ht="25.5" customHeight="1" s="248">
      <c r="A756" s="300" t="n">
        <v>740</v>
      </c>
      <c r="B756" s="346" t="n"/>
      <c r="C756" s="287" t="inlineStr">
        <is>
          <t>19.1.04.01-0032</t>
        </is>
      </c>
      <c r="D756" s="288" t="inlineStr">
        <is>
          <t>Дефлекторы вытяжные цилиндрические, тип ЦАГИ № 4, диаметр патрубка 315 мм</t>
        </is>
      </c>
      <c r="E756" s="374" t="inlineStr">
        <is>
          <t>шт</t>
        </is>
      </c>
      <c r="F756" s="374" t="n">
        <v>1</v>
      </c>
      <c r="G756" s="290" t="n">
        <v>210.2</v>
      </c>
      <c r="H756" s="302">
        <f>ROUND(F756*G756,2)</f>
        <v/>
      </c>
      <c r="I756" s="314" t="n"/>
    </row>
    <row r="757" ht="25.5" customHeight="1" s="248">
      <c r="A757" s="300" t="n">
        <v>741</v>
      </c>
      <c r="B757" s="346" t="n"/>
      <c r="C757" s="287" t="inlineStr">
        <is>
          <t>19.1.04.01-0032</t>
        </is>
      </c>
      <c r="D757" s="288" t="inlineStr">
        <is>
          <t>Дефлекторы вытяжные цилиндрические, тип ЦАГИ № 4, диаметр патрубка 355 мм</t>
        </is>
      </c>
      <c r="E757" s="374" t="inlineStr">
        <is>
          <t>шт</t>
        </is>
      </c>
      <c r="F757" s="374" t="n">
        <v>1</v>
      </c>
      <c r="G757" s="290" t="n">
        <v>210.2</v>
      </c>
      <c r="H757" s="302">
        <f>ROUND(F757*G757,2)</f>
        <v/>
      </c>
      <c r="I757" s="314" t="n"/>
    </row>
    <row r="758" ht="25.5" customFormat="1" customHeight="1" s="299">
      <c r="A758" s="300" t="n">
        <v>742</v>
      </c>
      <c r="B758" s="346" t="n"/>
      <c r="C758" s="287" t="inlineStr">
        <is>
          <t>21.1.06.09-0153</t>
        </is>
      </c>
      <c r="D758" s="288" t="inlineStr">
        <is>
          <t>Кабель силовой с медными жилами ВВГнг(A)-LS 3х4-660</t>
        </is>
      </c>
      <c r="E758" s="374" t="inlineStr">
        <is>
          <t>1000 м</t>
        </is>
      </c>
      <c r="F758" s="374" t="n">
        <v>0.0204</v>
      </c>
      <c r="G758" s="290" t="n">
        <v>10296.33</v>
      </c>
      <c r="H758" s="302">
        <f>ROUND(F758*G758,2)</f>
        <v/>
      </c>
      <c r="I758" s="314" t="n"/>
    </row>
    <row r="759">
      <c r="A759" s="300" t="n">
        <v>743</v>
      </c>
      <c r="B759" s="346" t="n"/>
      <c r="C759" s="287" t="inlineStr">
        <is>
          <t>08.3.05.05-0054</t>
        </is>
      </c>
      <c r="D759" s="288" t="inlineStr">
        <is>
          <t>Сталь листовая оцинкованная, толщина 0,8 мм</t>
        </is>
      </c>
      <c r="E759" s="374" t="inlineStr">
        <is>
          <t>т</t>
        </is>
      </c>
      <c r="F759" s="374" t="n">
        <v>0.019</v>
      </c>
      <c r="G759" s="290" t="n">
        <v>11000</v>
      </c>
      <c r="H759" s="302">
        <f>ROUND(F759*G759,2)</f>
        <v/>
      </c>
      <c r="I759" s="314" t="n"/>
    </row>
    <row r="760">
      <c r="A760" s="300" t="n">
        <v>744</v>
      </c>
      <c r="B760" s="346" t="n"/>
      <c r="C760" s="287" t="inlineStr">
        <is>
          <t>Прайс из СД ОП</t>
        </is>
      </c>
      <c r="D760" s="288" t="inlineStr">
        <is>
          <t xml:space="preserve">Зажим крепёжный СР.2-50 </t>
        </is>
      </c>
      <c r="E760" s="374" t="inlineStr">
        <is>
          <t>шт.</t>
        </is>
      </c>
      <c r="F760" s="374" t="n">
        <v>60</v>
      </c>
      <c r="G760" s="290" t="n">
        <v>3.46</v>
      </c>
      <c r="H760" s="302">
        <f>ROUND(F760*G760,2)</f>
        <v/>
      </c>
    </row>
    <row r="761">
      <c r="A761" s="300" t="n">
        <v>745</v>
      </c>
      <c r="B761" s="346" t="n"/>
      <c r="C761" s="287" t="inlineStr">
        <is>
          <t>Прайс из СД ОП</t>
        </is>
      </c>
      <c r="D761" s="288" t="inlineStr">
        <is>
          <t>Решетка декоративная Р25-400х900-С</t>
        </is>
      </c>
      <c r="E761" s="374" t="inlineStr">
        <is>
          <t>шт.</t>
        </is>
      </c>
      <c r="F761" s="374" t="n">
        <v>1</v>
      </c>
      <c r="G761" s="290" t="n">
        <v>202.99</v>
      </c>
      <c r="H761" s="302">
        <f>ROUND(F761*G761,2)</f>
        <v/>
      </c>
    </row>
    <row r="762" ht="25.5" customHeight="1" s="248">
      <c r="A762" s="300" t="n">
        <v>746</v>
      </c>
      <c r="B762" s="346" t="n"/>
      <c r="C762" s="287" t="inlineStr">
        <is>
          <t>20.4.04.02-0046</t>
        </is>
      </c>
      <c r="D762" s="288" t="inlineStr">
        <is>
          <t>Щиты распределительные наружной установки ЩРН-36, IP31, размер 520х310х120 мм</t>
        </is>
      </c>
      <c r="E762" s="374" t="inlineStr">
        <is>
          <t>шт</t>
        </is>
      </c>
      <c r="F762" s="374" t="n">
        <v>1</v>
      </c>
      <c r="G762" s="290" t="n">
        <v>202.07</v>
      </c>
      <c r="H762" s="302">
        <f>ROUND(F762*G762,2)</f>
        <v/>
      </c>
    </row>
    <row r="763" ht="25.5" customHeight="1" s="248">
      <c r="A763" s="300" t="n">
        <v>747</v>
      </c>
      <c r="B763" s="346" t="n"/>
      <c r="C763" s="287" t="inlineStr">
        <is>
          <t>19.2.03.02-0095</t>
        </is>
      </c>
      <c r="D763" s="288" t="inlineStr">
        <is>
          <t>Решетки вентиляционные алюминиевые "АРКТОС" типа: АМН, размером 300х200 мм</t>
        </is>
      </c>
      <c r="E763" s="374" t="inlineStr">
        <is>
          <t>шт</t>
        </is>
      </c>
      <c r="F763" s="374" t="n">
        <v>2</v>
      </c>
      <c r="G763" s="290" t="n">
        <v>100.94</v>
      </c>
      <c r="H763" s="302">
        <f>ROUND(F763*G763,2)</f>
        <v/>
      </c>
    </row>
    <row r="764" ht="51" customHeight="1" s="248">
      <c r="A764" s="300" t="n">
        <v>748</v>
      </c>
      <c r="B764" s="346" t="n"/>
      <c r="C764" s="287" t="inlineStr">
        <is>
          <t>23.8.03.11-0128</t>
        </is>
      </c>
      <c r="D764" s="288" t="inlineStr">
        <is>
          <t>Фланцы стальные плоские приварные с соединительным выступом, марка стали ВСт3сп2, ВСт3сп3, номинальное давление 1 МПа, номинальный диаметр 50 мм</t>
        </is>
      </c>
      <c r="E764" s="374" t="inlineStr">
        <is>
          <t>шт</t>
        </is>
      </c>
      <c r="F764" s="374" t="n">
        <v>4</v>
      </c>
      <c r="G764" s="290" t="n">
        <v>48.28</v>
      </c>
      <c r="H764" s="302">
        <f>ROUND(F764*G764,2)</f>
        <v/>
      </c>
    </row>
    <row r="765">
      <c r="A765" s="300" t="n">
        <v>749</v>
      </c>
      <c r="B765" s="346" t="n"/>
      <c r="C765" s="287" t="inlineStr">
        <is>
          <t>20.2.01.05-0003</t>
        </is>
      </c>
      <c r="D765" s="288" t="inlineStr">
        <is>
          <t>Гильзы кабельные медные ГМ 6</t>
        </is>
      </c>
      <c r="E765" s="374" t="inlineStr">
        <is>
          <t>100 шт</t>
        </is>
      </c>
      <c r="F765" s="374" t="n">
        <v>1.747</v>
      </c>
      <c r="G765" s="290" t="n">
        <v>110</v>
      </c>
      <c r="H765" s="302">
        <f>ROUND(F765*G765,2)</f>
        <v/>
      </c>
    </row>
    <row r="766">
      <c r="A766" s="300" t="n">
        <v>750</v>
      </c>
      <c r="B766" s="346" t="n"/>
      <c r="C766" s="287" t="inlineStr">
        <is>
          <t>20.1.02.20-0001</t>
        </is>
      </c>
      <c r="D766" s="288" t="inlineStr">
        <is>
          <t>Анкер тросовый</t>
        </is>
      </c>
      <c r="E766" s="374" t="inlineStr">
        <is>
          <t>100 шт</t>
        </is>
      </c>
      <c r="F766" s="374" t="n">
        <v>0.064</v>
      </c>
      <c r="G766" s="290" t="n">
        <v>3000</v>
      </c>
      <c r="H766" s="302">
        <f>ROUND(F766*G766,2)</f>
        <v/>
      </c>
      <c r="I766" s="314" t="n"/>
    </row>
    <row r="767" ht="25.5" customHeight="1" s="248">
      <c r="A767" s="300" t="n">
        <v>751</v>
      </c>
      <c r="B767" s="346" t="n"/>
      <c r="C767" s="287" t="inlineStr">
        <is>
          <t>08.4.03.03-0035</t>
        </is>
      </c>
      <c r="D767" s="288" t="inlineStr">
        <is>
          <t>Сталь арматурная, горячекатаная, периодического профиля, класс А-III, диаметр 20-22 мм</t>
        </is>
      </c>
      <c r="E767" s="374" t="inlineStr">
        <is>
          <t>т</t>
        </is>
      </c>
      <c r="F767" s="374" t="n">
        <v>0.02404</v>
      </c>
      <c r="G767" s="290" t="n">
        <v>7917</v>
      </c>
      <c r="H767" s="302">
        <f>ROUND(F767*G767,2)</f>
        <v/>
      </c>
      <c r="I767" s="314" t="n"/>
    </row>
    <row r="768" ht="38.25" customHeight="1" s="248">
      <c r="A768" s="300" t="n">
        <v>752</v>
      </c>
      <c r="B768" s="346" t="n"/>
      <c r="C768" s="287" t="inlineStr">
        <is>
          <t>18.1.09.06-0021</t>
        </is>
      </c>
      <c r="D768" s="288" t="inlineStr">
        <is>
          <t>Кран шаровой 11Б27п1, номинальное давление 1,0 МПа (10 кгс/см2), номинальный диаметр 15 мм, присоединение к трубопроводу муфтовое</t>
        </is>
      </c>
      <c r="E768" s="374" t="inlineStr">
        <is>
          <t>шт</t>
        </is>
      </c>
      <c r="F768" s="374" t="n">
        <v>12</v>
      </c>
      <c r="G768" s="290" t="n">
        <v>15.71</v>
      </c>
      <c r="H768" s="302">
        <f>ROUND(F768*G768,2)</f>
        <v/>
      </c>
      <c r="I768" s="314" t="n"/>
    </row>
    <row r="769">
      <c r="A769" s="300" t="n">
        <v>753</v>
      </c>
      <c r="B769" s="346" t="n"/>
      <c r="C769" s="287" t="inlineStr">
        <is>
          <t>Прайс из СД ОП</t>
        </is>
      </c>
      <c r="D769" s="288" t="inlineStr">
        <is>
          <t>Наконечник медный луженый JG-6</t>
        </is>
      </c>
      <c r="E769" s="374" t="inlineStr">
        <is>
          <t>шт.</t>
        </is>
      </c>
      <c r="F769" s="374" t="n">
        <v>100</v>
      </c>
      <c r="G769" s="290" t="n">
        <v>1.83</v>
      </c>
      <c r="H769" s="302">
        <f>ROUND(F769*G769,2)</f>
        <v/>
      </c>
      <c r="I769" s="314" t="n"/>
    </row>
    <row r="770" ht="25.5" customHeight="1" s="248">
      <c r="A770" s="300" t="n">
        <v>754</v>
      </c>
      <c r="B770" s="346" t="n"/>
      <c r="C770" s="287" t="inlineStr">
        <is>
          <t>19.1.01.01-0021</t>
        </is>
      </c>
      <c r="D770" s="288" t="inlineStr">
        <is>
          <t>Воздуховоды типа: ALUDUCT (POLAR BEAR) неизолированные гибкие диаметром 127 мм</t>
        </is>
      </c>
      <c r="E770" s="374" t="inlineStr">
        <is>
          <t>м2</t>
        </is>
      </c>
      <c r="F770" s="374" t="n">
        <v>2.7475</v>
      </c>
      <c r="G770" s="290" t="n">
        <v>66.31</v>
      </c>
      <c r="H770" s="302">
        <f>ROUND(F770*G770,2)</f>
        <v/>
      </c>
      <c r="I770" s="314" t="n"/>
    </row>
    <row r="771" ht="25.5" customHeight="1" s="248">
      <c r="A771" s="300" t="n">
        <v>755</v>
      </c>
      <c r="B771" s="346" t="n"/>
      <c r="C771" s="287" t="inlineStr">
        <is>
          <t>14.4.02.04-0142</t>
        </is>
      </c>
      <c r="D771" s="288" t="inlineStr">
        <is>
          <t>Краска масляная земляная МА-0115, мумия, сурик железный</t>
        </is>
      </c>
      <c r="E771" s="374" t="inlineStr">
        <is>
          <t>кг</t>
        </is>
      </c>
      <c r="F771" s="374" t="n">
        <v>12.0178</v>
      </c>
      <c r="G771" s="290" t="n">
        <v>15.12</v>
      </c>
      <c r="H771" s="302">
        <f>ROUND(F771*G771,2)</f>
        <v/>
      </c>
      <c r="I771" s="314" t="n"/>
    </row>
    <row r="772" ht="38.25" customHeight="1" s="248">
      <c r="A772" s="300" t="n">
        <v>756</v>
      </c>
      <c r="B772" s="346" t="n"/>
      <c r="C772" s="287" t="inlineStr">
        <is>
          <t>23.3.06.04-0008</t>
        </is>
      </c>
      <c r="D772" s="288" t="inlineStr">
        <is>
          <t>Трубы стальные сварные неоцинкованные водогазопроводные с резьбой, легкие, номинальный диаметр 25 мм, толщина стенки 2,8 мм</t>
        </is>
      </c>
      <c r="E772" s="374" t="inlineStr">
        <is>
          <t>м</t>
        </is>
      </c>
      <c r="F772" s="374" t="n">
        <v>11.7</v>
      </c>
      <c r="G772" s="290" t="n">
        <v>15.33</v>
      </c>
      <c r="H772" s="302">
        <f>ROUND(F772*G772,2)</f>
        <v/>
      </c>
      <c r="I772" s="314" t="n"/>
    </row>
    <row r="773" ht="25.5" customHeight="1" s="248">
      <c r="A773" s="300" t="n">
        <v>757</v>
      </c>
      <c r="B773" s="346" t="n"/>
      <c r="C773" s="287" t="inlineStr">
        <is>
          <t>07.2.06.04-0011</t>
        </is>
      </c>
      <c r="D773" s="288" t="inlineStr">
        <is>
          <t>Верхний уголок для крепления несущих элементов двери 100х123 мм</t>
        </is>
      </c>
      <c r="E773" s="374" t="inlineStr">
        <is>
          <t>100 шт</t>
        </is>
      </c>
      <c r="F773" s="374" t="n">
        <v>0.6405999999999999</v>
      </c>
      <c r="G773" s="290" t="n">
        <v>279</v>
      </c>
      <c r="H773" s="302">
        <f>ROUND(F773*G773,2)</f>
        <v/>
      </c>
      <c r="I773" s="314" t="n"/>
    </row>
    <row r="774" ht="25.5" customHeight="1" s="248">
      <c r="A774" s="300" t="n">
        <v>758</v>
      </c>
      <c r="B774" s="346" t="n"/>
      <c r="C774" s="287" t="inlineStr">
        <is>
          <t>07.2.06.04-0061</t>
        </is>
      </c>
      <c r="D774" s="288" t="inlineStr">
        <is>
          <t>Нижний уголок для крепления несущих элементов двери 100х123 мм</t>
        </is>
      </c>
      <c r="E774" s="374" t="inlineStr">
        <is>
          <t>100 шт</t>
        </is>
      </c>
      <c r="F774" s="374" t="n">
        <v>0.6405999999999999</v>
      </c>
      <c r="G774" s="290" t="n">
        <v>279</v>
      </c>
      <c r="H774" s="302">
        <f>ROUND(F774*G774,2)</f>
        <v/>
      </c>
      <c r="I774" s="314" t="n"/>
    </row>
    <row r="775">
      <c r="A775" s="300" t="n">
        <v>759</v>
      </c>
      <c r="B775" s="346" t="n"/>
      <c r="C775" s="287" t="inlineStr">
        <is>
          <t>02.2.05.04-1822</t>
        </is>
      </c>
      <c r="D775" s="288" t="inlineStr">
        <is>
          <t>Щебень М 1000, фракция 40-80(70) мм, группа 2</t>
        </is>
      </c>
      <c r="E775" s="374" t="inlineStr">
        <is>
          <t>м3</t>
        </is>
      </c>
      <c r="F775" s="374" t="n">
        <v>1.144</v>
      </c>
      <c r="G775" s="290" t="n">
        <v>155.94</v>
      </c>
      <c r="H775" s="302">
        <f>ROUND(F775*G775,2)</f>
        <v/>
      </c>
      <c r="I775" s="314" t="n"/>
    </row>
    <row r="776">
      <c r="A776" s="300" t="n">
        <v>760</v>
      </c>
      <c r="B776" s="346" t="n"/>
      <c r="C776" s="287" t="inlineStr">
        <is>
          <t>01.7.15.10-0052</t>
        </is>
      </c>
      <c r="D776" s="288" t="inlineStr">
        <is>
          <t>Скобы двухлапковые</t>
        </is>
      </c>
      <c r="E776" s="374" t="inlineStr">
        <is>
          <t>10 шт</t>
        </is>
      </c>
      <c r="F776" s="374" t="n">
        <v>15</v>
      </c>
      <c r="G776" s="290" t="n">
        <v>11.89</v>
      </c>
      <c r="H776" s="302">
        <f>ROUND(F776*G776,2)</f>
        <v/>
      </c>
      <c r="I776" s="314" t="n"/>
    </row>
    <row r="777">
      <c r="A777" s="300" t="n">
        <v>761</v>
      </c>
      <c r="B777" s="346" t="n"/>
      <c r="C777" s="287" t="inlineStr">
        <is>
          <t>Прайс из СД ОП</t>
        </is>
      </c>
      <c r="D777" s="288" t="inlineStr">
        <is>
          <t>Монтажный хомут Канал-МК-315</t>
        </is>
      </c>
      <c r="E777" s="374" t="inlineStr">
        <is>
          <t>шт.</t>
        </is>
      </c>
      <c r="F777" s="374" t="n">
        <v>5</v>
      </c>
      <c r="G777" s="290" t="n">
        <v>35.03</v>
      </c>
      <c r="H777" s="302">
        <f>ROUND(F777*G777,2)</f>
        <v/>
      </c>
      <c r="I777" s="314" t="n"/>
    </row>
    <row r="778" ht="25.5" customHeight="1" s="248">
      <c r="A778" s="300" t="n">
        <v>762</v>
      </c>
      <c r="B778" s="346" t="n"/>
      <c r="C778" s="287" t="inlineStr">
        <is>
          <t>05.1.01.13-0043</t>
        </is>
      </c>
      <c r="D778" s="288" t="inlineStr">
        <is>
          <t>Плита железобетонная покрытий, перекрытий и днищ (Плита ИЖ2-36)</t>
        </is>
      </c>
      <c r="E778" s="374" t="inlineStr">
        <is>
          <t>м3</t>
        </is>
      </c>
      <c r="F778" s="374" t="n">
        <v>0.126</v>
      </c>
      <c r="G778" s="290" t="n">
        <v>1382.9</v>
      </c>
      <c r="H778" s="302">
        <f>ROUND(F778*G778,2)</f>
        <v/>
      </c>
      <c r="I778" s="314" t="n"/>
    </row>
    <row r="779">
      <c r="A779" s="300" t="n">
        <v>763</v>
      </c>
      <c r="B779" s="346" t="n"/>
      <c r="C779" s="287" t="inlineStr">
        <is>
          <t>20.5.04.10-0011</t>
        </is>
      </c>
      <c r="D779" s="288" t="inlineStr">
        <is>
          <t>Сжимы соединительные</t>
        </is>
      </c>
      <c r="E779" s="374" t="inlineStr">
        <is>
          <t>100 шт</t>
        </is>
      </c>
      <c r="F779" s="374" t="n">
        <v>1.7344</v>
      </c>
      <c r="G779" s="290" t="n">
        <v>100</v>
      </c>
      <c r="H779" s="302">
        <f>ROUND(F779*G779,2)</f>
        <v/>
      </c>
      <c r="I779" s="314" t="n"/>
    </row>
    <row r="780">
      <c r="A780" s="300" t="n">
        <v>764</v>
      </c>
      <c r="B780" s="346" t="n"/>
      <c r="C780" s="287" t="inlineStr">
        <is>
          <t>Прайс из СД ОП</t>
        </is>
      </c>
      <c r="D780" s="288" t="inlineStr">
        <is>
          <t>Скоба потолочная КЛ-СП УЗ, ТУ 36-13-80</t>
        </is>
      </c>
      <c r="E780" s="374" t="inlineStr">
        <is>
          <t>шт.</t>
        </is>
      </c>
      <c r="F780" s="374" t="n">
        <v>81</v>
      </c>
      <c r="G780" s="290" t="n">
        <v>2.13</v>
      </c>
      <c r="H780" s="302">
        <f>ROUND(F780*G780,2)</f>
        <v/>
      </c>
      <c r="I780" s="314" t="n"/>
    </row>
    <row r="781">
      <c r="A781" s="300" t="n">
        <v>765</v>
      </c>
      <c r="B781" s="346" t="n"/>
      <c r="C781" s="287" t="inlineStr">
        <is>
          <t>Прайс из СД ОП</t>
        </is>
      </c>
      <c r="D781" s="288" t="inlineStr">
        <is>
          <t>Антикоррозийная лента NA1001</t>
        </is>
      </c>
      <c r="E781" s="374" t="inlineStr">
        <is>
          <t>шт.</t>
        </is>
      </c>
      <c r="F781" s="374" t="n">
        <v>1</v>
      </c>
      <c r="G781" s="290" t="n">
        <v>172.33</v>
      </c>
      <c r="H781" s="302">
        <f>ROUND(F781*G781,2)</f>
        <v/>
      </c>
      <c r="I781" s="314" t="n"/>
    </row>
    <row r="782" ht="38.25" customHeight="1" s="248">
      <c r="A782" s="300" t="n">
        <v>766</v>
      </c>
      <c r="B782" s="346" t="n"/>
      <c r="C782" s="287" t="inlineStr">
        <is>
          <t>07.2.06.04-0078</t>
        </is>
      </c>
      <c r="D782" s="288" t="inlineStr">
        <is>
          <t>Подвес профиля стальной, оцинкованный с зажимом пружинный анкерный, для крепления профилей сечение 60х27 мм</t>
        </is>
      </c>
      <c r="E782" s="374" t="inlineStr">
        <is>
          <t>100 шт</t>
        </is>
      </c>
      <c r="F782" s="374" t="n">
        <v>1.3764</v>
      </c>
      <c r="G782" s="290" t="n">
        <v>125</v>
      </c>
      <c r="H782" s="302">
        <f>ROUND(F782*G782,2)</f>
        <v/>
      </c>
      <c r="I782" s="314" t="n"/>
    </row>
    <row r="783" ht="25.5" customFormat="1" customHeight="1" s="299">
      <c r="A783" s="300" t="n">
        <v>767</v>
      </c>
      <c r="B783" s="346" t="n"/>
      <c r="C783" s="287" t="inlineStr">
        <is>
          <t>23.8.03.06-0009</t>
        </is>
      </c>
      <c r="D783" s="288" t="inlineStr">
        <is>
          <t>Сгоны стальные с муфтой и контргайкой, номинальный диаметр 40 мм</t>
        </is>
      </c>
      <c r="E783" s="374" t="inlineStr">
        <is>
          <t>шт</t>
        </is>
      </c>
      <c r="F783" s="374" t="n">
        <v>9</v>
      </c>
      <c r="G783" s="290" t="n">
        <v>18.88</v>
      </c>
      <c r="H783" s="302">
        <f>ROUND(F783*G783,2)</f>
        <v/>
      </c>
      <c r="I783" s="314" t="n"/>
    </row>
    <row r="784">
      <c r="A784" s="300" t="n">
        <v>768</v>
      </c>
      <c r="B784" s="346" t="n"/>
      <c r="C784" s="287" t="inlineStr">
        <is>
          <t>Прайс из СД ОП</t>
        </is>
      </c>
      <c r="D784" s="288" t="inlineStr">
        <is>
          <t>Пускатель магнитный ПМЛ-1500-10А-220АС</t>
        </is>
      </c>
      <c r="E784" s="374" t="inlineStr">
        <is>
          <t>шт.</t>
        </is>
      </c>
      <c r="F784" s="374" t="n">
        <v>1</v>
      </c>
      <c r="G784" s="290" t="n">
        <v>168.31</v>
      </c>
      <c r="H784" s="302">
        <f>ROUND(F784*G784,2)</f>
        <v/>
      </c>
      <c r="I784" s="314" t="n"/>
    </row>
    <row r="785" ht="25.5" customHeight="1" s="248">
      <c r="A785" s="300" t="n">
        <v>769</v>
      </c>
      <c r="B785" s="346" t="n"/>
      <c r="C785" s="287" t="inlineStr">
        <is>
          <t>Прайс из СД ОП</t>
        </is>
      </c>
      <c r="D785" s="288" t="inlineStr">
        <is>
          <t>Автоматический выключатель трехполюсный, OptiDin BM63-3С1</t>
        </is>
      </c>
      <c r="E785" s="374" t="inlineStr">
        <is>
          <t>шт.</t>
        </is>
      </c>
      <c r="F785" s="374" t="n">
        <v>2</v>
      </c>
      <c r="G785" s="290" t="n">
        <v>83.38</v>
      </c>
      <c r="H785" s="302">
        <f>ROUND(F785*G785,2)</f>
        <v/>
      </c>
    </row>
    <row r="786" ht="25.5" customHeight="1" s="248">
      <c r="A786" s="300" t="n">
        <v>770</v>
      </c>
      <c r="B786" s="346" t="n"/>
      <c r="C786" s="287" t="inlineStr">
        <is>
          <t>14.4.01.02-0113</t>
        </is>
      </c>
      <c r="D786" s="288" t="inlineStr">
        <is>
          <t>Грунтовка акриловая, антисептическая, глубокого проникновения</t>
        </is>
      </c>
      <c r="E786" s="374" t="inlineStr">
        <is>
          <t>кг</t>
        </is>
      </c>
      <c r="F786" s="374" t="n">
        <v>10.89</v>
      </c>
      <c r="G786" s="290" t="n">
        <v>15.25</v>
      </c>
      <c r="H786" s="302">
        <f>ROUND(F786*G786,2)</f>
        <v/>
      </c>
    </row>
    <row r="787" ht="25.5" customHeight="1" s="248">
      <c r="A787" s="300" t="n">
        <v>771</v>
      </c>
      <c r="B787" s="346" t="n"/>
      <c r="C787" s="287" t="inlineStr">
        <is>
          <t>19.1.05.04-0002</t>
        </is>
      </c>
      <c r="D787" s="288" t="inlineStr">
        <is>
          <t>Диффузоры потолочные пластиковые веерные, диаметр 125 мм</t>
        </is>
      </c>
      <c r="E787" s="374" t="inlineStr">
        <is>
          <t>шт</t>
        </is>
      </c>
      <c r="F787" s="374" t="n">
        <v>5</v>
      </c>
      <c r="G787" s="290" t="n">
        <v>32.8</v>
      </c>
      <c r="H787" s="302">
        <f>ROUND(F787*G787,2)</f>
        <v/>
      </c>
    </row>
    <row r="788">
      <c r="A788" s="300" t="n">
        <v>772</v>
      </c>
      <c r="B788" s="346" t="n"/>
      <c r="C788" s="287" t="inlineStr">
        <is>
          <t>11.2.13.04-0012</t>
        </is>
      </c>
      <c r="D788" s="288" t="inlineStr">
        <is>
          <t>Щиты из досок, толщина 40 мм</t>
        </is>
      </c>
      <c r="E788" s="374" t="inlineStr">
        <is>
          <t>м2</t>
        </is>
      </c>
      <c r="F788" s="374" t="n">
        <v>2.826</v>
      </c>
      <c r="G788" s="290" t="n">
        <v>57.63</v>
      </c>
      <c r="H788" s="302">
        <f>ROUND(F788*G788,2)</f>
        <v/>
      </c>
    </row>
    <row r="789" ht="25.5" customHeight="1" s="248">
      <c r="A789" s="300" t="n">
        <v>773</v>
      </c>
      <c r="B789" s="346" t="n"/>
      <c r="C789" s="287" t="inlineStr">
        <is>
          <t>20.2.10.03-0002</t>
        </is>
      </c>
      <c r="D789" s="288" t="inlineStr">
        <is>
          <t>Наконечники кабельные медные для электротехнических установок</t>
        </is>
      </c>
      <c r="E789" s="374" t="inlineStr">
        <is>
          <t>100 шт</t>
        </is>
      </c>
      <c r="F789" s="374" t="n">
        <v>0.0408</v>
      </c>
      <c r="G789" s="290" t="n">
        <v>3986</v>
      </c>
      <c r="H789" s="302">
        <f>ROUND(F789*G789,2)</f>
        <v/>
      </c>
    </row>
    <row r="790">
      <c r="A790" s="300" t="n">
        <v>774</v>
      </c>
      <c r="B790" s="346" t="n"/>
      <c r="C790" s="287" t="inlineStr">
        <is>
          <t>02.2.05.04-1577</t>
        </is>
      </c>
      <c r="D790" s="288" t="inlineStr">
        <is>
          <t>Щебень М 800, фракция 5(3)-10 мм, группа 2</t>
        </is>
      </c>
      <c r="E790" s="374" t="inlineStr">
        <is>
          <t>м3</t>
        </is>
      </c>
      <c r="F790" s="374" t="n">
        <v>1.03</v>
      </c>
      <c r="G790" s="290" t="n">
        <v>155.94</v>
      </c>
      <c r="H790" s="302">
        <f>ROUND(F790*G790,2)</f>
        <v/>
      </c>
    </row>
    <row r="791" ht="25.5" customHeight="1" s="248">
      <c r="A791" s="300" t="n">
        <v>775</v>
      </c>
      <c r="B791" s="346" t="n"/>
      <c r="C791" s="287" t="inlineStr">
        <is>
          <t>Прайс из СД ОП</t>
        </is>
      </c>
      <c r="D791" s="288" t="inlineStr">
        <is>
          <t>Автоматический выключатель однополюсный, OptiDin BM63-1С6</t>
        </is>
      </c>
      <c r="E791" s="374" t="inlineStr">
        <is>
          <t>шт.</t>
        </is>
      </c>
      <c r="F791" s="374" t="n">
        <v>7</v>
      </c>
      <c r="G791" s="290" t="n">
        <v>22.77</v>
      </c>
      <c r="H791" s="302">
        <f>ROUND(F791*G791,2)</f>
        <v/>
      </c>
      <c r="I791" s="314" t="n"/>
    </row>
    <row r="792">
      <c r="A792" s="300" t="n">
        <v>776</v>
      </c>
      <c r="B792" s="346" t="n"/>
      <c r="C792" s="287" t="inlineStr">
        <is>
          <t>01.7.06.02-0002</t>
        </is>
      </c>
      <c r="D792" s="288" t="inlineStr">
        <is>
          <t>Лента бутиловая диффузионная</t>
        </is>
      </c>
      <c r="E792" s="374" t="inlineStr">
        <is>
          <t>м</t>
        </is>
      </c>
      <c r="F792" s="374" t="n">
        <v>19.85</v>
      </c>
      <c r="G792" s="290" t="n">
        <v>7.95</v>
      </c>
      <c r="H792" s="302">
        <f>ROUND(F792*G792,2)</f>
        <v/>
      </c>
      <c r="I792" s="314" t="n"/>
    </row>
    <row r="793" ht="25.5" customHeight="1" s="248">
      <c r="A793" s="300" t="n">
        <v>777</v>
      </c>
      <c r="B793" s="346" t="n"/>
      <c r="C793" s="287" t="inlineStr">
        <is>
          <t>Прайс из СД ОП</t>
        </is>
      </c>
      <c r="D793" s="288" t="inlineStr">
        <is>
          <t>Автоматический выключатель однополюсный модульный, Iн=6А, OptiDin BM63-1C6</t>
        </is>
      </c>
      <c r="E793" s="374" t="inlineStr">
        <is>
          <t>шт.</t>
        </is>
      </c>
      <c r="F793" s="374" t="n">
        <v>6</v>
      </c>
      <c r="G793" s="290" t="n">
        <v>26.28</v>
      </c>
      <c r="H793" s="302">
        <f>ROUND(F793*G793,2)</f>
        <v/>
      </c>
      <c r="I793" s="314" t="n"/>
    </row>
    <row r="794">
      <c r="A794" s="300" t="n">
        <v>778</v>
      </c>
      <c r="B794" s="346" t="n"/>
      <c r="C794" s="287" t="inlineStr">
        <is>
          <t>Прайс из СД ОП</t>
        </is>
      </c>
      <c r="D794" s="288" t="inlineStr">
        <is>
          <t xml:space="preserve">Монтажный хомут Канал-МК-200 </t>
        </is>
      </c>
      <c r="E794" s="374" t="inlineStr">
        <is>
          <t>шт.</t>
        </is>
      </c>
      <c r="F794" s="374" t="n">
        <v>5</v>
      </c>
      <c r="G794" s="290" t="n">
        <v>31.15</v>
      </c>
      <c r="H794" s="302">
        <f>ROUND(F794*G794,2)</f>
        <v/>
      </c>
      <c r="I794" s="314" t="n"/>
    </row>
    <row r="795" ht="25.5" customHeight="1" s="248">
      <c r="A795" s="300" t="n">
        <v>779</v>
      </c>
      <c r="B795" s="346" t="n"/>
      <c r="C795" s="287" t="inlineStr">
        <is>
          <t>20.4.04.02-0044</t>
        </is>
      </c>
      <c r="D795" s="288" t="inlineStr">
        <is>
          <t>Щиты распределительные наружной установки ЩРН-18М, IP31, размер 265х440х120 мм</t>
        </is>
      </c>
      <c r="E795" s="374" t="inlineStr">
        <is>
          <t>шт</t>
        </is>
      </c>
      <c r="F795" s="374" t="n">
        <v>1</v>
      </c>
      <c r="G795" s="290" t="n">
        <v>154.11</v>
      </c>
      <c r="H795" s="302">
        <f>ROUND(F795*G795,2)</f>
        <v/>
      </c>
      <c r="I795" s="314" t="n"/>
    </row>
    <row r="796" ht="25.5" customHeight="1" s="248">
      <c r="A796" s="300" t="n">
        <v>780</v>
      </c>
      <c r="B796" s="346" t="n"/>
      <c r="C796" s="287" t="inlineStr">
        <is>
          <t>19.2.03.02-0005</t>
        </is>
      </c>
      <c r="D796" s="288" t="inlineStr">
        <is>
          <t>Решетки вентиляционные АМН, алюминиевые, размер 300х100 мм</t>
        </is>
      </c>
      <c r="E796" s="374" t="inlineStr">
        <is>
          <t>шт</t>
        </is>
      </c>
      <c r="F796" s="374" t="n">
        <v>1</v>
      </c>
      <c r="G796" s="290" t="n">
        <v>149.29</v>
      </c>
      <c r="H796" s="302">
        <f>ROUND(F796*G796,2)</f>
        <v/>
      </c>
      <c r="I796" s="314" t="n"/>
    </row>
    <row r="797">
      <c r="A797" s="300" t="n">
        <v>781</v>
      </c>
      <c r="B797" s="346" t="n"/>
      <c r="C797" s="287" t="inlineStr">
        <is>
          <t>Прайс из СД ОП</t>
        </is>
      </c>
      <c r="D797" s="288" t="inlineStr">
        <is>
          <t>Переключатель OptiSwitch 4G10-53-U-S1-R014</t>
        </is>
      </c>
      <c r="E797" s="374" t="inlineStr">
        <is>
          <t>шт.</t>
        </is>
      </c>
      <c r="F797" s="374" t="n">
        <v>1</v>
      </c>
      <c r="G797" s="290" t="n">
        <v>149.02</v>
      </c>
      <c r="H797" s="302">
        <f>ROUND(F797*G797,2)</f>
        <v/>
      </c>
      <c r="I797" s="314" t="n"/>
    </row>
    <row r="798" ht="25.5" customHeight="1" s="248">
      <c r="A798" s="300" t="n">
        <v>782</v>
      </c>
      <c r="B798" s="346" t="n"/>
      <c r="C798" s="287" t="inlineStr">
        <is>
          <t>Прайс из СД ОП</t>
        </is>
      </c>
      <c r="D798" s="288" t="inlineStr">
        <is>
          <t>Автоматический выключатель дифференциального тока, Iн=32А, OptiDin D63-22С32-A</t>
        </is>
      </c>
      <c r="E798" s="374" t="inlineStr">
        <is>
          <t>шт.</t>
        </is>
      </c>
      <c r="F798" s="374" t="n">
        <v>1</v>
      </c>
      <c r="G798" s="290" t="n">
        <v>143.99</v>
      </c>
      <c r="H798" s="302">
        <f>ROUND(F798*G798,2)</f>
        <v/>
      </c>
      <c r="I798" s="314" t="n"/>
    </row>
    <row r="799" ht="25.5" customHeight="1" s="248">
      <c r="A799" s="300" t="n">
        <v>783</v>
      </c>
      <c r="B799" s="346" t="n"/>
      <c r="C799" s="287" t="inlineStr">
        <is>
          <t>05.1.07.28-0072</t>
        </is>
      </c>
      <c r="D799" s="288" t="inlineStr">
        <is>
          <t>Ступени железобетонные лестничные ЛСН 15, бетон B15, объем 0,034 м3, расход арматуры 0,96 кг</t>
        </is>
      </c>
      <c r="E799" s="374" t="inlineStr">
        <is>
          <t>шт</t>
        </is>
      </c>
      <c r="F799" s="374" t="n">
        <v>2</v>
      </c>
      <c r="G799" s="290" t="n">
        <v>70.86</v>
      </c>
      <c r="H799" s="302">
        <f>ROUND(F799*G799,2)</f>
        <v/>
      </c>
      <c r="I799" s="314" t="n"/>
    </row>
    <row r="800" ht="63.75" customHeight="1" s="248">
      <c r="A800" s="300" t="n">
        <v>784</v>
      </c>
      <c r="B800" s="346" t="n"/>
      <c r="C800" s="287" t="inlineStr">
        <is>
          <t>14.1.06.01-0001</t>
        </is>
      </c>
      <c r="D800" s="288" t="inlineStr">
        <is>
          <t>Смесь сухая для наружных работ мелкозернистая, гипсовая, клеевая, для приклеивания ГКЛ и минераловатных плит, ручного нанесения, прочность на сжатие 2,0 МПа, прочность сцепления с основанием 0,3 МПа, прочность на изгиб 1,0 МПа</t>
        </is>
      </c>
      <c r="E800" s="374" t="inlineStr">
        <is>
          <t>кг</t>
        </is>
      </c>
      <c r="F800" s="374" t="n">
        <v>89.68000000000001</v>
      </c>
      <c r="G800" s="290" t="n">
        <v>1.58</v>
      </c>
      <c r="H800" s="302">
        <f>ROUND(F800*G800,2)</f>
        <v/>
      </c>
      <c r="I800" s="314" t="n"/>
    </row>
    <row r="801" ht="25.5" customHeight="1" s="248">
      <c r="A801" s="300" t="n">
        <v>785</v>
      </c>
      <c r="B801" s="346" t="n"/>
      <c r="C801" s="287" t="inlineStr">
        <is>
          <t>Прайс из СД ОП</t>
        </is>
      </c>
      <c r="D801" s="288" t="inlineStr">
        <is>
          <t>Автоматический выключатель однополюсный, OptiDin BM63-1С10</t>
        </is>
      </c>
      <c r="E801" s="374" t="inlineStr">
        <is>
          <t>шт.</t>
        </is>
      </c>
      <c r="F801" s="374" t="n">
        <v>8</v>
      </c>
      <c r="G801" s="290" t="n">
        <v>17.46</v>
      </c>
      <c r="H801" s="302">
        <f>ROUND(F801*G801,2)</f>
        <v/>
      </c>
      <c r="I801" s="314" t="n"/>
    </row>
    <row r="802">
      <c r="A802" s="300" t="n">
        <v>786</v>
      </c>
      <c r="B802" s="346" t="n"/>
      <c r="C802" s="287" t="inlineStr">
        <is>
          <t>20.2.01.05-0007</t>
        </is>
      </c>
      <c r="D802" s="288" t="inlineStr">
        <is>
          <t>Гильзы кабельные медные ГМ 35</t>
        </is>
      </c>
      <c r="E802" s="374" t="inlineStr">
        <is>
          <t>100 шт</t>
        </is>
      </c>
      <c r="F802" s="374" t="n">
        <v>0.365</v>
      </c>
      <c r="G802" s="290" t="n">
        <v>378</v>
      </c>
      <c r="H802" s="302">
        <f>ROUND(F802*G802,2)</f>
        <v/>
      </c>
      <c r="I802" s="314" t="n"/>
    </row>
    <row r="803" ht="25.5" customHeight="1" s="248">
      <c r="A803" s="300" t="n">
        <v>787</v>
      </c>
      <c r="B803" s="346" t="n"/>
      <c r="C803" s="287" t="inlineStr">
        <is>
          <t>Прайс из СД ОП</t>
        </is>
      </c>
      <c r="D803" s="288" t="inlineStr">
        <is>
          <t>Дифференциальный автомат двухполюсный OptiDin D63 1P+N</t>
        </is>
      </c>
      <c r="E803" s="374" t="inlineStr">
        <is>
          <t>шт.</t>
        </is>
      </c>
      <c r="F803" s="374" t="n">
        <v>1</v>
      </c>
      <c r="G803" s="290" t="n">
        <v>134.46</v>
      </c>
      <c r="H803" s="302">
        <f>ROUND(F803*G803,2)</f>
        <v/>
      </c>
      <c r="I803" s="314" t="n"/>
    </row>
    <row r="804">
      <c r="A804" s="300" t="n">
        <v>788</v>
      </c>
      <c r="B804" s="346" t="n"/>
      <c r="C804" s="287" t="inlineStr">
        <is>
          <t>Прайс из СД ОП</t>
        </is>
      </c>
      <c r="D804" s="288" t="inlineStr">
        <is>
          <t xml:space="preserve">Наружная решетка CG 160 </t>
        </is>
      </c>
      <c r="E804" s="374" t="inlineStr">
        <is>
          <t>шт.</t>
        </is>
      </c>
      <c r="F804" s="374" t="n">
        <v>1</v>
      </c>
      <c r="G804" s="290" t="n">
        <v>131.14</v>
      </c>
      <c r="H804" s="302">
        <f>ROUND(F804*G804,2)</f>
        <v/>
      </c>
      <c r="I804" s="314" t="n"/>
    </row>
    <row r="805" ht="25.5" customHeight="1" s="248">
      <c r="A805" s="300" t="n">
        <v>789</v>
      </c>
      <c r="B805" s="346" t="n"/>
      <c r="C805" s="287" t="inlineStr">
        <is>
          <t>Прайс из СД ОП</t>
        </is>
      </c>
      <c r="D805" s="288" t="inlineStr">
        <is>
          <t>Автоматический выключатель трехполюсный модульный, Iн=16А, OptiDin BM63-3C16</t>
        </is>
      </c>
      <c r="E805" s="374" t="inlineStr">
        <is>
          <t>шт.</t>
        </is>
      </c>
      <c r="F805" s="374" t="n">
        <v>2</v>
      </c>
      <c r="G805" s="290" t="n">
        <v>65.22</v>
      </c>
      <c r="H805" s="302">
        <f>ROUND(F805*G805,2)</f>
        <v/>
      </c>
      <c r="I805" s="314" t="n"/>
    </row>
    <row r="806" ht="25.5" customHeight="1" s="248">
      <c r="A806" s="300" t="n">
        <v>790</v>
      </c>
      <c r="B806" s="346" t="n"/>
      <c r="C806" s="287" t="inlineStr">
        <is>
          <t>Прайс из СД ОП</t>
        </is>
      </c>
      <c r="D806" s="288" t="inlineStr">
        <is>
          <t>Автоматический выключатель трехполюсный, OptiDin BM63-3С32</t>
        </is>
      </c>
      <c r="E806" s="374" t="inlineStr">
        <is>
          <t>шт.</t>
        </is>
      </c>
      <c r="F806" s="374" t="n">
        <v>2</v>
      </c>
      <c r="G806" s="290" t="n">
        <v>64.25</v>
      </c>
      <c r="H806" s="302">
        <f>ROUND(F806*G806,2)</f>
        <v/>
      </c>
      <c r="I806" s="314" t="n"/>
    </row>
    <row r="807" ht="63.75" customHeight="1" s="248">
      <c r="A807" s="300" t="n">
        <v>791</v>
      </c>
      <c r="B807" s="346" t="n"/>
      <c r="C807" s="287" t="inlineStr">
        <is>
          <t>05.1.07.28-0083</t>
        </is>
      </c>
      <c r="D807" s="288" t="inlineStr">
        <is>
          <t>Ступени железобетонные лестничные фризовые (ЛСВ, ЛСВ, ЛСП) и площадочные вкладыши с лицевыми бетонными поверхностями, не требующими дополнительной отделки, бетон B15, расход арматуры 25 кг/м3</t>
        </is>
      </c>
      <c r="E807" s="374" t="inlineStr">
        <is>
          <t>м3</t>
        </is>
      </c>
      <c r="F807" s="374" t="n">
        <v>0.062</v>
      </c>
      <c r="G807" s="290" t="n">
        <v>2062.25</v>
      </c>
      <c r="H807" s="302">
        <f>ROUND(F807*G807,2)</f>
        <v/>
      </c>
      <c r="I807" s="314" t="n"/>
    </row>
    <row r="808" ht="25.5" customFormat="1" customHeight="1" s="299">
      <c r="A808" s="300" t="n">
        <v>792</v>
      </c>
      <c r="B808" s="346" t="n"/>
      <c r="C808" s="287" t="inlineStr">
        <is>
          <t>01.7.15.03-0032</t>
        </is>
      </c>
      <c r="D808" s="288" t="inlineStr">
        <is>
          <t>Болты с гайками и шайбами оцинкованные, диаметр 8 мм</t>
        </is>
      </c>
      <c r="E808" s="374" t="inlineStr">
        <is>
          <t>кг</t>
        </is>
      </c>
      <c r="F808" s="374" t="n">
        <v>4.732</v>
      </c>
      <c r="G808" s="290" t="n">
        <v>26.94</v>
      </c>
      <c r="H808" s="302">
        <f>ROUND(F808*G808,2)</f>
        <v/>
      </c>
      <c r="I808" s="314" t="n"/>
    </row>
    <row r="809" ht="25.5" customHeight="1" s="248">
      <c r="A809" s="300" t="n">
        <v>793</v>
      </c>
      <c r="B809" s="346" t="n"/>
      <c r="C809" s="287" t="inlineStr">
        <is>
          <t>Прайс из СД ОП</t>
        </is>
      </c>
      <c r="D809" s="288" t="inlineStr">
        <is>
          <t>Автоматический выключатель дифференциального тока, Iн=16А, OptiDin D63-22С16-A</t>
        </is>
      </c>
      <c r="E809" s="374" t="inlineStr">
        <is>
          <t>шт.</t>
        </is>
      </c>
      <c r="F809" s="374" t="n">
        <v>1</v>
      </c>
      <c r="G809" s="290" t="n">
        <v>125.42</v>
      </c>
      <c r="H809" s="302">
        <f>ROUND(F809*G809,2)</f>
        <v/>
      </c>
      <c r="I809" s="314" t="n"/>
    </row>
    <row r="810">
      <c r="A810" s="300" t="n">
        <v>794</v>
      </c>
      <c r="B810" s="346" t="n"/>
      <c r="C810" s="287" t="inlineStr">
        <is>
          <t>Прайс из СД ОП</t>
        </is>
      </c>
      <c r="D810" s="288" t="inlineStr">
        <is>
          <t>Клемма винтовая, 4 мм2 М4/6</t>
        </is>
      </c>
      <c r="E810" s="374" t="inlineStr">
        <is>
          <t>шт.</t>
        </is>
      </c>
      <c r="F810" s="374" t="n">
        <v>23</v>
      </c>
      <c r="G810" s="290" t="n">
        <v>5.44</v>
      </c>
      <c r="H810" s="302">
        <f>ROUND(F810*G810,2)</f>
        <v/>
      </c>
      <c r="I810" s="314" t="n"/>
      <c r="K810" s="307" t="n"/>
    </row>
    <row r="811" ht="25.5" customHeight="1" s="248">
      <c r="A811" s="300" t="n">
        <v>795</v>
      </c>
      <c r="B811" s="346" t="n"/>
      <c r="C811" s="287" t="inlineStr">
        <is>
          <t>19.2.03.02-0108</t>
        </is>
      </c>
      <c r="D811" s="288" t="inlineStr">
        <is>
          <t>Решетки вентиляционные алюминиевые "АРКТОС" типа: АМР, размером 100х300 мм</t>
        </is>
      </c>
      <c r="E811" s="374" t="inlineStr">
        <is>
          <t>шт</t>
        </is>
      </c>
      <c r="F811" s="374" t="n">
        <v>1</v>
      </c>
      <c r="G811" s="290" t="n">
        <v>123.76</v>
      </c>
      <c r="H811" s="302">
        <f>ROUND(F811*G811,2)</f>
        <v/>
      </c>
      <c r="I811" s="314" t="n"/>
      <c r="K811" s="307" t="n"/>
    </row>
    <row r="812" ht="25.5" customHeight="1" s="248">
      <c r="A812" s="300" t="n">
        <v>796</v>
      </c>
      <c r="B812" s="346" t="n"/>
      <c r="C812" s="287" t="inlineStr">
        <is>
          <t>19.2.03.02-0107</t>
        </is>
      </c>
      <c r="D812" s="288" t="inlineStr">
        <is>
          <t>Решетки вентиляционные алюминиевые "АРКТОС" типа: АМР, размером 100х200 мм</t>
        </is>
      </c>
      <c r="E812" s="374" t="inlineStr">
        <is>
          <t>шт</t>
        </is>
      </c>
      <c r="F812" s="374" t="n">
        <v>1</v>
      </c>
      <c r="G812" s="290" t="n">
        <v>122.4</v>
      </c>
      <c r="H812" s="302">
        <f>ROUND(F812*G812,2)</f>
        <v/>
      </c>
      <c r="I812" s="314" t="n"/>
      <c r="K812" s="307" t="n"/>
    </row>
    <row r="813" ht="25.5" customHeight="1" s="248">
      <c r="A813" s="300" t="n">
        <v>797</v>
      </c>
      <c r="B813" s="346" t="n"/>
      <c r="C813" s="287" t="inlineStr">
        <is>
          <t>08.1.02.11-0023</t>
        </is>
      </c>
      <c r="D813" s="288" t="inlineStr">
        <is>
          <t>Поковки простые строительные (скобы, закрепы, хомуты), масса до 1,6 кг</t>
        </is>
      </c>
      <c r="E813" s="374" t="inlineStr">
        <is>
          <t>кг</t>
        </is>
      </c>
      <c r="F813" s="374" t="n">
        <v>8</v>
      </c>
      <c r="G813" s="290" t="n">
        <v>15.14</v>
      </c>
      <c r="H813" s="302">
        <f>ROUND(F813*G813,2)</f>
        <v/>
      </c>
      <c r="I813" s="314" t="n"/>
    </row>
    <row r="814" ht="25.5" customHeight="1" s="248">
      <c r="A814" s="300" t="n">
        <v>798</v>
      </c>
      <c r="B814" s="346" t="n"/>
      <c r="C814" s="287" t="inlineStr">
        <is>
          <t>18.2.06.10-0013</t>
        </is>
      </c>
      <c r="D814" s="288" t="inlineStr">
        <is>
          <t>Трапы чугунные с горизонтальным отводом, условным проходом 50 мм</t>
        </is>
      </c>
      <c r="E814" s="374" t="inlineStr">
        <is>
          <t>шт</t>
        </is>
      </c>
      <c r="F814" s="374" t="n">
        <v>1</v>
      </c>
      <c r="G814" s="290" t="n">
        <v>121.11</v>
      </c>
      <c r="H814" s="302">
        <f>ROUND(F814*G814,2)</f>
        <v/>
      </c>
      <c r="I814" s="314" t="n"/>
    </row>
    <row r="815" ht="25.5" customHeight="1" s="248">
      <c r="A815" s="300" t="n">
        <v>799</v>
      </c>
      <c r="B815" s="346" t="n"/>
      <c r="C815" s="287" t="inlineStr">
        <is>
          <t>01.7.19.02-0041</t>
        </is>
      </c>
      <c r="D815" s="288" t="inlineStr">
        <is>
          <t>Кольца резиновые для чугунных напорных труб диаметром 65-300 мм</t>
        </is>
      </c>
      <c r="E815" s="374" t="inlineStr">
        <is>
          <t>кг</t>
        </is>
      </c>
      <c r="F815" s="374" t="n">
        <v>4.91</v>
      </c>
      <c r="G815" s="290" t="n">
        <v>24.41</v>
      </c>
      <c r="H815" s="302">
        <f>ROUND(F815*G815,2)</f>
        <v/>
      </c>
      <c r="I815" s="314" t="n"/>
    </row>
    <row r="816">
      <c r="A816" s="300" t="n">
        <v>800</v>
      </c>
      <c r="B816" s="346" t="n"/>
      <c r="C816" s="287" t="inlineStr">
        <is>
          <t>Прайс из СД ОП</t>
        </is>
      </c>
      <c r="D816" s="288" t="inlineStr">
        <is>
          <t>Модуль свободных и сигнальных контактов</t>
        </is>
      </c>
      <c r="E816" s="374" t="inlineStr">
        <is>
          <t>шт.</t>
        </is>
      </c>
      <c r="F816" s="374" t="n">
        <v>2</v>
      </c>
      <c r="G816" s="290" t="n">
        <v>59.54</v>
      </c>
      <c r="H816" s="302">
        <f>ROUND(F816*G816,2)</f>
        <v/>
      </c>
      <c r="I816" s="314" t="n"/>
    </row>
    <row r="817" ht="38.25" customHeight="1" s="248">
      <c r="A817" s="300" t="n">
        <v>801</v>
      </c>
      <c r="B817" s="346" t="n"/>
      <c r="C817" s="287" t="inlineStr">
        <is>
          <t>12.2.08.03-0023</t>
        </is>
      </c>
      <c r="D817" s="288" t="inlineStr">
        <is>
          <t>Цилиндры и полуцилиндры теплоизоляционные из минеральной ваты на синтетическом связующем, М-200, внутренний диаметр 18-57 мм</t>
        </is>
      </c>
      <c r="E817" s="374" t="inlineStr">
        <is>
          <t>м3</t>
        </is>
      </c>
      <c r="F817" s="374" t="n">
        <v>0.0712</v>
      </c>
      <c r="G817" s="290" t="n">
        <v>1641.63</v>
      </c>
      <c r="H817" s="302">
        <f>ROUND(F817*G817,2)</f>
        <v/>
      </c>
      <c r="I817" s="314" t="n"/>
    </row>
    <row r="818" ht="25.5" customHeight="1" s="248">
      <c r="A818" s="300" t="n">
        <v>802</v>
      </c>
      <c r="B818" s="346" t="n"/>
      <c r="C818" s="287" t="inlineStr">
        <is>
          <t>01.7.06.01-0043</t>
        </is>
      </c>
      <c r="D818" s="288" t="inlineStr">
        <is>
          <t>Лента эластичная самоклеящаяся для профилей направляющих 70/30000 мм</t>
        </is>
      </c>
      <c r="E818" s="374" t="inlineStr">
        <is>
          <t>м</t>
        </is>
      </c>
      <c r="F818" s="374" t="n">
        <v>138.06</v>
      </c>
      <c r="G818" s="290" t="n">
        <v>0.84</v>
      </c>
      <c r="H818" s="302">
        <f>ROUND(F818*G818,2)</f>
        <v/>
      </c>
      <c r="I818" s="314" t="n"/>
    </row>
    <row r="819">
      <c r="A819" s="300" t="n">
        <v>803</v>
      </c>
      <c r="B819" s="346" t="n"/>
      <c r="C819" s="287" t="inlineStr">
        <is>
          <t>Прайс из СД ОП</t>
        </is>
      </c>
      <c r="D819" s="288" t="inlineStr">
        <is>
          <t xml:space="preserve">Решетка декоративная Р25-500х350 </t>
        </is>
      </c>
      <c r="E819" s="374" t="inlineStr">
        <is>
          <t>шт.</t>
        </is>
      </c>
      <c r="F819" s="374" t="n">
        <v>1</v>
      </c>
      <c r="G819" s="290" t="n">
        <v>115.05</v>
      </c>
      <c r="H819" s="302">
        <f>ROUND(F819*G819,2)</f>
        <v/>
      </c>
      <c r="I819" s="314" t="n"/>
    </row>
    <row r="820">
      <c r="A820" s="300" t="n">
        <v>804</v>
      </c>
      <c r="B820" s="346" t="n"/>
      <c r="C820" s="287" t="inlineStr">
        <is>
          <t>Прайс из СД ОП</t>
        </is>
      </c>
      <c r="D820" s="288" t="inlineStr">
        <is>
          <t xml:space="preserve">Решетка декоративная Р25-500х350-С </t>
        </is>
      </c>
      <c r="E820" s="374" t="inlineStr">
        <is>
          <t>шт.</t>
        </is>
      </c>
      <c r="F820" s="374" t="n">
        <v>1</v>
      </c>
      <c r="G820" s="290" t="n">
        <v>115.05</v>
      </c>
      <c r="H820" s="302">
        <f>ROUND(F820*G820,2)</f>
        <v/>
      </c>
      <c r="I820" s="314" t="n"/>
    </row>
    <row r="821" ht="25.5" customHeight="1" s="248">
      <c r="A821" s="300" t="n">
        <v>805</v>
      </c>
      <c r="B821" s="346" t="n"/>
      <c r="C821" s="287" t="inlineStr">
        <is>
          <t>12.2.05.11-0011</t>
        </is>
      </c>
      <c r="D821" s="288" t="inlineStr">
        <is>
          <t>Пенополиуретан эластичный трудносгораемый листовой</t>
        </is>
      </c>
      <c r="E821" s="374" t="inlineStr">
        <is>
          <t>т</t>
        </is>
      </c>
      <c r="F821" s="374" t="n">
        <v>0.00216</v>
      </c>
      <c r="G821" s="290" t="n">
        <v>53100</v>
      </c>
      <c r="H821" s="302">
        <f>ROUND(F821*G821,2)</f>
        <v/>
      </c>
      <c r="I821" s="314" t="n"/>
    </row>
    <row r="822" ht="25.5" customHeight="1" s="248">
      <c r="A822" s="300" t="n">
        <v>806</v>
      </c>
      <c r="B822" s="346" t="n"/>
      <c r="C822" s="287" t="inlineStr">
        <is>
          <t>04.3.02.09-0102</t>
        </is>
      </c>
      <c r="D822" s="288" t="inlineStr">
        <is>
          <t>Смеси сухие водостойкие для затирки межплиточных швов шириной 1-6 мм (различная цветовая гамма)</t>
        </is>
      </c>
      <c r="E822" s="374" t="inlineStr">
        <is>
          <t>т</t>
        </is>
      </c>
      <c r="F822" s="374" t="n">
        <v>0.0176</v>
      </c>
      <c r="G822" s="290" t="n">
        <v>6513</v>
      </c>
      <c r="H822" s="302">
        <f>ROUND(F822*G822,2)</f>
        <v/>
      </c>
      <c r="I822" s="314" t="n"/>
    </row>
    <row r="823">
      <c r="A823" s="300" t="n">
        <v>807</v>
      </c>
      <c r="B823" s="346" t="n"/>
      <c r="C823" s="287" t="inlineStr">
        <is>
          <t>20.5.04.11-0021</t>
        </is>
      </c>
      <c r="D823" s="288" t="inlineStr">
        <is>
          <t>Зажимы</t>
        </is>
      </c>
      <c r="E823" s="374" t="inlineStr">
        <is>
          <t>100 шт</t>
        </is>
      </c>
      <c r="F823" s="374" t="n">
        <v>0.064</v>
      </c>
      <c r="G823" s="290" t="n">
        <v>1776</v>
      </c>
      <c r="H823" s="302">
        <f>ROUND(F823*G823,2)</f>
        <v/>
      </c>
      <c r="I823" s="314" t="n"/>
    </row>
    <row r="824" ht="38.25" customHeight="1" s="248">
      <c r="A824" s="300" t="n">
        <v>808</v>
      </c>
      <c r="B824" s="346" t="n"/>
      <c r="C824" s="287" t="inlineStr">
        <is>
          <t>01.7.06.05-0042</t>
        </is>
      </c>
      <c r="D824" s="288" t="inlineStr">
        <is>
          <t>Лента липкая изоляционная на поликасиновом компаунде, ширина 20-30 мм, толщина от 0,14 до 0,19 мм</t>
        </is>
      </c>
      <c r="E824" s="374" t="inlineStr">
        <is>
          <t>кг</t>
        </is>
      </c>
      <c r="F824" s="374" t="n">
        <v>1.2402</v>
      </c>
      <c r="G824" s="290" t="n">
        <v>91.29000000000001</v>
      </c>
      <c r="H824" s="302">
        <f>ROUND(F824*G824,2)</f>
        <v/>
      </c>
      <c r="I824" s="314" t="n"/>
    </row>
    <row r="825" ht="25.5" customFormat="1" customHeight="1" s="299">
      <c r="A825" s="300" t="n">
        <v>809</v>
      </c>
      <c r="B825" s="346" t="n"/>
      <c r="C825" s="287" t="inlineStr">
        <is>
          <t>Прайс из СД ОП</t>
        </is>
      </c>
      <c r="D825" s="288" t="inlineStr">
        <is>
          <t xml:space="preserve">Автоматический выключатель трехполюсный, OptiDin BM63-3С16  </t>
        </is>
      </c>
      <c r="E825" s="374" t="inlineStr">
        <is>
          <t>шт.</t>
        </is>
      </c>
      <c r="F825" s="374" t="n">
        <v>2</v>
      </c>
      <c r="G825" s="290" t="n">
        <v>56.56</v>
      </c>
      <c r="H825" s="302">
        <f>ROUND(F825*G825,2)</f>
        <v/>
      </c>
      <c r="I825" s="314" t="n"/>
    </row>
    <row r="826">
      <c r="A826" s="300" t="n">
        <v>810</v>
      </c>
      <c r="B826" s="346" t="n"/>
      <c r="C826" s="287" t="inlineStr">
        <is>
          <t>20.2.02.01-0019</t>
        </is>
      </c>
      <c r="D826" s="288" t="inlineStr">
        <is>
          <t>Втулки изолирующие</t>
        </is>
      </c>
      <c r="E826" s="374" t="inlineStr">
        <is>
          <t>1000 шт</t>
        </is>
      </c>
      <c r="F826" s="374" t="n">
        <v>0.4173</v>
      </c>
      <c r="G826" s="290" t="n">
        <v>270</v>
      </c>
      <c r="H826" s="302">
        <f>ROUND(F826*G826,2)</f>
        <v/>
      </c>
      <c r="I826" s="314" t="n"/>
    </row>
    <row r="827">
      <c r="A827" s="300" t="n">
        <v>811</v>
      </c>
      <c r="B827" s="346" t="n"/>
      <c r="C827" s="287" t="inlineStr">
        <is>
          <t>14.5.01.10-0023</t>
        </is>
      </c>
      <c r="D827" s="288" t="inlineStr">
        <is>
          <t>Пена монтажная: SOUDAL, Бельгия</t>
        </is>
      </c>
      <c r="E827" s="374" t="inlineStr">
        <is>
          <t>л</t>
        </is>
      </c>
      <c r="F827" s="374" t="n">
        <v>1.6</v>
      </c>
      <c r="G827" s="290" t="n">
        <v>69.45999999999999</v>
      </c>
      <c r="H827" s="302">
        <f>ROUND(F827*G827,2)</f>
        <v/>
      </c>
      <c r="I827" s="314" t="n"/>
      <c r="K827" s="307" t="n"/>
    </row>
    <row r="828" ht="25.5" customHeight="1" s="248">
      <c r="A828" s="300" t="n">
        <v>812</v>
      </c>
      <c r="B828" s="346" t="n"/>
      <c r="C828" s="287" t="inlineStr">
        <is>
          <t>08.3.02.01-0041</t>
        </is>
      </c>
      <c r="D828" s="288" t="inlineStr">
        <is>
          <t>Лента стальная упаковочная мягкая нормальной точности 0,7х20-50 мм</t>
        </is>
      </c>
      <c r="E828" s="374" t="inlineStr">
        <is>
          <t>т</t>
        </is>
      </c>
      <c r="F828" s="374" t="n">
        <v>0.0146</v>
      </c>
      <c r="G828" s="290" t="n">
        <v>7590</v>
      </c>
      <c r="H828" s="302">
        <f>ROUND(F828*G828,2)</f>
        <v/>
      </c>
      <c r="I828" s="314" t="n"/>
      <c r="K828" s="307" t="n"/>
    </row>
    <row r="829" ht="25.5" customHeight="1" s="248">
      <c r="A829" s="300" t="n">
        <v>813</v>
      </c>
      <c r="B829" s="346" t="n"/>
      <c r="C829" s="287" t="inlineStr">
        <is>
          <t>20.4.04.02-0045</t>
        </is>
      </c>
      <c r="D829" s="288" t="inlineStr">
        <is>
          <t>Щиты распределительные наружной установки ЩРН-24з, с замком, размер 395х310х120 мм</t>
        </is>
      </c>
      <c r="E829" s="374" t="inlineStr">
        <is>
          <t>шт</t>
        </is>
      </c>
      <c r="F829" s="374" t="n">
        <v>1</v>
      </c>
      <c r="G829" s="290" t="n">
        <v>109.23</v>
      </c>
      <c r="H829" s="302">
        <f>ROUND(F829*G829,2)</f>
        <v/>
      </c>
      <c r="I829" s="314" t="n"/>
      <c r="K829" s="307" t="n"/>
    </row>
    <row r="830" ht="25.5" customHeight="1" s="248">
      <c r="A830" s="300" t="n">
        <v>814</v>
      </c>
      <c r="B830" s="346" t="n"/>
      <c r="C830" s="287" t="inlineStr">
        <is>
          <t>Прайс из СД ОП</t>
        </is>
      </c>
      <c r="D830" s="288" t="inlineStr">
        <is>
          <t>Переключатель одноклавишный наружной установки, 10 А, IP20 Этюд, арт. ВА10-004В</t>
        </is>
      </c>
      <c r="E830" s="374" t="inlineStr">
        <is>
          <t>шт.</t>
        </is>
      </c>
      <c r="F830" s="374" t="n">
        <v>8</v>
      </c>
      <c r="G830" s="290" t="n">
        <v>13.57</v>
      </c>
      <c r="H830" s="302">
        <f>ROUND(F830*G830,2)</f>
        <v/>
      </c>
    </row>
    <row r="831">
      <c r="A831" s="300" t="n">
        <v>815</v>
      </c>
      <c r="B831" s="346" t="n"/>
      <c r="C831" s="287" t="inlineStr">
        <is>
          <t>08.1.02.25-0031</t>
        </is>
      </c>
      <c r="D831" s="288" t="inlineStr">
        <is>
          <t>Ерш металлический строительный</t>
        </is>
      </c>
      <c r="E831" s="374" t="inlineStr">
        <is>
          <t>кг</t>
        </is>
      </c>
      <c r="F831" s="374" t="n">
        <v>10.5</v>
      </c>
      <c r="G831" s="290" t="n">
        <v>10.26</v>
      </c>
      <c r="H831" s="302">
        <f>ROUND(F831*G831,2)</f>
        <v/>
      </c>
    </row>
    <row r="832" ht="51" customHeight="1" s="248">
      <c r="A832" s="300" t="n">
        <v>816</v>
      </c>
      <c r="B832" s="346" t="n"/>
      <c r="C832" s="287" t="inlineStr">
        <is>
          <t>01.7.15.14-0044</t>
        </is>
      </c>
      <c r="D832" s="288" t="inlineStr">
        <is>
          <t>Шурупы самонарезающий прокалывающий, для крепления гипсокартонных листов (ГКЛ, ГКЛВ, ГКЛВО) к каркасу из металлических профилей 3,5/25 мм</t>
        </is>
      </c>
      <c r="E832" s="374" t="inlineStr">
        <is>
          <t>100 шт</t>
        </is>
      </c>
      <c r="F832" s="374" t="n">
        <v>52.85</v>
      </c>
      <c r="G832" s="290" t="n">
        <v>2</v>
      </c>
      <c r="H832" s="302">
        <f>ROUND(F832*G832,2)</f>
        <v/>
      </c>
    </row>
    <row r="833">
      <c r="A833" s="300" t="n">
        <v>817</v>
      </c>
      <c r="B833" s="346" t="n"/>
      <c r="C833" s="287" t="inlineStr">
        <is>
          <t>Прайс из СД ОП</t>
        </is>
      </c>
      <c r="D833" s="288" t="inlineStr">
        <is>
          <t>Решетка декоративная Р25-250х200-С</t>
        </is>
      </c>
      <c r="E833" s="374" t="inlineStr">
        <is>
          <t>шт.</t>
        </is>
      </c>
      <c r="F833" s="374" t="n">
        <v>2</v>
      </c>
      <c r="G833" s="290" t="n">
        <v>52.32</v>
      </c>
      <c r="H833" s="302">
        <f>ROUND(F833*G833,2)</f>
        <v/>
      </c>
    </row>
    <row r="834">
      <c r="A834" s="300" t="n">
        <v>818</v>
      </c>
      <c r="B834" s="346" t="n"/>
      <c r="C834" s="287" t="inlineStr">
        <is>
          <t>Прайс из СД ОП</t>
        </is>
      </c>
      <c r="D834" s="288" t="inlineStr">
        <is>
          <t xml:space="preserve">Решетка декоративная Р25-250х200-С </t>
        </is>
      </c>
      <c r="E834" s="374" t="inlineStr">
        <is>
          <t>шт.</t>
        </is>
      </c>
      <c r="F834" s="374" t="n">
        <v>2</v>
      </c>
      <c r="G834" s="290" t="n">
        <v>52.32</v>
      </c>
      <c r="H834" s="302">
        <f>ROUND(F834*G834,2)</f>
        <v/>
      </c>
    </row>
    <row r="835" ht="25.5" customHeight="1" s="248">
      <c r="A835" s="300" t="n">
        <v>819</v>
      </c>
      <c r="B835" s="346" t="n"/>
      <c r="C835" s="287" t="inlineStr">
        <is>
          <t>01.7.06.01-0041</t>
        </is>
      </c>
      <c r="D835" s="288" t="inlineStr">
        <is>
          <t>Лента эластичная самоклеящаяся для профилей направляющих 30/30000 мм</t>
        </is>
      </c>
      <c r="E835" s="374" t="inlineStr">
        <is>
          <t>м</t>
        </is>
      </c>
      <c r="F835" s="374" t="n">
        <v>277.28</v>
      </c>
      <c r="G835" s="290" t="n">
        <v>0.37</v>
      </c>
      <c r="H835" s="302">
        <f>ROUND(F835*G835,2)</f>
        <v/>
      </c>
    </row>
    <row r="836" ht="25.5" customHeight="1" s="248">
      <c r="A836" s="300" t="n">
        <v>820</v>
      </c>
      <c r="B836" s="346" t="n"/>
      <c r="C836" s="287" t="inlineStr">
        <is>
          <t>19.1.01.01-0022</t>
        </is>
      </c>
      <c r="D836" s="288" t="inlineStr">
        <is>
          <t>Воздуховоды типа: ALUDUCT (POLAR BEAR) неизолированные гибкие диаметром 160 мм</t>
        </is>
      </c>
      <c r="E836" s="374" t="inlineStr">
        <is>
          <t>м2</t>
        </is>
      </c>
      <c r="F836" s="374" t="n">
        <v>1.5072</v>
      </c>
      <c r="G836" s="290" t="n">
        <v>67.95</v>
      </c>
      <c r="H836" s="302">
        <f>ROUND(F836*G836,2)</f>
        <v/>
      </c>
    </row>
    <row r="837" ht="25.5" customHeight="1" s="248">
      <c r="A837" s="300" t="n">
        <v>821</v>
      </c>
      <c r="B837" s="346" t="n"/>
      <c r="C837" s="287" t="inlineStr">
        <is>
          <t>Прайс из СД ОП</t>
        </is>
      </c>
      <c r="D837" s="288" t="inlineStr">
        <is>
          <t xml:space="preserve">Коробка распределительная на 4 ввода, 60х40 мм круглая, IP55, Tyco 60х40 </t>
        </is>
      </c>
      <c r="E837" s="374" t="inlineStr">
        <is>
          <t>шт.</t>
        </is>
      </c>
      <c r="F837" s="374" t="n">
        <v>35</v>
      </c>
      <c r="G837" s="290" t="n">
        <v>2.89</v>
      </c>
      <c r="H837" s="302">
        <f>ROUND(F837*G837,2)</f>
        <v/>
      </c>
    </row>
    <row r="838" ht="25.5" customHeight="1" s="248">
      <c r="A838" s="300" t="n">
        <v>822</v>
      </c>
      <c r="B838" s="346" t="n"/>
      <c r="C838" s="287" t="inlineStr">
        <is>
          <t>19.2.03.02-0095</t>
        </is>
      </c>
      <c r="D838" s="288" t="inlineStr">
        <is>
          <t>Решетки вентиляционные алюминиевые "АРКТОС" типа: АМН, размером 300х100 мм</t>
        </is>
      </c>
      <c r="E838" s="374" t="inlineStr">
        <is>
          <t>шт</t>
        </is>
      </c>
      <c r="F838" s="374" t="n">
        <v>1</v>
      </c>
      <c r="G838" s="290" t="n">
        <v>100.94</v>
      </c>
      <c r="H838" s="302">
        <f>ROUND(F838*G838,2)</f>
        <v/>
      </c>
    </row>
    <row r="839" ht="25.5" customHeight="1" s="248">
      <c r="A839" s="300" t="n">
        <v>823</v>
      </c>
      <c r="B839" s="346" t="n"/>
      <c r="C839" s="287" t="inlineStr">
        <is>
          <t>19.2.03.02-0133</t>
        </is>
      </c>
      <c r="D839" s="288" t="inlineStr">
        <is>
          <t>Решетки вентиляционные алюминиевые "АРКТОС" типа: АРН размером 200х200 мм</t>
        </is>
      </c>
      <c r="E839" s="374" t="inlineStr">
        <is>
          <t>шт</t>
        </is>
      </c>
      <c r="F839" s="374" t="n">
        <v>1</v>
      </c>
      <c r="G839" s="290" t="n">
        <v>100.23</v>
      </c>
      <c r="H839" s="302">
        <f>ROUND(F839*G839,2)</f>
        <v/>
      </c>
    </row>
    <row r="840">
      <c r="A840" s="300" t="n">
        <v>824</v>
      </c>
      <c r="B840" s="346" t="n"/>
      <c r="C840" s="287" t="inlineStr">
        <is>
          <t>Прайс из СД ОП</t>
        </is>
      </c>
      <c r="D840" s="288" t="inlineStr">
        <is>
          <t>Лампа переносная, 12 В, УХЛ2 РВО 12 УХЛ2</t>
        </is>
      </c>
      <c r="E840" s="374" t="inlineStr">
        <is>
          <t>шт.</t>
        </is>
      </c>
      <c r="F840" s="374" t="n">
        <v>2</v>
      </c>
      <c r="G840" s="290" t="n">
        <v>50.07</v>
      </c>
      <c r="H840" s="302">
        <f>ROUND(F840*G840,2)</f>
        <v/>
      </c>
      <c r="I840" s="314" t="n"/>
    </row>
    <row r="841" ht="25.5" customHeight="1" s="248">
      <c r="A841" s="300" t="n">
        <v>825</v>
      </c>
      <c r="B841" s="346" t="n"/>
      <c r="C841" s="287" t="inlineStr">
        <is>
          <t>01.7.15.07-0005</t>
        </is>
      </c>
      <c r="D841" s="288" t="inlineStr">
        <is>
          <t>Дюбели монтажные, размер 10х130 (10х132, 10х150) мм</t>
        </is>
      </c>
      <c r="E841" s="374" t="inlineStr">
        <is>
          <t>10 шт</t>
        </is>
      </c>
      <c r="F841" s="374" t="n">
        <v>14.092</v>
      </c>
      <c r="G841" s="290" t="n">
        <v>7.03</v>
      </c>
      <c r="H841" s="302">
        <f>ROUND(F841*G841,2)</f>
        <v/>
      </c>
      <c r="I841" s="314" t="n"/>
    </row>
    <row r="842" ht="25.5" customHeight="1" s="248">
      <c r="A842" s="300" t="n">
        <v>826</v>
      </c>
      <c r="B842" s="346" t="n"/>
      <c r="C842" s="287" t="inlineStr">
        <is>
          <t>01.7.15.03-0014</t>
        </is>
      </c>
      <c r="D842" s="288" t="inlineStr">
        <is>
          <t>Болты с гайками и шайбами для санитарно-технических работ, диаметр 16 мм</t>
        </is>
      </c>
      <c r="E842" s="374" t="inlineStr">
        <is>
          <t>т</t>
        </is>
      </c>
      <c r="F842" s="374" t="n">
        <v>0.0066</v>
      </c>
      <c r="G842" s="290" t="n">
        <v>14830</v>
      </c>
      <c r="H842" s="302">
        <f>ROUND(F842*G842,2)</f>
        <v/>
      </c>
      <c r="I842" s="314" t="n"/>
    </row>
    <row r="843">
      <c r="A843" s="300" t="n">
        <v>827</v>
      </c>
      <c r="B843" s="346" t="n"/>
      <c r="C843" s="287" t="inlineStr">
        <is>
          <t>04.3.01.09-0012</t>
        </is>
      </c>
      <c r="D843" s="288" t="inlineStr">
        <is>
          <t>Раствор готовый кладочный, цементный, М50</t>
        </is>
      </c>
      <c r="E843" s="374" t="inlineStr">
        <is>
          <t>м3</t>
        </is>
      </c>
      <c r="F843" s="374" t="n">
        <v>0.2013</v>
      </c>
      <c r="G843" s="290" t="n">
        <v>485.9</v>
      </c>
      <c r="H843" s="302">
        <f>ROUND(F843*G843,2)</f>
        <v/>
      </c>
      <c r="I843" s="314" t="n"/>
    </row>
    <row r="844">
      <c r="A844" s="300" t="n">
        <v>828</v>
      </c>
      <c r="B844" s="346" t="n"/>
      <c r="C844" s="287" t="inlineStr">
        <is>
          <t>14.1.02.01-0002</t>
        </is>
      </c>
      <c r="D844" s="288" t="inlineStr">
        <is>
          <t>Клей БМК-5к</t>
        </is>
      </c>
      <c r="E844" s="374" t="inlineStr">
        <is>
          <t>кг</t>
        </is>
      </c>
      <c r="F844" s="374" t="n">
        <v>3.691</v>
      </c>
      <c r="G844" s="290" t="n">
        <v>25.8</v>
      </c>
      <c r="H844" s="302">
        <f>ROUND(F844*G844,2)</f>
        <v/>
      </c>
      <c r="I844" s="314" t="n"/>
    </row>
    <row r="845">
      <c r="A845" s="300" t="n">
        <v>829</v>
      </c>
      <c r="B845" s="346" t="n"/>
      <c r="C845" s="287" t="inlineStr">
        <is>
          <t>Прайс из СД ОП</t>
        </is>
      </c>
      <c r="D845" s="288" t="inlineStr">
        <is>
          <t xml:space="preserve">Защитная решетка BCV 100 </t>
        </is>
      </c>
      <c r="E845" s="374" t="inlineStr">
        <is>
          <t>шт.</t>
        </is>
      </c>
      <c r="F845" s="374" t="n">
        <v>1</v>
      </c>
      <c r="G845" s="290" t="n">
        <v>94.69</v>
      </c>
      <c r="H845" s="302">
        <f>ROUND(F845*G845,2)</f>
        <v/>
      </c>
      <c r="I845" s="314" t="n"/>
    </row>
    <row r="846">
      <c r="A846" s="300" t="n">
        <v>830</v>
      </c>
      <c r="B846" s="346" t="n"/>
      <c r="C846" s="287" t="inlineStr">
        <is>
          <t>Прайс из СД ОП</t>
        </is>
      </c>
      <c r="D846" s="288" t="inlineStr">
        <is>
          <t xml:space="preserve">Решетка декоративная Р25-500х250-С </t>
        </is>
      </c>
      <c r="E846" s="374" t="inlineStr">
        <is>
          <t>шт.</t>
        </is>
      </c>
      <c r="F846" s="374" t="n">
        <v>1</v>
      </c>
      <c r="G846" s="290" t="n">
        <v>92.08</v>
      </c>
      <c r="H846" s="302">
        <f>ROUND(F846*G846,2)</f>
        <v/>
      </c>
      <c r="I846" s="314" t="n"/>
    </row>
    <row r="847">
      <c r="A847" s="300" t="n">
        <v>831</v>
      </c>
      <c r="B847" s="346" t="n"/>
      <c r="C847" s="287" t="inlineStr">
        <is>
          <t>04.3.01.09-0016</t>
        </is>
      </c>
      <c r="D847" s="288" t="inlineStr">
        <is>
          <t>Раствор готовый кладочный, цементный, М200</t>
        </is>
      </c>
      <c r="E847" s="374" t="inlineStr">
        <is>
          <t>м3</t>
        </is>
      </c>
      <c r="F847" s="374" t="n">
        <v>0.1508</v>
      </c>
      <c r="G847" s="290" t="n">
        <v>600</v>
      </c>
      <c r="H847" s="302">
        <f>ROUND(F847*G847,2)</f>
        <v/>
      </c>
      <c r="I847" s="314" t="n"/>
    </row>
    <row r="848" ht="25.5" customHeight="1" s="248">
      <c r="A848" s="300" t="n">
        <v>832</v>
      </c>
      <c r="B848" s="346" t="n"/>
      <c r="C848" s="287" t="inlineStr">
        <is>
          <t>11.1.03.05-0066</t>
        </is>
      </c>
      <c r="D848" s="288" t="inlineStr">
        <is>
          <t>Доска необрезная, хвойных пород, длина 2-3,75 м, все ширины, толщина 32-40 мм, сорт IV</t>
        </is>
      </c>
      <c r="E848" s="374" t="inlineStr">
        <is>
          <t>м3</t>
        </is>
      </c>
      <c r="F848" s="374" t="n">
        <v>0.1496</v>
      </c>
      <c r="G848" s="290" t="n">
        <v>602</v>
      </c>
      <c r="H848" s="302">
        <f>ROUND(F848*G848,2)</f>
        <v/>
      </c>
      <c r="I848" s="314" t="n"/>
    </row>
    <row r="849" ht="38.25" customHeight="1" s="248">
      <c r="A849" s="300" t="n">
        <v>833</v>
      </c>
      <c r="B849" s="346" t="n"/>
      <c r="C849" s="287" t="inlineStr">
        <is>
          <t>18.1.09.06-0024</t>
        </is>
      </c>
      <c r="D849" s="288" t="inlineStr">
        <is>
          <t>Кран шаровой 11Б27п1, номинальное давление 1,0 МПа (10 кгс/см2), номинальный диаметр 32 мм, присоединение к трубопроводу муфтовое</t>
        </is>
      </c>
      <c r="E849" s="374" t="inlineStr">
        <is>
          <t>шт</t>
        </is>
      </c>
      <c r="F849" s="374" t="n">
        <v>1</v>
      </c>
      <c r="G849" s="290" t="n">
        <v>87.19</v>
      </c>
      <c r="H849" s="302">
        <f>ROUND(F849*G849,2)</f>
        <v/>
      </c>
      <c r="I849" s="314" t="n"/>
    </row>
    <row r="850">
      <c r="A850" s="300" t="n">
        <v>834</v>
      </c>
      <c r="B850" s="346" t="n"/>
      <c r="C850" s="287" t="inlineStr">
        <is>
          <t>01.7.07.29-0241</t>
        </is>
      </c>
      <c r="D850" s="288" t="inlineStr">
        <is>
          <t>Хомутик</t>
        </is>
      </c>
      <c r="E850" s="374" t="inlineStr">
        <is>
          <t>10 шт</t>
        </is>
      </c>
      <c r="F850" s="374" t="n">
        <v>1.188</v>
      </c>
      <c r="G850" s="290" t="n">
        <v>72</v>
      </c>
      <c r="H850" s="302">
        <f>ROUND(F850*G850,2)</f>
        <v/>
      </c>
      <c r="I850" s="314" t="n"/>
    </row>
    <row r="851" ht="25.5" customHeight="1" s="248">
      <c r="A851" s="300" t="n">
        <v>835</v>
      </c>
      <c r="B851" s="346" t="n"/>
      <c r="C851" s="287" t="inlineStr">
        <is>
          <t>Прайс из СД ОП</t>
        </is>
      </c>
      <c r="D851" s="288" t="inlineStr">
        <is>
          <t>Автоматический выключатель трехполюсный, OptiDin BM63-3С6</t>
        </is>
      </c>
      <c r="E851" s="374" t="inlineStr">
        <is>
          <t>шт.</t>
        </is>
      </c>
      <c r="F851" s="374" t="n">
        <v>1</v>
      </c>
      <c r="G851" s="290" t="n">
        <v>82.81999999999999</v>
      </c>
      <c r="H851" s="302">
        <f>ROUND(F851*G851,2)</f>
        <v/>
      </c>
      <c r="I851" s="314" t="n"/>
    </row>
    <row r="852" ht="25.5" customHeight="1" s="248">
      <c r="A852" s="300" t="n">
        <v>836</v>
      </c>
      <c r="B852" s="346" t="n"/>
      <c r="C852" s="287" t="inlineStr">
        <is>
          <t>25.1.05.01-0013</t>
        </is>
      </c>
      <c r="D852" s="288" t="inlineStr">
        <is>
          <t>Накладки двухголовые для стыковых соединений рельсов Р-75, Р-65, Р-50, Р-43</t>
        </is>
      </c>
      <c r="E852" s="374" t="inlineStr">
        <is>
          <t>т</t>
        </is>
      </c>
      <c r="F852" s="374" t="n">
        <v>0.0166</v>
      </c>
      <c r="G852" s="290" t="n">
        <v>4911.8</v>
      </c>
      <c r="H852" s="302">
        <f>ROUND(F852*G852,2)</f>
        <v/>
      </c>
      <c r="I852" s="314" t="n"/>
    </row>
    <row r="853">
      <c r="A853" s="300" t="n">
        <v>837</v>
      </c>
      <c r="B853" s="346" t="n"/>
      <c r="C853" s="287" t="inlineStr">
        <is>
          <t>14.5.01.07-1000</t>
        </is>
      </c>
      <c r="D853" s="288" t="inlineStr">
        <is>
          <t>Герметик клей силиконовый</t>
        </is>
      </c>
      <c r="E853" s="374" t="inlineStr">
        <is>
          <t>л</t>
        </is>
      </c>
      <c r="F853" s="374" t="n">
        <v>0.62</v>
      </c>
      <c r="G853" s="290" t="n">
        <v>131.35</v>
      </c>
      <c r="H853" s="302">
        <f>ROUND(F853*G853,2)</f>
        <v/>
      </c>
      <c r="I853" s="314" t="n"/>
    </row>
    <row r="854" ht="25.5" customHeight="1" s="248">
      <c r="A854" s="300" t="n">
        <v>838</v>
      </c>
      <c r="B854" s="346" t="n"/>
      <c r="C854" s="287" t="inlineStr">
        <is>
          <t>Прайс из СД ОП</t>
        </is>
      </c>
      <c r="D854" s="288" t="inlineStr">
        <is>
          <t>Автоматический выключатель однополюсный модульный, Iн=10А, OptiDin BM63-1C10</t>
        </is>
      </c>
      <c r="E854" s="374" t="inlineStr">
        <is>
          <t>шт.</t>
        </is>
      </c>
      <c r="F854" s="374" t="n">
        <v>4</v>
      </c>
      <c r="G854" s="290" t="n">
        <v>20.12</v>
      </c>
      <c r="H854" s="302">
        <f>ROUND(F854*G854,2)</f>
        <v/>
      </c>
      <c r="I854" s="314" t="n"/>
    </row>
    <row r="855" ht="25.5" customHeight="1" s="248">
      <c r="A855" s="300" t="n">
        <v>839</v>
      </c>
      <c r="B855" s="346" t="n"/>
      <c r="C855" s="287" t="inlineStr">
        <is>
          <t>19.1.05.04-0003</t>
        </is>
      </c>
      <c r="D855" s="288" t="inlineStr">
        <is>
          <t>Диффузоры потолочные пластиковые веерные, диаметр 160 мм</t>
        </is>
      </c>
      <c r="E855" s="374" t="inlineStr">
        <is>
          <t>шт</t>
        </is>
      </c>
      <c r="F855" s="374" t="n">
        <v>2</v>
      </c>
      <c r="G855" s="290" t="n">
        <v>40.01</v>
      </c>
      <c r="H855" s="302">
        <f>ROUND(F855*G855,2)</f>
        <v/>
      </c>
      <c r="I855" s="314" t="n"/>
    </row>
    <row r="856" ht="25.5" customHeight="1" s="248">
      <c r="A856" s="300" t="n">
        <v>840</v>
      </c>
      <c r="B856" s="346" t="n"/>
      <c r="C856" s="287" t="inlineStr">
        <is>
          <t>Прайс из СД ОП</t>
        </is>
      </c>
      <c r="D856" s="288" t="inlineStr">
        <is>
          <t>Коробка распределительная для скрытого монтажа, 80х45 мм ГСК СП, арт.10174</t>
        </is>
      </c>
      <c r="E856" s="374" t="inlineStr">
        <is>
          <t>шт.</t>
        </is>
      </c>
      <c r="F856" s="374" t="n">
        <v>36</v>
      </c>
      <c r="G856" s="290" t="n">
        <v>2.19</v>
      </c>
      <c r="H856" s="302">
        <f>ROUND(F856*G856,2)</f>
        <v/>
      </c>
      <c r="I856" s="314" t="n"/>
    </row>
    <row r="857" customFormat="1" s="299">
      <c r="A857" s="300" t="n">
        <v>841</v>
      </c>
      <c r="B857" s="346" t="n"/>
      <c r="C857" s="287" t="inlineStr">
        <is>
          <t>Прайс из СД ОП</t>
        </is>
      </c>
      <c r="D857" s="288" t="inlineStr">
        <is>
          <t xml:space="preserve">Наружная решетка CG 125 </t>
        </is>
      </c>
      <c r="E857" s="374" t="inlineStr">
        <is>
          <t>шт.</t>
        </is>
      </c>
      <c r="F857" s="374" t="n">
        <v>1</v>
      </c>
      <c r="G857" s="290" t="n">
        <v>78.70999999999999</v>
      </c>
      <c r="H857" s="302">
        <f>ROUND(F857*G857,2)</f>
        <v/>
      </c>
      <c r="I857" s="314" t="n"/>
    </row>
    <row r="858">
      <c r="A858" s="300" t="n">
        <v>842</v>
      </c>
      <c r="B858" s="346" t="n"/>
      <c r="C858" s="287" t="inlineStr">
        <is>
          <t>Прайс из СД ОП</t>
        </is>
      </c>
      <c r="D858" s="288" t="inlineStr">
        <is>
          <t xml:space="preserve">Наружная решетка CG 125 </t>
        </is>
      </c>
      <c r="E858" s="374" t="inlineStr">
        <is>
          <t>шт.</t>
        </is>
      </c>
      <c r="F858" s="374" t="n">
        <v>1</v>
      </c>
      <c r="G858" s="290" t="n">
        <v>78.70999999999999</v>
      </c>
      <c r="H858" s="302">
        <f>ROUND(F858*G858,2)</f>
        <v/>
      </c>
      <c r="I858" s="314" t="n"/>
    </row>
    <row r="859" ht="25.5" customHeight="1" s="248">
      <c r="A859" s="300" t="n">
        <v>843</v>
      </c>
      <c r="B859" s="346" t="n"/>
      <c r="C859" s="287" t="inlineStr">
        <is>
          <t>Прайс из СД ОП</t>
        </is>
      </c>
      <c r="D859" s="288" t="inlineStr">
        <is>
          <t>Выключатель двухклавишный скрытой установки, 10 А, IP44 Legrand Plexo, арт. 069625</t>
        </is>
      </c>
      <c r="E859" s="374" t="inlineStr">
        <is>
          <t>шт.</t>
        </is>
      </c>
      <c r="F859" s="374" t="n">
        <v>1</v>
      </c>
      <c r="G859" s="290" t="n">
        <v>76.86</v>
      </c>
      <c r="H859" s="302">
        <f>ROUND(F859*G859,2)</f>
        <v/>
      </c>
    </row>
    <row r="860">
      <c r="A860" s="300" t="n">
        <v>844</v>
      </c>
      <c r="B860" s="346" t="n"/>
      <c r="C860" s="287" t="inlineStr">
        <is>
          <t>Прайс из СД ОП</t>
        </is>
      </c>
      <c r="D860" s="288" t="inlineStr">
        <is>
          <t>Уплотнитель терморазделяющая полоса  45ммх30м</t>
        </is>
      </c>
      <c r="E860" s="374" t="inlineStr">
        <is>
          <t>шт</t>
        </is>
      </c>
      <c r="F860" s="374" t="n">
        <v>3</v>
      </c>
      <c r="G860" s="290" t="n">
        <v>25.52</v>
      </c>
      <c r="H860" s="302">
        <f>ROUND(F860*G860,2)</f>
        <v/>
      </c>
    </row>
    <row r="861">
      <c r="A861" s="300" t="n">
        <v>845</v>
      </c>
      <c r="B861" s="346" t="n"/>
      <c r="C861" s="287" t="inlineStr">
        <is>
          <t>01.7.15.06-0146</t>
        </is>
      </c>
      <c r="D861" s="288" t="inlineStr">
        <is>
          <t>Гвозди толевые круглые, размер 3,0х40 мм</t>
        </is>
      </c>
      <c r="E861" s="374" t="inlineStr">
        <is>
          <t>т</t>
        </is>
      </c>
      <c r="F861" s="374" t="n">
        <v>0.0089</v>
      </c>
      <c r="G861" s="290" t="n">
        <v>8475</v>
      </c>
      <c r="H861" s="302">
        <f>ROUND(F861*G861,2)</f>
        <v/>
      </c>
    </row>
    <row r="862">
      <c r="A862" s="300" t="n">
        <v>846</v>
      </c>
      <c r="B862" s="346" t="n"/>
      <c r="C862" s="287" t="inlineStr">
        <is>
          <t>01.3.01.02-0002</t>
        </is>
      </c>
      <c r="D862" s="288" t="inlineStr">
        <is>
          <t>Вазелин технический</t>
        </is>
      </c>
      <c r="E862" s="374" t="inlineStr">
        <is>
          <t>кг</t>
        </is>
      </c>
      <c r="F862" s="374" t="n">
        <v>1.611</v>
      </c>
      <c r="G862" s="290" t="n">
        <v>44.97</v>
      </c>
      <c r="H862" s="302">
        <f>ROUND(F862*G862,2)</f>
        <v/>
      </c>
    </row>
    <row r="863" ht="25.5" customHeight="1" s="248">
      <c r="A863" s="300" t="n">
        <v>847</v>
      </c>
      <c r="B863" s="346" t="n"/>
      <c r="C863" s="287" t="inlineStr">
        <is>
          <t>08.3.05.02-0111</t>
        </is>
      </c>
      <c r="D863" s="288" t="inlineStr">
        <is>
          <t>Прокат толстолистовой горячекатаный из углеродистой стали, толщина 1,6-1,7 мм</t>
        </is>
      </c>
      <c r="E863" s="374" t="inlineStr">
        <is>
          <t>т</t>
        </is>
      </c>
      <c r="F863" s="374" t="n">
        <v>0.0134</v>
      </c>
      <c r="G863" s="290" t="n">
        <v>5325</v>
      </c>
      <c r="H863" s="302">
        <f>ROUND(F863*G863,2)</f>
        <v/>
      </c>
    </row>
    <row r="864">
      <c r="A864" s="300" t="n">
        <v>848</v>
      </c>
      <c r="B864" s="346" t="n"/>
      <c r="C864" s="287" t="inlineStr">
        <is>
          <t>Прайс из СД ОП</t>
        </is>
      </c>
      <c r="D864" s="288" t="inlineStr">
        <is>
          <t xml:space="preserve">Монтажный хомут Канал-МК-160 </t>
        </is>
      </c>
      <c r="E864" s="374" t="inlineStr">
        <is>
          <t>шт.</t>
        </is>
      </c>
      <c r="F864" s="374" t="n">
        <v>4</v>
      </c>
      <c r="G864" s="290" t="n">
        <v>17.64</v>
      </c>
      <c r="H864" s="302">
        <f>ROUND(F864*G864,2)</f>
        <v/>
      </c>
    </row>
    <row r="865">
      <c r="A865" s="300" t="n">
        <v>849</v>
      </c>
      <c r="B865" s="346" t="n"/>
      <c r="C865" s="287" t="inlineStr">
        <is>
          <t>Прайс из СД ОП</t>
        </is>
      </c>
      <c r="D865" s="288" t="inlineStr">
        <is>
          <t>Реле тепловое РТЛ-1007</t>
        </is>
      </c>
      <c r="E865" s="374" t="inlineStr">
        <is>
          <t>шт.</t>
        </is>
      </c>
      <c r="F865" s="374" t="n">
        <v>1</v>
      </c>
      <c r="G865" s="290" t="n">
        <v>70.31</v>
      </c>
      <c r="H865" s="302">
        <f>ROUND(F865*G865,2)</f>
        <v/>
      </c>
      <c r="I865" s="314" t="n"/>
    </row>
    <row r="866">
      <c r="A866" s="300" t="n">
        <v>850</v>
      </c>
      <c r="B866" s="346" t="n"/>
      <c r="C866" s="287" t="inlineStr">
        <is>
          <t>01.3.02.03-0012</t>
        </is>
      </c>
      <c r="D866" s="288" t="inlineStr">
        <is>
          <t>Ацетилен растворенный технический, марка Б</t>
        </is>
      </c>
      <c r="E866" s="374" t="inlineStr">
        <is>
          <t>т</t>
        </is>
      </c>
      <c r="F866" s="374" t="n">
        <v>0.0023</v>
      </c>
      <c r="G866" s="290" t="n">
        <v>30540</v>
      </c>
      <c r="H866" s="302">
        <f>ROUND(F866*G866,2)</f>
        <v/>
      </c>
      <c r="I866" s="314" t="n"/>
    </row>
    <row r="867">
      <c r="A867" s="300" t="n">
        <v>851</v>
      </c>
      <c r="B867" s="346" t="n"/>
      <c r="C867" s="287" t="inlineStr">
        <is>
          <t>14.5.04.08-0014</t>
        </is>
      </c>
      <c r="D867" s="288" t="inlineStr">
        <is>
          <t>Мастика полиизобутиленовая</t>
        </is>
      </c>
      <c r="E867" s="374" t="inlineStr">
        <is>
          <t>кг</t>
        </is>
      </c>
      <c r="F867" s="374" t="n">
        <v>24</v>
      </c>
      <c r="G867" s="290" t="n">
        <v>2.91</v>
      </c>
      <c r="H867" s="302">
        <f>ROUND(F867*G867,2)</f>
        <v/>
      </c>
      <c r="I867" s="314" t="n"/>
    </row>
    <row r="868">
      <c r="A868" s="300" t="n">
        <v>852</v>
      </c>
      <c r="B868" s="346" t="n"/>
      <c r="C868" s="287" t="inlineStr">
        <is>
          <t>Прайс из СД ОП</t>
        </is>
      </c>
      <c r="D868" s="288" t="inlineStr">
        <is>
          <t xml:space="preserve">Этикетка "Внимание электрообогрев" </t>
        </is>
      </c>
      <c r="E868" s="374" t="inlineStr">
        <is>
          <t>шт.</t>
        </is>
      </c>
      <c r="F868" s="374" t="n">
        <v>30</v>
      </c>
      <c r="G868" s="290" t="n">
        <v>2.31</v>
      </c>
      <c r="H868" s="302">
        <f>ROUND(F868*G868,2)</f>
        <v/>
      </c>
      <c r="I868" s="314" t="n"/>
    </row>
    <row r="869" ht="25.5" customHeight="1" s="248">
      <c r="A869" s="300" t="n">
        <v>853</v>
      </c>
      <c r="B869" s="346" t="n"/>
      <c r="C869" s="287" t="inlineStr">
        <is>
          <t>18.2.06.09-0007</t>
        </is>
      </c>
      <c r="D869" s="288" t="inlineStr">
        <is>
          <t>Сифон трубный для моек с отводным коленом 1 1/2"х50 мм</t>
        </is>
      </c>
      <c r="E869" s="374" t="inlineStr">
        <is>
          <t>компл</t>
        </is>
      </c>
      <c r="F869" s="374" t="n">
        <v>1</v>
      </c>
      <c r="G869" s="290" t="n">
        <v>68.73999999999999</v>
      </c>
      <c r="H869" s="302">
        <f>ROUND(F869*G869,2)</f>
        <v/>
      </c>
      <c r="I869" s="314" t="n"/>
    </row>
    <row r="870">
      <c r="A870" s="300" t="n">
        <v>854</v>
      </c>
      <c r="B870" s="346" t="n"/>
      <c r="C870" s="287" t="inlineStr">
        <is>
          <t>Прайс из СД ОП</t>
        </is>
      </c>
      <c r="D870" s="288" t="inlineStr">
        <is>
          <t>Клемма винтовая, 2,5 мм2, М2,5</t>
        </is>
      </c>
      <c r="E870" s="374" t="inlineStr">
        <is>
          <t>шт.</t>
        </is>
      </c>
      <c r="F870" s="374" t="n">
        <v>15</v>
      </c>
      <c r="G870" s="290" t="n">
        <v>4.58</v>
      </c>
      <c r="H870" s="302">
        <f>ROUND(F870*G870,2)</f>
        <v/>
      </c>
      <c r="I870" s="314" t="n"/>
    </row>
    <row r="871" ht="25.5" customHeight="1" s="248">
      <c r="A871" s="300" t="n">
        <v>855</v>
      </c>
      <c r="B871" s="346" t="n"/>
      <c r="C871" s="287" t="inlineStr">
        <is>
          <t>10.3.02.03-0011</t>
        </is>
      </c>
      <c r="D871" s="288" t="inlineStr">
        <is>
          <t>Припои оловянно-свинцовые бессурьмянистые, марка ПОС30</t>
        </is>
      </c>
      <c r="E871" s="374" t="inlineStr">
        <is>
          <t>т</t>
        </is>
      </c>
      <c r="F871" s="374" t="n">
        <v>0.001</v>
      </c>
      <c r="G871" s="290" t="n">
        <v>68050</v>
      </c>
      <c r="H871" s="302">
        <f>ROUND(F871*G871,2)</f>
        <v/>
      </c>
      <c r="I871" s="314" t="n"/>
    </row>
    <row r="872" ht="51" customHeight="1" s="248">
      <c r="A872" s="300" t="n">
        <v>856</v>
      </c>
      <c r="B872" s="346" t="n"/>
      <c r="C872" s="287" t="inlineStr">
        <is>
          <t>23.8.03.11-0126</t>
        </is>
      </c>
      <c r="D872" s="288" t="inlineStr">
        <is>
          <t>Фланцы стальные плоские приварные с соединительным выступом, марка стали ВСт3сп2, ВСт3сп3, номинальное давление 1 МПа, номинальный диаметр 32 мм</t>
        </is>
      </c>
      <c r="E872" s="374" t="inlineStr">
        <is>
          <t>шт</t>
        </is>
      </c>
      <c r="F872" s="374" t="n">
        <v>2</v>
      </c>
      <c r="G872" s="290" t="n">
        <v>33.92</v>
      </c>
      <c r="H872" s="302">
        <f>ROUND(F872*G872,2)</f>
        <v/>
      </c>
      <c r="I872" s="314" t="n"/>
    </row>
    <row r="873" ht="25.5" customHeight="1" s="248">
      <c r="A873" s="300" t="n">
        <v>857</v>
      </c>
      <c r="B873" s="346" t="n"/>
      <c r="C873" s="287" t="inlineStr">
        <is>
          <t>Прайс из СД ОП</t>
        </is>
      </c>
      <c r="D873" s="288" t="inlineStr">
        <is>
          <t>Автоматический выключатель трехполюсный модульный, Iн=16А, OptiDin BM63-3C20</t>
        </is>
      </c>
      <c r="E873" s="374" t="inlineStr">
        <is>
          <t>шт.</t>
        </is>
      </c>
      <c r="F873" s="374" t="n">
        <v>1</v>
      </c>
      <c r="G873" s="290" t="n">
        <v>67.34999999999999</v>
      </c>
      <c r="H873" s="302">
        <f>ROUND(F873*G873,2)</f>
        <v/>
      </c>
      <c r="I873" s="314" t="n"/>
    </row>
    <row r="874" ht="38.25" customHeight="1" s="248">
      <c r="A874" s="300" t="n">
        <v>858</v>
      </c>
      <c r="B874" s="346" t="n"/>
      <c r="C874" s="287" t="inlineStr">
        <is>
          <t>07.2.06.05-0001</t>
        </is>
      </c>
      <c r="D874" s="288" t="inlineStr">
        <is>
          <t>Удлинитель стальной, оцинкованный к профилю 60х27 мм, для соединения потолочных профилей, сечение 110х58х25х0,6 мм</t>
        </is>
      </c>
      <c r="E874" s="374" t="inlineStr">
        <is>
          <t>100 шт</t>
        </is>
      </c>
      <c r="F874" s="374" t="n">
        <v>1.1087</v>
      </c>
      <c r="G874" s="290" t="n">
        <v>59</v>
      </c>
      <c r="H874" s="302">
        <f>ROUND(F874*G874,2)</f>
        <v/>
      </c>
      <c r="I874" s="314" t="n"/>
    </row>
    <row r="875">
      <c r="A875" s="300" t="n">
        <v>859</v>
      </c>
      <c r="B875" s="346" t="n"/>
      <c r="C875" s="287" t="inlineStr">
        <is>
          <t>20.5.04.09-0001</t>
        </is>
      </c>
      <c r="D875" s="288" t="inlineStr">
        <is>
          <t>Сжимы ответвительные</t>
        </is>
      </c>
      <c r="E875" s="374" t="inlineStr">
        <is>
          <t>100 шт</t>
        </is>
      </c>
      <c r="F875" s="374" t="n">
        <v>0.123</v>
      </c>
      <c r="G875" s="290" t="n">
        <v>528</v>
      </c>
      <c r="H875" s="302">
        <f>ROUND(F875*G875,2)</f>
        <v/>
      </c>
      <c r="I875" s="314" t="n"/>
    </row>
    <row r="876" ht="25.5" customHeight="1" s="248">
      <c r="A876" s="300" t="n">
        <v>860</v>
      </c>
      <c r="B876" s="346" t="n"/>
      <c r="C876" s="287" t="inlineStr">
        <is>
          <t>Прайс из СД ОП</t>
        </is>
      </c>
      <c r="D876" s="288" t="inlineStr">
        <is>
          <t>Автоматический выключатель трехполюсный, OptiDin BM63-3С4</t>
        </is>
      </c>
      <c r="E876" s="374" t="inlineStr">
        <is>
          <t>шт.</t>
        </is>
      </c>
      <c r="F876" s="374" t="n">
        <v>1</v>
      </c>
      <c r="G876" s="290" t="n">
        <v>64.66</v>
      </c>
      <c r="H876" s="302">
        <f>ROUND(F876*G876,2)</f>
        <v/>
      </c>
      <c r="I876" s="314" t="n"/>
    </row>
    <row r="877">
      <c r="A877" s="300" t="n">
        <v>861</v>
      </c>
      <c r="B877" s="346" t="n"/>
      <c r="C877" s="287" t="inlineStr">
        <is>
          <t>01.7.15.04-0011</t>
        </is>
      </c>
      <c r="D877" s="288" t="inlineStr">
        <is>
          <t>Винты с полукруглой головкой, длина 50 мм</t>
        </is>
      </c>
      <c r="E877" s="374" t="inlineStr">
        <is>
          <t>т</t>
        </is>
      </c>
      <c r="F877" s="374" t="n">
        <v>0.0052</v>
      </c>
      <c r="G877" s="290" t="n">
        <v>12430</v>
      </c>
      <c r="H877" s="302">
        <f>ROUND(F877*G877,2)</f>
        <v/>
      </c>
      <c r="I877" s="314" t="n"/>
    </row>
    <row r="878" ht="25.5" customHeight="1" s="248">
      <c r="A878" s="300" t="n">
        <v>862</v>
      </c>
      <c r="B878" s="346" t="n"/>
      <c r="C878" s="287" t="inlineStr">
        <is>
          <t>11.1.03.06-0099</t>
        </is>
      </c>
      <c r="D878" s="288" t="inlineStr">
        <is>
          <t>Доска обрезная, хвойных пород, ширина 75-150, мм толщина 19-22 мм, длина 4-6,5 м, сорт III</t>
        </is>
      </c>
      <c r="E878" s="374" t="inlineStr">
        <is>
          <t>м3</t>
        </is>
      </c>
      <c r="F878" s="374" t="n">
        <v>0.052</v>
      </c>
      <c r="G878" s="290" t="n">
        <v>1242.2</v>
      </c>
      <c r="H878" s="302">
        <f>ROUND(F878*G878,2)</f>
        <v/>
      </c>
      <c r="I878" s="314" t="n"/>
    </row>
    <row r="879" ht="25.5" customHeight="1" s="248">
      <c r="A879" s="300" t="n">
        <v>863</v>
      </c>
      <c r="B879" s="346" t="n"/>
      <c r="C879" s="287" t="inlineStr">
        <is>
          <t>Прайс из СД ОП</t>
        </is>
      </c>
      <c r="D879" s="288" t="inlineStr">
        <is>
          <t>Автоматический выключатель трехполюсный, OptiDin BM63-3С40</t>
        </is>
      </c>
      <c r="E879" s="374" t="inlineStr">
        <is>
          <t>шт.</t>
        </is>
      </c>
      <c r="F879" s="374" t="n">
        <v>1</v>
      </c>
      <c r="G879" s="290" t="n">
        <v>64.39</v>
      </c>
      <c r="H879" s="302">
        <f>ROUND(F879*G879,2)</f>
        <v/>
      </c>
      <c r="I879" s="314" t="n"/>
    </row>
    <row r="880">
      <c r="A880" s="300" t="n">
        <v>864</v>
      </c>
      <c r="B880" s="346" t="n"/>
      <c r="C880" s="287" t="inlineStr">
        <is>
          <t>01.7.15.02-0086</t>
        </is>
      </c>
      <c r="D880" s="288" t="inlineStr">
        <is>
          <t>Болты с шестигранной головкой, диаметр 20 (22) мм</t>
        </is>
      </c>
      <c r="E880" s="374" t="inlineStr">
        <is>
          <t>т</t>
        </is>
      </c>
      <c r="F880" s="374" t="n">
        <v>0.0064</v>
      </c>
      <c r="G880" s="290" t="n">
        <v>9800</v>
      </c>
      <c r="H880" s="302">
        <f>ROUND(F880*G880,2)</f>
        <v/>
      </c>
      <c r="I880" s="314" t="n"/>
    </row>
    <row r="881">
      <c r="A881" s="300" t="n">
        <v>865</v>
      </c>
      <c r="B881" s="346" t="n"/>
      <c r="C881" s="287" t="inlineStr">
        <is>
          <t>14.4.03.17-0011</t>
        </is>
      </c>
      <c r="D881" s="288" t="inlineStr">
        <is>
          <t>Лак электроизоляционный 318</t>
        </is>
      </c>
      <c r="E881" s="374" t="inlineStr">
        <is>
          <t>кг</t>
        </is>
      </c>
      <c r="F881" s="374" t="n">
        <v>1.746</v>
      </c>
      <c r="G881" s="290" t="n">
        <v>35.63</v>
      </c>
      <c r="H881" s="302">
        <f>ROUND(F881*G881,2)</f>
        <v/>
      </c>
      <c r="I881" s="314" t="n"/>
    </row>
    <row r="882" ht="25.5" customFormat="1" customHeight="1" s="299">
      <c r="A882" s="300" t="n">
        <v>866</v>
      </c>
      <c r="B882" s="346" t="n"/>
      <c r="C882" s="287" t="inlineStr">
        <is>
          <t>Прайс из СД ОП</t>
        </is>
      </c>
      <c r="D882" s="288" t="inlineStr">
        <is>
          <t>Выключатель нагрузки трехполюсный, OptiDin BM63Р-363</t>
        </is>
      </c>
      <c r="E882" s="374" t="inlineStr">
        <is>
          <t>шт.</t>
        </is>
      </c>
      <c r="F882" s="374" t="n">
        <v>1</v>
      </c>
      <c r="G882" s="290" t="n">
        <v>61.31</v>
      </c>
      <c r="H882" s="302">
        <f>ROUND(F882*G882,2)</f>
        <v/>
      </c>
      <c r="I882" s="314" t="n"/>
    </row>
    <row r="883">
      <c r="A883" s="300" t="n">
        <v>867</v>
      </c>
      <c r="B883" s="346" t="n"/>
      <c r="C883" s="287" t="inlineStr">
        <is>
          <t>20.2.09.13-0011</t>
        </is>
      </c>
      <c r="D883" s="288" t="inlineStr">
        <is>
          <t>Муфты</t>
        </is>
      </c>
      <c r="E883" s="374" t="inlineStr">
        <is>
          <t>шт</t>
        </is>
      </c>
      <c r="F883" s="374" t="n">
        <v>12.216</v>
      </c>
      <c r="G883" s="290" t="n">
        <v>5</v>
      </c>
      <c r="H883" s="302">
        <f>ROUND(F883*G883,2)</f>
        <v/>
      </c>
      <c r="I883" s="314" t="n"/>
    </row>
    <row r="884" ht="25.5" customHeight="1" s="248">
      <c r="A884" s="300" t="n">
        <v>868</v>
      </c>
      <c r="B884" s="346" t="n"/>
      <c r="C884" s="287" t="inlineStr">
        <is>
          <t>Прайс из СД ОП</t>
        </is>
      </c>
      <c r="D884" s="288" t="inlineStr">
        <is>
          <t>Коробка распределительная для скрытого монтажа, 80х45 мм ГСК СП, арт.10174</t>
        </is>
      </c>
      <c r="E884" s="374" t="inlineStr">
        <is>
          <t>шт.</t>
        </is>
      </c>
      <c r="F884" s="374" t="n">
        <v>36</v>
      </c>
      <c r="G884" s="290" t="n">
        <v>1.69</v>
      </c>
      <c r="H884" s="302">
        <f>ROUND(F884*G884,2)</f>
        <v/>
      </c>
    </row>
    <row r="885" ht="25.5" customHeight="1" s="248">
      <c r="A885" s="300" t="n">
        <v>869</v>
      </c>
      <c r="B885" s="346" t="n"/>
      <c r="C885" s="287" t="inlineStr">
        <is>
          <t>Прайс из СД ОП</t>
        </is>
      </c>
      <c r="D885" s="288" t="inlineStr">
        <is>
          <t xml:space="preserve">Автоматический выключатель однополюсный модульный, Iн=10А, OptiDin BM63-1C10 </t>
        </is>
      </c>
      <c r="E885" s="374" t="inlineStr">
        <is>
          <t>шт.</t>
        </is>
      </c>
      <c r="F885" s="374" t="n">
        <v>3</v>
      </c>
      <c r="G885" s="290" t="n">
        <v>20.12</v>
      </c>
      <c r="H885" s="302">
        <f>ROUND(F885*G885,2)</f>
        <v/>
      </c>
    </row>
    <row r="886">
      <c r="A886" s="300" t="n">
        <v>870</v>
      </c>
      <c r="B886" s="346" t="n"/>
      <c r="C886" s="287" t="inlineStr">
        <is>
          <t>Прайс из СД ОП</t>
        </is>
      </c>
      <c r="D886" s="288" t="inlineStr">
        <is>
          <t xml:space="preserve">Монтажный хомут Канал-МК-125 </t>
        </is>
      </c>
      <c r="E886" s="374" t="inlineStr">
        <is>
          <t>шт.</t>
        </is>
      </c>
      <c r="F886" s="374" t="n">
        <v>4</v>
      </c>
      <c r="G886" s="290" t="n">
        <v>15.03</v>
      </c>
      <c r="H886" s="302">
        <f>ROUND(F886*G886,2)</f>
        <v/>
      </c>
    </row>
    <row r="887">
      <c r="A887" s="300" t="n">
        <v>871</v>
      </c>
      <c r="B887" s="346" t="n"/>
      <c r="C887" s="287" t="inlineStr">
        <is>
          <t>01.7.07.20-0002</t>
        </is>
      </c>
      <c r="D887" s="288" t="inlineStr">
        <is>
          <t>Тальк молотый, сорт I</t>
        </is>
      </c>
      <c r="E887" s="374" t="inlineStr">
        <is>
          <t>т</t>
        </is>
      </c>
      <c r="F887" s="374" t="n">
        <v>0.0328</v>
      </c>
      <c r="G887" s="290" t="n">
        <v>1820</v>
      </c>
      <c r="H887" s="302">
        <f>ROUND(F887*G887,2)</f>
        <v/>
      </c>
    </row>
    <row r="888" ht="25.5" customHeight="1" s="248">
      <c r="A888" s="300" t="n">
        <v>872</v>
      </c>
      <c r="B888" s="346" t="n"/>
      <c r="C888" s="287" t="inlineStr">
        <is>
          <t>19.1.05.04-0007</t>
        </is>
      </c>
      <c r="D888" s="288" t="inlineStr">
        <is>
          <t>Диффузоры потолочные пластиковые универсальные, диаметр 125 мм</t>
        </is>
      </c>
      <c r="E888" s="374" t="inlineStr">
        <is>
          <t>шт</t>
        </is>
      </c>
      <c r="F888" s="374" t="n">
        <v>2</v>
      </c>
      <c r="G888" s="290" t="n">
        <v>29.2</v>
      </c>
      <c r="H888" s="302">
        <f>ROUND(F888*G888,2)</f>
        <v/>
      </c>
    </row>
    <row r="889" ht="25.5" customHeight="1" s="248">
      <c r="A889" s="300" t="n">
        <v>873</v>
      </c>
      <c r="B889" s="346" t="n"/>
      <c r="C889" s="287" t="inlineStr">
        <is>
          <t>Прайс из СД ОП</t>
        </is>
      </c>
      <c r="D889" s="288" t="inlineStr">
        <is>
          <t>Автоматический выключатель трехполюсный, OptiDin BM63-3С20</t>
        </is>
      </c>
      <c r="E889" s="374" t="inlineStr">
        <is>
          <t>шт.</t>
        </is>
      </c>
      <c r="F889" s="374" t="n">
        <v>1</v>
      </c>
      <c r="G889" s="290" t="n">
        <v>58.38</v>
      </c>
      <c r="H889" s="302">
        <f>ROUND(F889*G889,2)</f>
        <v/>
      </c>
    </row>
    <row r="890" ht="25.5" customHeight="1" s="248">
      <c r="A890" s="300" t="n">
        <v>874</v>
      </c>
      <c r="B890" s="346" t="n"/>
      <c r="C890" s="287" t="inlineStr">
        <is>
          <t>Прайс из СД ОП</t>
        </is>
      </c>
      <c r="D890" s="288" t="inlineStr">
        <is>
          <t>Рамка скрытая однопостовая, Legrand Plexo, арт. 069692</t>
        </is>
      </c>
      <c r="E890" s="374" t="inlineStr">
        <is>
          <t>шт.</t>
        </is>
      </c>
      <c r="F890" s="374" t="n">
        <v>2</v>
      </c>
      <c r="G890" s="290" t="n">
        <v>29.16</v>
      </c>
      <c r="H890" s="302">
        <f>ROUND(F890*G890,2)</f>
        <v/>
      </c>
      <c r="I890" s="314" t="n"/>
    </row>
    <row r="891" ht="25.5" customHeight="1" s="248">
      <c r="A891" s="300" t="n">
        <v>875</v>
      </c>
      <c r="B891" s="346" t="n"/>
      <c r="C891" s="287" t="inlineStr">
        <is>
          <t>Прайс из СД ОП</t>
        </is>
      </c>
      <c r="D891" s="288" t="inlineStr">
        <is>
          <t>Автоматический выключатель трехполюсный, OptiDin BM63-3С25</t>
        </is>
      </c>
      <c r="E891" s="374" t="inlineStr">
        <is>
          <t>шт.</t>
        </is>
      </c>
      <c r="F891" s="374" t="n">
        <v>1</v>
      </c>
      <c r="G891" s="290" t="n">
        <v>58.24</v>
      </c>
      <c r="H891" s="302">
        <f>ROUND(F891*G891,2)</f>
        <v/>
      </c>
      <c r="I891" s="314" t="n"/>
    </row>
    <row r="892">
      <c r="A892" s="300" t="n">
        <v>876</v>
      </c>
      <c r="B892" s="346" t="n"/>
      <c r="C892" s="287" t="inlineStr">
        <is>
          <t>01.1.02.08-0031</t>
        </is>
      </c>
      <c r="D892" s="288" t="inlineStr">
        <is>
          <t>Прокладки паронитовые</t>
        </is>
      </c>
      <c r="E892" s="374" t="inlineStr">
        <is>
          <t>кг</t>
        </is>
      </c>
      <c r="F892" s="374" t="n">
        <v>2.184</v>
      </c>
      <c r="G892" s="290" t="n">
        <v>26.44</v>
      </c>
      <c r="H892" s="302">
        <f>ROUND(F892*G892,2)</f>
        <v/>
      </c>
      <c r="I892" s="314" t="n"/>
    </row>
    <row r="893" ht="25.5" customHeight="1" s="248">
      <c r="A893" s="300" t="n">
        <v>877</v>
      </c>
      <c r="B893" s="346" t="n"/>
      <c r="C893" s="287" t="inlineStr">
        <is>
          <t>Прайс из СД ОП</t>
        </is>
      </c>
      <c r="D893" s="288" t="inlineStr">
        <is>
          <t>Выключатель двухклавишный скрытой установки, 10 А, IP20 Legrand Valena, арт. 774405</t>
        </is>
      </c>
      <c r="E893" s="374" t="inlineStr">
        <is>
          <t>шт.</t>
        </is>
      </c>
      <c r="F893" s="374" t="n">
        <v>2</v>
      </c>
      <c r="G893" s="290" t="n">
        <v>27.91</v>
      </c>
      <c r="H893" s="302">
        <f>ROUND(F893*G893,2)</f>
        <v/>
      </c>
      <c r="I893" s="314" t="n"/>
    </row>
    <row r="894" ht="25.5" customHeight="1" s="248">
      <c r="A894" s="300" t="n">
        <v>878</v>
      </c>
      <c r="B894" s="346" t="n"/>
      <c r="C894" s="287" t="inlineStr">
        <is>
          <t>08.3.05.02-0073</t>
        </is>
      </c>
      <c r="D894" s="288" t="inlineStr">
        <is>
          <t>Сталь листовая горячекатаная марки Ст3пс толщиной: 6-8 мм</t>
        </is>
      </c>
      <c r="E894" s="374" t="inlineStr">
        <is>
          <t>т</t>
        </is>
      </c>
      <c r="F894" s="374" t="n">
        <v>0.008500000000000001</v>
      </c>
      <c r="G894" s="290" t="n">
        <v>6379.08</v>
      </c>
      <c r="H894" s="302">
        <f>ROUND(F894*G894,2)</f>
        <v/>
      </c>
      <c r="I894" s="314" t="n"/>
    </row>
    <row r="895" ht="25.5" customHeight="1" s="248">
      <c r="A895" s="300" t="n">
        <v>879</v>
      </c>
      <c r="B895" s="346" t="n"/>
      <c r="C895" s="287" t="inlineStr">
        <is>
          <t>08.3.08.02-0072</t>
        </is>
      </c>
      <c r="D895" s="288" t="inlineStr">
        <is>
          <t>Сталь угловая равнополочная, марка стали: Ст3пс, шириной полок 75-75 мм</t>
        </is>
      </c>
      <c r="E895" s="374" t="inlineStr">
        <is>
          <t>т</t>
        </is>
      </c>
      <c r="F895" s="374" t="n">
        <v>0.0112</v>
      </c>
      <c r="G895" s="290" t="n">
        <v>4840.65</v>
      </c>
      <c r="H895" s="302">
        <f>ROUND(F895*G895,2)</f>
        <v/>
      </c>
      <c r="I895" s="314" t="n"/>
    </row>
    <row r="896">
      <c r="A896" s="300" t="n">
        <v>880</v>
      </c>
      <c r="B896" s="346" t="n"/>
      <c r="C896" s="287" t="inlineStr">
        <is>
          <t>Прайс из СД ОП</t>
        </is>
      </c>
      <c r="D896" s="288" t="inlineStr">
        <is>
          <t xml:space="preserve">Датчик температуры TST05-4,0 </t>
        </is>
      </c>
      <c r="E896" s="374" t="inlineStr">
        <is>
          <t>шт.</t>
        </is>
      </c>
      <c r="F896" s="374" t="n">
        <v>1</v>
      </c>
      <c r="G896" s="290" t="n">
        <v>54.01</v>
      </c>
      <c r="H896" s="302">
        <f>ROUND(F896*G896,2)</f>
        <v/>
      </c>
      <c r="I896" s="314" t="n"/>
    </row>
    <row r="897">
      <c r="A897" s="300" t="n">
        <v>881</v>
      </c>
      <c r="B897" s="346" t="n"/>
      <c r="C897" s="287" t="inlineStr">
        <is>
          <t>01.6.01.02-0005</t>
        </is>
      </c>
      <c r="D897" s="288" t="inlineStr">
        <is>
          <t>Листы гипсокартонные ГКЛ, толщина 9,5 мм</t>
        </is>
      </c>
      <c r="E897" s="374" t="inlineStr">
        <is>
          <t>м2</t>
        </is>
      </c>
      <c r="F897" s="374" t="n">
        <v>3.603</v>
      </c>
      <c r="G897" s="290" t="n">
        <v>14.8</v>
      </c>
      <c r="H897" s="302">
        <f>ROUND(F897*G897,2)</f>
        <v/>
      </c>
      <c r="I897" s="314" t="n"/>
    </row>
    <row r="898" ht="25.5" customHeight="1" s="248">
      <c r="A898" s="300" t="n">
        <v>882</v>
      </c>
      <c r="B898" s="346" t="n"/>
      <c r="C898" s="287" t="inlineStr">
        <is>
          <t>Прайс из СД ОП</t>
        </is>
      </c>
      <c r="D898" s="288" t="inlineStr">
        <is>
          <t xml:space="preserve">Автоматический выключатель однополюсный модульный, Iн=6А, OptiDin BM63-1C6 </t>
        </is>
      </c>
      <c r="E898" s="374" t="inlineStr">
        <is>
          <t>шт.</t>
        </is>
      </c>
      <c r="F898" s="374" t="n">
        <v>2</v>
      </c>
      <c r="G898" s="290" t="n">
        <v>26.28</v>
      </c>
      <c r="H898" s="302">
        <f>ROUND(F898*G898,2)</f>
        <v/>
      </c>
      <c r="I898" s="314" t="n"/>
    </row>
    <row r="899">
      <c r="A899" s="300" t="n">
        <v>883</v>
      </c>
      <c r="B899" s="346" t="n"/>
      <c r="C899" s="287" t="inlineStr">
        <is>
          <t>20.2.02.01-0012</t>
        </is>
      </c>
      <c r="D899" s="288" t="inlineStr">
        <is>
          <t>Втулки, диаметр 22 мм</t>
        </is>
      </c>
      <c r="E899" s="374" t="inlineStr">
        <is>
          <t>1000 шт</t>
        </is>
      </c>
      <c r="F899" s="374" t="n">
        <v>0.4263</v>
      </c>
      <c r="G899" s="290" t="n">
        <v>119</v>
      </c>
      <c r="H899" s="302">
        <f>ROUND(F899*G899,2)</f>
        <v/>
      </c>
      <c r="I899" s="314" t="n"/>
    </row>
    <row r="900">
      <c r="A900" s="300" t="n">
        <v>884</v>
      </c>
      <c r="B900" s="346" t="n"/>
      <c r="C900" s="287" t="inlineStr">
        <is>
          <t>Прайс из СД ОП</t>
        </is>
      </c>
      <c r="D900" s="288" t="inlineStr">
        <is>
          <t>Уплотнитель замкового соединения 8ммх30м</t>
        </is>
      </c>
      <c r="E900" s="374" t="inlineStr">
        <is>
          <t>шт</t>
        </is>
      </c>
      <c r="F900" s="374" t="n">
        <v>7</v>
      </c>
      <c r="G900" s="290" t="n">
        <v>6.98</v>
      </c>
      <c r="H900" s="302">
        <f>ROUND(F900*G900,2)</f>
        <v/>
      </c>
      <c r="I900" s="314" t="n"/>
    </row>
    <row r="901" ht="25.5" customHeight="1" s="248">
      <c r="A901" s="300" t="n">
        <v>885</v>
      </c>
      <c r="B901" s="346" t="n"/>
      <c r="C901" s="287" t="inlineStr">
        <is>
          <t>08.3.03.05-0020</t>
        </is>
      </c>
      <c r="D901" s="288" t="inlineStr">
        <is>
          <t>Проволока стальная низкоуглеродистая разного назначения оцинкованная, диаметр 6,0-6,3 мм</t>
        </is>
      </c>
      <c r="E901" s="374" t="inlineStr">
        <is>
          <t>т</t>
        </is>
      </c>
      <c r="F901" s="374" t="n">
        <v>0.004</v>
      </c>
      <c r="G901" s="290" t="n">
        <v>12110</v>
      </c>
      <c r="H901" s="302">
        <f>ROUND(F901*G901,2)</f>
        <v/>
      </c>
      <c r="I901" s="314" t="n"/>
    </row>
    <row r="902" ht="38.25" customHeight="1" s="248">
      <c r="A902" s="300" t="n">
        <v>886</v>
      </c>
      <c r="B902" s="346" t="n"/>
      <c r="C902" s="287" t="inlineStr">
        <is>
          <t>08.3.06.01-0003</t>
        </is>
      </c>
      <c r="D902" s="288" t="inlineStr">
        <is>
          <t>Прокат ромбического рифления, горячекатаный, в листах с обрезными кромками, марка стали С235, ширина от 1 до 1,9 м, толщина 4 мм</t>
        </is>
      </c>
      <c r="E902" s="374" t="inlineStr">
        <is>
          <t>т</t>
        </is>
      </c>
      <c r="F902" s="374" t="n">
        <v>0.007</v>
      </c>
      <c r="G902" s="290" t="n">
        <v>6834.81</v>
      </c>
      <c r="H902" s="302">
        <f>ROUND(F902*G902,2)</f>
        <v/>
      </c>
      <c r="I902" s="314" t="n"/>
    </row>
    <row r="903">
      <c r="A903" s="300" t="n">
        <v>887</v>
      </c>
      <c r="B903" s="346" t="n"/>
      <c r="C903" s="287" t="inlineStr">
        <is>
          <t>Прайс из СД ОП</t>
        </is>
      </c>
      <c r="D903" s="288" t="inlineStr">
        <is>
          <t>Приставки контактные ПКЛ-11 УХЛ4</t>
        </is>
      </c>
      <c r="E903" s="374" t="inlineStr">
        <is>
          <t>шт.</t>
        </is>
      </c>
      <c r="F903" s="374" t="n">
        <v>2</v>
      </c>
      <c r="G903" s="290" t="n">
        <v>23.67</v>
      </c>
      <c r="H903" s="302">
        <f>ROUND(F903*G903,2)</f>
        <v/>
      </c>
      <c r="I903" s="314" t="n"/>
    </row>
    <row r="904">
      <c r="A904" s="300" t="n">
        <v>888</v>
      </c>
      <c r="B904" s="346" t="n"/>
      <c r="C904" s="287" t="inlineStr">
        <is>
          <t>12.2.03.14-0002</t>
        </is>
      </c>
      <c r="D904" s="288" t="inlineStr">
        <is>
          <t>Жгут пароизоловый, диаметр 40 мм</t>
        </is>
      </c>
      <c r="E904" s="374" t="inlineStr">
        <is>
          <t>м</t>
        </is>
      </c>
      <c r="F904" s="374" t="n">
        <v>8</v>
      </c>
      <c r="G904" s="290" t="n">
        <v>5.9</v>
      </c>
      <c r="H904" s="302">
        <f>ROUND(F904*G904,2)</f>
        <v/>
      </c>
      <c r="I904" s="314" t="n"/>
    </row>
    <row r="905">
      <c r="A905" s="300" t="n">
        <v>889</v>
      </c>
      <c r="B905" s="346" t="n"/>
      <c r="C905" s="287" t="inlineStr">
        <is>
          <t>01.7.20.04-0003</t>
        </is>
      </c>
      <c r="D905" s="288" t="inlineStr">
        <is>
          <t>Нитки суровые</t>
        </is>
      </c>
      <c r="E905" s="374" t="inlineStr">
        <is>
          <t>кг</t>
        </is>
      </c>
      <c r="F905" s="374" t="n">
        <v>0.3</v>
      </c>
      <c r="G905" s="290" t="n">
        <v>155</v>
      </c>
      <c r="H905" s="302">
        <f>ROUND(F905*G905,2)</f>
        <v/>
      </c>
      <c r="I905" s="314" t="n"/>
    </row>
    <row r="906" ht="25.5" customHeight="1" s="248">
      <c r="A906" s="300" t="n">
        <v>890</v>
      </c>
      <c r="B906" s="346" t="n"/>
      <c r="C906" s="287" t="inlineStr">
        <is>
          <t>Прайс из СД ОП</t>
        </is>
      </c>
      <c r="D906" s="288" t="inlineStr">
        <is>
          <t>Автоматический выключатель однополюсный, OptiDin BM63-1С1</t>
        </is>
      </c>
      <c r="E906" s="374" t="inlineStr">
        <is>
          <t>шт.</t>
        </is>
      </c>
      <c r="F906" s="374" t="n">
        <v>2</v>
      </c>
      <c r="G906" s="290" t="n">
        <v>22.77</v>
      </c>
      <c r="H906" s="302">
        <f>ROUND(F906*G906,2)</f>
        <v/>
      </c>
      <c r="I906" s="314" t="n"/>
    </row>
    <row r="907" customFormat="1" s="299">
      <c r="A907" s="300" t="n">
        <v>891</v>
      </c>
      <c r="B907" s="346" t="n"/>
      <c r="C907" s="287" t="inlineStr">
        <is>
          <t>01.7.15.14-0165</t>
        </is>
      </c>
      <c r="D907" s="288" t="inlineStr">
        <is>
          <t>Шурупы с полукруглой головкой 4х40 мм</t>
        </is>
      </c>
      <c r="E907" s="374" t="inlineStr">
        <is>
          <t>т</t>
        </is>
      </c>
      <c r="F907" s="374" t="n">
        <v>0.0036</v>
      </c>
      <c r="G907" s="290" t="n">
        <v>12430</v>
      </c>
      <c r="H907" s="302">
        <f>ROUND(F907*G907,2)</f>
        <v/>
      </c>
      <c r="I907" s="314" t="n"/>
    </row>
    <row r="908">
      <c r="A908" s="300" t="n">
        <v>892</v>
      </c>
      <c r="B908" s="346" t="n"/>
      <c r="C908" s="287" t="inlineStr">
        <is>
          <t>01.7.06.03-0023</t>
        </is>
      </c>
      <c r="D908" s="288" t="inlineStr">
        <is>
          <t>Лента полиэтиленовая с липким слоем, марка А</t>
        </is>
      </c>
      <c r="E908" s="374" t="inlineStr">
        <is>
          <t>кг</t>
        </is>
      </c>
      <c r="F908" s="374" t="n">
        <v>1.1017</v>
      </c>
      <c r="G908" s="290" t="n">
        <v>39.02</v>
      </c>
      <c r="H908" s="302">
        <f>ROUND(F908*G908,2)</f>
        <v/>
      </c>
      <c r="I908" s="314" t="n"/>
    </row>
    <row r="909">
      <c r="A909" s="300" t="n">
        <v>893</v>
      </c>
      <c r="B909" s="346" t="n"/>
      <c r="C909" s="287" t="inlineStr">
        <is>
          <t>01.7.15.02-0071</t>
        </is>
      </c>
      <c r="D909" s="288" t="inlineStr">
        <is>
          <t>Болты распорный МР диаметр 12 мм, длина 100 мм</t>
        </is>
      </c>
      <c r="E909" s="374" t="inlineStr">
        <is>
          <t>шт</t>
        </is>
      </c>
      <c r="F909" s="374" t="n">
        <v>8</v>
      </c>
      <c r="G909" s="290" t="n">
        <v>5.28</v>
      </c>
      <c r="H909" s="302">
        <f>ROUND(F909*G909,2)</f>
        <v/>
      </c>
      <c r="I909" s="314" t="n"/>
      <c r="K909" s="307" t="n"/>
    </row>
    <row r="910" ht="25.5" customHeight="1" s="248">
      <c r="A910" s="300" t="n">
        <v>894</v>
      </c>
      <c r="B910" s="346" t="n"/>
      <c r="C910" s="287" t="inlineStr">
        <is>
          <t>01.1.02.04-0011</t>
        </is>
      </c>
      <c r="D910" s="288" t="inlineStr">
        <is>
          <t>Картон асбестовый общего назначения марка КАОН-1, толщина 3 мм</t>
        </is>
      </c>
      <c r="E910" s="374" t="inlineStr">
        <is>
          <t>т</t>
        </is>
      </c>
      <c r="F910" s="374" t="n">
        <v>0.0047</v>
      </c>
      <c r="G910" s="290" t="n">
        <v>8892</v>
      </c>
      <c r="H910" s="302">
        <f>ROUND(F910*G910,2)</f>
        <v/>
      </c>
      <c r="I910" s="314" t="n"/>
      <c r="K910" s="307" t="n"/>
    </row>
    <row r="911">
      <c r="A911" s="300" t="n">
        <v>895</v>
      </c>
      <c r="B911" s="346" t="n"/>
      <c r="C911" s="287" t="inlineStr">
        <is>
          <t>01.7.11.07-0040</t>
        </is>
      </c>
      <c r="D911" s="288" t="inlineStr">
        <is>
          <t>Электроды сварочные Э50А, диаметр 4 мм</t>
        </is>
      </c>
      <c r="E911" s="374" t="inlineStr">
        <is>
          <t>т</t>
        </is>
      </c>
      <c r="F911" s="374" t="n">
        <v>0.0036</v>
      </c>
      <c r="G911" s="290" t="n">
        <v>11524</v>
      </c>
      <c r="H911" s="302">
        <f>ROUND(F911*G911,2)</f>
        <v/>
      </c>
      <c r="I911" s="314" t="n"/>
      <c r="K911" s="307" t="n"/>
    </row>
    <row r="912">
      <c r="A912" s="300" t="n">
        <v>896</v>
      </c>
      <c r="B912" s="346" t="n"/>
      <c r="C912" s="287" t="inlineStr">
        <is>
          <t>Прайс из СД ОП</t>
        </is>
      </c>
      <c r="D912" s="288" t="inlineStr">
        <is>
          <t xml:space="preserve">Решетка декоративная Р25-200х150 </t>
        </is>
      </c>
      <c r="E912" s="374" t="inlineStr">
        <is>
          <t>шт.</t>
        </is>
      </c>
      <c r="F912" s="374" t="n">
        <v>1</v>
      </c>
      <c r="G912" s="290" t="n">
        <v>41.43</v>
      </c>
      <c r="H912" s="302">
        <f>ROUND(F912*G912,2)</f>
        <v/>
      </c>
      <c r="I912" s="314" t="n"/>
    </row>
    <row r="913">
      <c r="A913" s="300" t="n">
        <v>897</v>
      </c>
      <c r="B913" s="346" t="n"/>
      <c r="C913" s="287" t="inlineStr">
        <is>
          <t>14.1.06.02-1002</t>
        </is>
      </c>
      <c r="D913" s="288" t="inlineStr">
        <is>
          <t>Клей плиточный</t>
        </is>
      </c>
      <c r="E913" s="374" t="inlineStr">
        <is>
          <t>кг</t>
        </is>
      </c>
      <c r="F913" s="374" t="n">
        <v>29.25</v>
      </c>
      <c r="G913" s="290" t="n">
        <v>1.37</v>
      </c>
      <c r="H913" s="302">
        <f>ROUND(F913*G913,2)</f>
        <v/>
      </c>
      <c r="I913" s="314" t="n"/>
    </row>
    <row r="914" ht="25.5" customHeight="1" s="248">
      <c r="A914" s="300" t="n">
        <v>898</v>
      </c>
      <c r="B914" s="346" t="n"/>
      <c r="C914" s="287" t="inlineStr">
        <is>
          <t>08.3.03.05-0011</t>
        </is>
      </c>
      <c r="D914" s="288" t="inlineStr">
        <is>
          <t>Проволока стальная низкоуглеродистая разного назначения оцинкованная, диаметр 1,1 мм</t>
        </is>
      </c>
      <c r="E914" s="374" t="inlineStr">
        <is>
          <t>т</t>
        </is>
      </c>
      <c r="F914" s="374" t="n">
        <v>0.0027</v>
      </c>
      <c r="G914" s="290" t="n">
        <v>14690</v>
      </c>
      <c r="H914" s="302">
        <f>ROUND(F914*G914,2)</f>
        <v/>
      </c>
      <c r="I914" s="314" t="n"/>
    </row>
    <row r="915" ht="25.5" customHeight="1" s="248">
      <c r="A915" s="300" t="n">
        <v>899</v>
      </c>
      <c r="B915" s="346" t="n"/>
      <c r="C915" s="287" t="inlineStr">
        <is>
          <t>Прайс из СД ОП</t>
        </is>
      </c>
      <c r="D915" s="288" t="inlineStr">
        <is>
          <t>Выключатель одноклавишный скрытой установки, 10 А, IP44 Legrand Plexo, арт. 069630</t>
        </is>
      </c>
      <c r="E915" s="374" t="inlineStr">
        <is>
          <t>шт.</t>
        </is>
      </c>
      <c r="F915" s="374" t="n">
        <v>1</v>
      </c>
      <c r="G915" s="290" t="n">
        <v>38.66</v>
      </c>
      <c r="H915" s="302">
        <f>ROUND(F915*G915,2)</f>
        <v/>
      </c>
      <c r="I915" s="314" t="n"/>
    </row>
    <row r="916">
      <c r="A916" s="300" t="n">
        <v>900</v>
      </c>
      <c r="B916" s="346" t="n"/>
      <c r="C916" s="287" t="inlineStr">
        <is>
          <t>01.7.02.07-0011</t>
        </is>
      </c>
      <c r="D916" s="288" t="inlineStr">
        <is>
          <t>Прессшпан листовой, марка А</t>
        </is>
      </c>
      <c r="E916" s="374" t="inlineStr">
        <is>
          <t>кг</t>
        </is>
      </c>
      <c r="F916" s="374" t="n">
        <v>0.8</v>
      </c>
      <c r="G916" s="290" t="n">
        <v>47.57</v>
      </c>
      <c r="H916" s="302">
        <f>ROUND(F916*G916,2)</f>
        <v/>
      </c>
      <c r="I916" s="314" t="n"/>
    </row>
    <row r="917">
      <c r="A917" s="300" t="n">
        <v>901</v>
      </c>
      <c r="B917" s="346" t="n"/>
      <c r="C917" s="287" t="inlineStr">
        <is>
          <t>01.7.07.29-0101</t>
        </is>
      </c>
      <c r="D917" s="288" t="inlineStr">
        <is>
          <t>Очес льняной</t>
        </is>
      </c>
      <c r="E917" s="374" t="inlineStr">
        <is>
          <t>кг</t>
        </is>
      </c>
      <c r="F917" s="374" t="n">
        <v>1.0161</v>
      </c>
      <c r="G917" s="290" t="n">
        <v>37.29</v>
      </c>
      <c r="H917" s="302">
        <f>ROUND(F917*G917,2)</f>
        <v/>
      </c>
      <c r="I917" s="314" t="n"/>
    </row>
    <row r="918" ht="25.5" customHeight="1" s="248">
      <c r="A918" s="300" t="n">
        <v>902</v>
      </c>
      <c r="B918" s="346" t="n"/>
      <c r="C918" s="287" t="inlineStr">
        <is>
          <t>Прайс из СД ОП</t>
        </is>
      </c>
      <c r="D918" s="288" t="inlineStr">
        <is>
          <t>Выключатель двухклавишный открытой установки, 10 А, IP44 Этюд, арт. ВА10-042В</t>
        </is>
      </c>
      <c r="E918" s="374" t="inlineStr">
        <is>
          <t>шт.</t>
        </is>
      </c>
      <c r="F918" s="374" t="n">
        <v>2</v>
      </c>
      <c r="G918" s="290" t="n">
        <v>18.82</v>
      </c>
      <c r="H918" s="302">
        <f>ROUND(F918*G918,2)</f>
        <v/>
      </c>
      <c r="I918" s="314" t="n"/>
    </row>
    <row r="919" ht="25.5" customHeight="1" s="248">
      <c r="A919" s="300" t="n">
        <v>903</v>
      </c>
      <c r="B919" s="346" t="n"/>
      <c r="C919" s="287" t="inlineStr">
        <is>
          <t>01.7.15.06-0094</t>
        </is>
      </c>
      <c r="D919" s="288" t="inlineStr">
        <is>
          <t>Гвозди проволочные оцинкованные для асбестоцементной кровли, размер 4,5х120 мм</t>
        </is>
      </c>
      <c r="E919" s="374" t="inlineStr">
        <is>
          <t>т</t>
        </is>
      </c>
      <c r="F919" s="374" t="n">
        <v>0.0031</v>
      </c>
      <c r="G919" s="290" t="n">
        <v>11978</v>
      </c>
      <c r="H919" s="302">
        <f>ROUND(F919*G919,2)</f>
        <v/>
      </c>
      <c r="I919" s="314" t="n"/>
    </row>
    <row r="920" customFormat="1" s="299">
      <c r="A920" s="300" t="n">
        <v>904</v>
      </c>
      <c r="B920" s="346" t="n"/>
      <c r="C920" s="287" t="inlineStr">
        <is>
          <t>25.2.01.01-0017</t>
        </is>
      </c>
      <c r="D920" s="288" t="inlineStr">
        <is>
          <t>Бирки маркировочные пластмассовые</t>
        </is>
      </c>
      <c r="E920" s="374" t="inlineStr">
        <is>
          <t>100 шт</t>
        </is>
      </c>
      <c r="F920" s="374" t="n">
        <v>1.199</v>
      </c>
      <c r="G920" s="290" t="n">
        <v>30.74</v>
      </c>
      <c r="H920" s="302">
        <f>ROUND(F920*G920,2)</f>
        <v/>
      </c>
      <c r="I920" s="314" t="n"/>
    </row>
    <row r="921">
      <c r="A921" s="300" t="n">
        <v>905</v>
      </c>
      <c r="B921" s="346" t="n"/>
      <c r="C921" s="287" t="inlineStr">
        <is>
          <t>01.7.20.04-0005</t>
        </is>
      </c>
      <c r="D921" s="288" t="inlineStr">
        <is>
          <t>Нитки швейные</t>
        </is>
      </c>
      <c r="E921" s="374" t="inlineStr">
        <is>
          <t>кг</t>
        </is>
      </c>
      <c r="F921" s="374" t="n">
        <v>0.2762</v>
      </c>
      <c r="G921" s="290" t="n">
        <v>133.05</v>
      </c>
      <c r="H921" s="302">
        <f>ROUND(F921*G921,2)</f>
        <v/>
      </c>
      <c r="I921" s="314" t="n"/>
    </row>
    <row r="922" ht="25.5" customHeight="1" s="248">
      <c r="A922" s="300" t="n">
        <v>906</v>
      </c>
      <c r="B922" s="346" t="n"/>
      <c r="C922" s="287" t="inlineStr">
        <is>
          <t>01.7.15.04-0054</t>
        </is>
      </c>
      <c r="D922" s="288" t="inlineStr">
        <is>
          <t>Винты самонарезающие, оцинкованные, размер 4х12 мм</t>
        </is>
      </c>
      <c r="E922" s="374" t="inlineStr">
        <is>
          <t>т</t>
        </is>
      </c>
      <c r="F922" s="374" t="n">
        <v>0.0011</v>
      </c>
      <c r="G922" s="290" t="n">
        <v>33180</v>
      </c>
      <c r="H922" s="302">
        <f>ROUND(F922*G922,2)</f>
        <v/>
      </c>
      <c r="I922" s="314" t="n"/>
      <c r="K922" s="307" t="n"/>
    </row>
    <row r="923" ht="25.5" customHeight="1" s="248">
      <c r="A923" s="300" t="n">
        <v>907</v>
      </c>
      <c r="B923" s="346" t="n"/>
      <c r="C923" s="287" t="inlineStr">
        <is>
          <t>Прайс из СД ОП</t>
        </is>
      </c>
      <c r="D923" s="288" t="inlineStr">
        <is>
          <t>Шина защитного заземления  PE на 2х угловых изоляторах ШНИ-6х9-20-У2-Ж</t>
        </is>
      </c>
      <c r="E923" s="374" t="inlineStr">
        <is>
          <t>шт.</t>
        </is>
      </c>
      <c r="F923" s="374" t="n">
        <v>2</v>
      </c>
      <c r="G923" s="290" t="n">
        <v>17.75</v>
      </c>
      <c r="H923" s="302">
        <f>ROUND(F923*G923,2)</f>
        <v/>
      </c>
      <c r="I923" s="314" t="n"/>
      <c r="K923" s="307" t="n"/>
    </row>
    <row r="924">
      <c r="A924" s="300" t="n">
        <v>908</v>
      </c>
      <c r="B924" s="346" t="n"/>
      <c r="C924" s="287" t="inlineStr">
        <is>
          <t>Прайс из СД ОП</t>
        </is>
      </c>
      <c r="D924" s="288" t="inlineStr">
        <is>
          <t>Шина нулевая ШНИ-6х9-20-У2-С</t>
        </is>
      </c>
      <c r="E924" s="374" t="inlineStr">
        <is>
          <t>шт.</t>
        </is>
      </c>
      <c r="F924" s="374" t="n">
        <v>2</v>
      </c>
      <c r="G924" s="290" t="n">
        <v>17.75</v>
      </c>
      <c r="H924" s="302">
        <f>ROUND(F924*G924,2)</f>
        <v/>
      </c>
      <c r="I924" s="314" t="n"/>
      <c r="K924" s="307" t="n"/>
    </row>
    <row r="925">
      <c r="A925" s="300" t="n">
        <v>909</v>
      </c>
      <c r="B925" s="346" t="n"/>
      <c r="C925" s="287" t="inlineStr">
        <is>
          <t>Прайс из СД ОП</t>
        </is>
      </c>
      <c r="D925" s="288" t="inlineStr">
        <is>
          <t xml:space="preserve">Монтажный хомут Канал-МК-160 </t>
        </is>
      </c>
      <c r="E925" s="374" t="inlineStr">
        <is>
          <t>шт.</t>
        </is>
      </c>
      <c r="F925" s="374" t="n">
        <v>2</v>
      </c>
      <c r="G925" s="290" t="n">
        <v>17.64</v>
      </c>
      <c r="H925" s="302">
        <f>ROUND(F925*G925,2)</f>
        <v/>
      </c>
    </row>
    <row r="926" ht="25.5" customHeight="1" s="248">
      <c r="A926" s="300" t="n">
        <v>910</v>
      </c>
      <c r="B926" s="346" t="n"/>
      <c r="C926" s="287" t="inlineStr">
        <is>
          <t>Прайс из СД ОП</t>
        </is>
      </c>
      <c r="D926" s="288" t="inlineStr">
        <is>
          <t>Коробка распределительная для скрытого монтажа, 80х45 мм ГСК СП, арт.10174</t>
        </is>
      </c>
      <c r="E926" s="374" t="inlineStr">
        <is>
          <t>шт.</t>
        </is>
      </c>
      <c r="F926" s="374" t="n">
        <v>16</v>
      </c>
      <c r="G926" s="290" t="n">
        <v>2.18</v>
      </c>
      <c r="H926" s="302">
        <f>ROUND(F926*G926,2)</f>
        <v/>
      </c>
    </row>
    <row r="927">
      <c r="A927" s="300" t="n">
        <v>911</v>
      </c>
      <c r="B927" s="346" t="n"/>
      <c r="C927" s="287" t="inlineStr">
        <is>
          <t>01.7.06.07-0002</t>
        </is>
      </c>
      <c r="D927" s="288" t="inlineStr">
        <is>
          <t>Лента монтажная, тип ЛМ-5</t>
        </is>
      </c>
      <c r="E927" s="374" t="inlineStr">
        <is>
          <t>10 м</t>
        </is>
      </c>
      <c r="F927" s="374" t="n">
        <v>4.7844</v>
      </c>
      <c r="G927" s="290" t="n">
        <v>6.9</v>
      </c>
      <c r="H927" s="302">
        <f>ROUND(F927*G927,2)</f>
        <v/>
      </c>
    </row>
    <row r="928">
      <c r="A928" s="300" t="n">
        <v>912</v>
      </c>
      <c r="B928" s="346" t="n"/>
      <c r="C928" s="287" t="inlineStr">
        <is>
          <t>01.7.19.07-0003</t>
        </is>
      </c>
      <c r="D928" s="288" t="inlineStr">
        <is>
          <t>Резина прессованная</t>
        </is>
      </c>
      <c r="E928" s="374" t="inlineStr">
        <is>
          <t>кг</t>
        </is>
      </c>
      <c r="F928" s="374" t="n">
        <v>1.112</v>
      </c>
      <c r="G928" s="290" t="n">
        <v>28.26</v>
      </c>
      <c r="H928" s="302">
        <f>ROUND(F928*G928,2)</f>
        <v/>
      </c>
    </row>
    <row r="929">
      <c r="A929" s="300" t="n">
        <v>913</v>
      </c>
      <c r="B929" s="346" t="n"/>
      <c r="C929" s="287" t="inlineStr">
        <is>
          <t>24.3.01.01-0002</t>
        </is>
      </c>
      <c r="D929" s="288" t="inlineStr">
        <is>
          <t>Трубка полихлорвиниловая</t>
        </is>
      </c>
      <c r="E929" s="374" t="inlineStr">
        <is>
          <t>кг</t>
        </is>
      </c>
      <c r="F929" s="374" t="n">
        <v>0.832</v>
      </c>
      <c r="G929" s="290" t="n">
        <v>35.7</v>
      </c>
      <c r="H929" s="302">
        <f>ROUND(F929*G929,2)</f>
        <v/>
      </c>
    </row>
    <row r="930">
      <c r="A930" s="300" t="n">
        <v>914</v>
      </c>
      <c r="B930" s="346" t="n"/>
      <c r="C930" s="287" t="inlineStr">
        <is>
          <t>22.2.02.11-0051</t>
        </is>
      </c>
      <c r="D930" s="288" t="inlineStr">
        <is>
          <t>Гайки установочные заземляющие</t>
        </is>
      </c>
      <c r="E930" s="374" t="inlineStr">
        <is>
          <t>100 шт</t>
        </is>
      </c>
      <c r="F930" s="374" t="n">
        <v>0.329</v>
      </c>
      <c r="G930" s="290" t="n">
        <v>88.5</v>
      </c>
      <c r="H930" s="302">
        <f>ROUND(F930*G930,2)</f>
        <v/>
      </c>
    </row>
    <row r="931">
      <c r="A931" s="300" t="n">
        <v>915</v>
      </c>
      <c r="B931" s="346" t="n"/>
      <c r="C931" s="287" t="inlineStr">
        <is>
          <t>01.7.15.02-0055</t>
        </is>
      </c>
      <c r="D931" s="288" t="inlineStr">
        <is>
          <t>Болты высокопрочные</t>
        </is>
      </c>
      <c r="E931" s="374" t="inlineStr">
        <is>
          <t>т</t>
        </is>
      </c>
      <c r="F931" s="374" t="n">
        <v>0.001</v>
      </c>
      <c r="G931" s="290" t="n">
        <v>27595</v>
      </c>
      <c r="H931" s="302">
        <f>ROUND(F931*G931,2)</f>
        <v/>
      </c>
    </row>
    <row r="932">
      <c r="A932" s="300" t="n">
        <v>916</v>
      </c>
      <c r="B932" s="346" t="n"/>
      <c r="C932" s="287" t="inlineStr">
        <is>
          <t>01.7.07.29-0031</t>
        </is>
      </c>
      <c r="D932" s="288" t="inlineStr">
        <is>
          <t>Каболка</t>
        </is>
      </c>
      <c r="E932" s="374" t="inlineStr">
        <is>
          <t>т</t>
        </is>
      </c>
      <c r="F932" s="374" t="n">
        <v>0.0009</v>
      </c>
      <c r="G932" s="290" t="n">
        <v>30030</v>
      </c>
      <c r="H932" s="302">
        <f>ROUND(F932*G932,2)</f>
        <v/>
      </c>
    </row>
    <row r="933">
      <c r="A933" s="300" t="n">
        <v>917</v>
      </c>
      <c r="B933" s="346" t="n"/>
      <c r="C933" s="287" t="inlineStr">
        <is>
          <t>20.2.02.01-0014</t>
        </is>
      </c>
      <c r="D933" s="288" t="inlineStr">
        <is>
          <t>Втулки, диаметр 42 мм</t>
        </is>
      </c>
      <c r="E933" s="374" t="inlineStr">
        <is>
          <t>1000 шт</t>
        </is>
      </c>
      <c r="F933" s="374" t="n">
        <v>0.0891</v>
      </c>
      <c r="G933" s="290" t="n">
        <v>282.03</v>
      </c>
      <c r="H933" s="302">
        <f>ROUND(F933*G933,2)</f>
        <v/>
      </c>
    </row>
    <row r="934">
      <c r="A934" s="300" t="n">
        <v>918</v>
      </c>
      <c r="B934" s="346" t="n"/>
      <c r="C934" s="287" t="inlineStr">
        <is>
          <t>Прайс из СД ОП</t>
        </is>
      </c>
      <c r="D934" s="288" t="inlineStr">
        <is>
          <t>Лампа сигнальная зеленая AD-22DS</t>
        </is>
      </c>
      <c r="E934" s="374" t="inlineStr">
        <is>
          <t>шт.</t>
        </is>
      </c>
      <c r="F934" s="374" t="n">
        <v>2</v>
      </c>
      <c r="G934" s="290" t="n">
        <v>12.19</v>
      </c>
      <c r="H934" s="302">
        <f>ROUND(F934*G934,2)</f>
        <v/>
      </c>
    </row>
    <row r="935">
      <c r="A935" s="300" t="n">
        <v>919</v>
      </c>
      <c r="B935" s="346" t="n"/>
      <c r="C935" s="287" t="inlineStr">
        <is>
          <t>Прайс из СД ОП</t>
        </is>
      </c>
      <c r="D935" s="288" t="inlineStr">
        <is>
          <t>Лампа сигнальная красная AD-22DS</t>
        </is>
      </c>
      <c r="E935" s="374" t="inlineStr">
        <is>
          <t>шт.</t>
        </is>
      </c>
      <c r="F935" s="374" t="n">
        <v>2</v>
      </c>
      <c r="G935" s="290" t="n">
        <v>12.19</v>
      </c>
      <c r="H935" s="302">
        <f>ROUND(F935*G935,2)</f>
        <v/>
      </c>
      <c r="I935" s="314" t="n"/>
    </row>
    <row r="936">
      <c r="A936" s="300" t="n">
        <v>920</v>
      </c>
      <c r="B936" s="346" t="n"/>
      <c r="C936" s="287" t="inlineStr">
        <is>
          <t>01.7.02.06-0017</t>
        </is>
      </c>
      <c r="D936" s="288" t="inlineStr">
        <is>
          <t>Картон строительный прокладочный, марка Б</t>
        </is>
      </c>
      <c r="E936" s="374" t="inlineStr">
        <is>
          <t>т</t>
        </is>
      </c>
      <c r="F936" s="374" t="n">
        <v>0.0012</v>
      </c>
      <c r="G936" s="290" t="n">
        <v>19800</v>
      </c>
      <c r="H936" s="302">
        <f>ROUND(F936*G936,2)</f>
        <v/>
      </c>
      <c r="I936" s="314" t="n"/>
    </row>
    <row r="937">
      <c r="A937" s="300" t="n">
        <v>921</v>
      </c>
      <c r="B937" s="346" t="n"/>
      <c r="C937" s="287" t="inlineStr">
        <is>
          <t>Прайс из СД ОП</t>
        </is>
      </c>
      <c r="D937" s="288" t="inlineStr">
        <is>
          <t>Шина нулевая</t>
        </is>
      </c>
      <c r="E937" s="374" t="inlineStr">
        <is>
          <t>шт.</t>
        </is>
      </c>
      <c r="F937" s="374" t="n">
        <v>2</v>
      </c>
      <c r="G937" s="290" t="n">
        <v>11.66</v>
      </c>
      <c r="H937" s="302">
        <f>ROUND(F937*G937,2)</f>
        <v/>
      </c>
      <c r="I937" s="314" t="n"/>
    </row>
    <row r="938" ht="25.5" customHeight="1" s="248">
      <c r="A938" s="300" t="n">
        <v>922</v>
      </c>
      <c r="B938" s="346" t="n"/>
      <c r="C938" s="287" t="inlineStr">
        <is>
          <t>08.3.05.02-0101</t>
        </is>
      </c>
      <c r="D938" s="288" t="inlineStr">
        <is>
          <t>Прокат толстолистовой горячекатаный в листах, марка стали ВСт3пс5, толщина 4-6 мм</t>
        </is>
      </c>
      <c r="E938" s="374" t="inlineStr">
        <is>
          <t>т</t>
        </is>
      </c>
      <c r="F938" s="374" t="n">
        <v>0.004</v>
      </c>
      <c r="G938" s="290" t="n">
        <v>5763</v>
      </c>
      <c r="H938" s="302">
        <f>ROUND(F938*G938,2)</f>
        <v/>
      </c>
      <c r="I938" s="314" t="n"/>
    </row>
    <row r="939">
      <c r="A939" s="300" t="n">
        <v>923</v>
      </c>
      <c r="B939" s="346" t="n"/>
      <c r="C939" s="287" t="inlineStr">
        <is>
          <t>20.2.01.05-0005</t>
        </is>
      </c>
      <c r="D939" s="288" t="inlineStr">
        <is>
          <t>Гильзы кабельные медные ГМ 16</t>
        </is>
      </c>
      <c r="E939" s="374" t="inlineStr">
        <is>
          <t>100 шт</t>
        </is>
      </c>
      <c r="F939" s="374" t="n">
        <v>0.16</v>
      </c>
      <c r="G939" s="290" t="n">
        <v>143</v>
      </c>
      <c r="H939" s="302">
        <f>ROUND(F939*G939,2)</f>
        <v/>
      </c>
      <c r="I939" s="314" t="n"/>
    </row>
    <row r="940" ht="25.5" customHeight="1" s="248">
      <c r="A940" s="300" t="n">
        <v>924</v>
      </c>
      <c r="B940" s="346" t="n"/>
      <c r="C940" s="287" t="inlineStr">
        <is>
          <t>Прайс из СД ОП</t>
        </is>
      </c>
      <c r="D940" s="288" t="inlineStr">
        <is>
          <t>Автоматический выключатель однополюсный, Iнр=6А, OptiDin BM63-1С6</t>
        </is>
      </c>
      <c r="E940" s="374" t="inlineStr">
        <is>
          <t>шт.</t>
        </is>
      </c>
      <c r="F940" s="374" t="n">
        <v>1</v>
      </c>
      <c r="G940" s="290" t="n">
        <v>22.77</v>
      </c>
      <c r="H940" s="302">
        <f>ROUND(F940*G940,2)</f>
        <v/>
      </c>
      <c r="I940" s="314" t="n"/>
    </row>
    <row r="941" ht="38.25" customHeight="1" s="248">
      <c r="A941" s="300" t="n">
        <v>925</v>
      </c>
      <c r="B941" s="346" t="n"/>
      <c r="C941" s="287" t="inlineStr">
        <is>
          <t>01.7.15.14-0042</t>
        </is>
      </c>
      <c r="D941" s="288" t="inlineStr">
        <is>
          <t>Шурупы самонарезающий прокалывающий, для крепления металлических профилей или листовых деталей 3,5/9,5 мм</t>
        </is>
      </c>
      <c r="E941" s="374" t="inlineStr">
        <is>
          <t>100 шт</t>
        </is>
      </c>
      <c r="F941" s="374" t="n">
        <v>11.0824</v>
      </c>
      <c r="G941" s="290" t="n">
        <v>2</v>
      </c>
      <c r="H941" s="302">
        <f>ROUND(F941*G941,2)</f>
        <v/>
      </c>
      <c r="I941" s="314" t="n"/>
    </row>
    <row r="942" ht="25.5" customHeight="1" s="248">
      <c r="A942" s="300" t="n">
        <v>926</v>
      </c>
      <c r="B942" s="346" t="n"/>
      <c r="C942" s="287" t="inlineStr">
        <is>
          <t>Прайс из СД ОП</t>
        </is>
      </c>
      <c r="D942" s="288" t="inlineStr">
        <is>
          <t>Выключатель одноклавишный наружной установки, 10 А, IP20 Этюд, арт. ВА10-001В</t>
        </is>
      </c>
      <c r="E942" s="374" t="inlineStr">
        <is>
          <t>шт.</t>
        </is>
      </c>
      <c r="F942" s="374" t="n">
        <v>3</v>
      </c>
      <c r="G942" s="290" t="n">
        <v>7.36</v>
      </c>
      <c r="H942" s="302">
        <f>ROUND(F942*G942,2)</f>
        <v/>
      </c>
      <c r="I942" s="314" t="n"/>
    </row>
    <row r="943">
      <c r="A943" s="300" t="n">
        <v>927</v>
      </c>
      <c r="B943" s="346" t="n"/>
      <c r="C943" s="287" t="inlineStr">
        <is>
          <t>01.7.11.04-0072</t>
        </is>
      </c>
      <c r="D943" s="288" t="inlineStr">
        <is>
          <t>Проволока сварочная легированная, диаметр 4 мм</t>
        </is>
      </c>
      <c r="E943" s="374" t="inlineStr">
        <is>
          <t>т</t>
        </is>
      </c>
      <c r="F943" s="374" t="n">
        <v>0.0016</v>
      </c>
      <c r="G943" s="290" t="n">
        <v>13560</v>
      </c>
      <c r="H943" s="302">
        <f>ROUND(F943*G943,2)</f>
        <v/>
      </c>
      <c r="I943" s="314" t="n"/>
    </row>
    <row r="944" ht="25.5" customHeight="1" s="248">
      <c r="A944" s="300" t="n">
        <v>928</v>
      </c>
      <c r="B944" s="346" t="n"/>
      <c r="C944" s="287" t="inlineStr">
        <is>
          <t>Прайс из СД ОП</t>
        </is>
      </c>
      <c r="D944" s="288" t="inlineStr">
        <is>
          <t>Автоматический выключатель однополюсный, OptiDin BM63-1С32</t>
        </is>
      </c>
      <c r="E944" s="374" t="inlineStr">
        <is>
          <t>шт.</t>
        </is>
      </c>
      <c r="F944" s="374" t="n">
        <v>1</v>
      </c>
      <c r="G944" s="290" t="n">
        <v>20.11</v>
      </c>
      <c r="H944" s="302">
        <f>ROUND(F944*G944,2)</f>
        <v/>
      </c>
      <c r="I944" s="314" t="n"/>
    </row>
    <row r="945" ht="25.5" customHeight="1" s="248">
      <c r="A945" s="300" t="n">
        <v>929</v>
      </c>
      <c r="B945" s="346" t="n"/>
      <c r="C945" s="287" t="inlineStr">
        <is>
          <t>Прайс из СД ОП</t>
        </is>
      </c>
      <c r="D945" s="288" t="inlineStr">
        <is>
          <t>Выключатель двухклавишный наружной установки, 10 А, IP20 Этюд, арт. ВА10-002В</t>
        </is>
      </c>
      <c r="E945" s="374" t="inlineStr">
        <is>
          <t>шт.</t>
        </is>
      </c>
      <c r="F945" s="374" t="n">
        <v>2</v>
      </c>
      <c r="G945" s="290" t="n">
        <v>9.98</v>
      </c>
      <c r="H945" s="302">
        <f>ROUND(F945*G945,2)</f>
        <v/>
      </c>
      <c r="I945" s="314" t="n"/>
    </row>
    <row r="946" ht="25.5" customHeight="1" s="248">
      <c r="A946" s="300" t="n">
        <v>930</v>
      </c>
      <c r="B946" s="346" t="n"/>
      <c r="C946" s="287" t="inlineStr">
        <is>
          <t>01.7.15.03-0031</t>
        </is>
      </c>
      <c r="D946" s="288" t="inlineStr">
        <is>
          <t>Болты с гайками и шайбами оцинкованные, диаметр 6 мм</t>
        </is>
      </c>
      <c r="E946" s="374" t="inlineStr">
        <is>
          <t>кг</t>
        </is>
      </c>
      <c r="F946" s="374" t="n">
        <v>0.7</v>
      </c>
      <c r="G946" s="290" t="n">
        <v>28.22</v>
      </c>
      <c r="H946" s="302">
        <f>ROUND(F946*G946,2)</f>
        <v/>
      </c>
      <c r="I946" s="314" t="n"/>
    </row>
    <row r="947">
      <c r="A947" s="300" t="n">
        <v>931</v>
      </c>
      <c r="B947" s="346" t="n"/>
      <c r="C947" s="287" t="inlineStr">
        <is>
          <t>01.3.05.17-0002</t>
        </is>
      </c>
      <c r="D947" s="288" t="inlineStr">
        <is>
          <t>Канифоль сосновая</t>
        </is>
      </c>
      <c r="E947" s="374" t="inlineStr">
        <is>
          <t>кг</t>
        </is>
      </c>
      <c r="F947" s="374" t="n">
        <v>0.7</v>
      </c>
      <c r="G947" s="290" t="n">
        <v>27.74</v>
      </c>
      <c r="H947" s="302">
        <f>ROUND(F947*G947,2)</f>
        <v/>
      </c>
      <c r="I947" s="314" t="n"/>
    </row>
    <row r="948" ht="25.5" customHeight="1" s="248">
      <c r="A948" s="300" t="n">
        <v>932</v>
      </c>
      <c r="B948" s="346" t="n"/>
      <c r="C948" s="287" t="inlineStr">
        <is>
          <t>Прайс из СД ОП</t>
        </is>
      </c>
      <c r="D948" s="288" t="inlineStr">
        <is>
          <t>Автоматический выключатель однополюсный, OptiDin BM63-1С20</t>
        </is>
      </c>
      <c r="E948" s="374" t="inlineStr">
        <is>
          <t>шт.</t>
        </is>
      </c>
      <c r="F948" s="374" t="n">
        <v>1</v>
      </c>
      <c r="G948" s="290" t="n">
        <v>19.41</v>
      </c>
      <c r="H948" s="302">
        <f>ROUND(F948*G948,2)</f>
        <v/>
      </c>
      <c r="I948" s="314" t="n"/>
    </row>
    <row r="949" ht="38.25" customHeight="1" s="248">
      <c r="A949" s="300" t="n">
        <v>933</v>
      </c>
      <c r="B949" s="346" t="n"/>
      <c r="C949" s="287" t="inlineStr">
        <is>
          <t>14.5.05.01-0012</t>
        </is>
      </c>
      <c r="D949" s="288" t="inlineStr">
        <is>
          <t>Олифа комбинированная для разведения масляных густотертых красок и для внешних работ по деревянным поверхностям</t>
        </is>
      </c>
      <c r="E949" s="374" t="inlineStr">
        <is>
          <t>т</t>
        </is>
      </c>
      <c r="F949" s="374" t="n">
        <v>0.0011</v>
      </c>
      <c r="G949" s="290" t="n">
        <v>16950</v>
      </c>
      <c r="H949" s="302">
        <f>ROUND(F949*G949,2)</f>
        <v/>
      </c>
      <c r="I949" s="314" t="n"/>
    </row>
    <row r="950" ht="51" customHeight="1" s="248">
      <c r="A950" s="300" t="n">
        <v>934</v>
      </c>
      <c r="B950" s="346" t="n"/>
      <c r="C950" s="287" t="inlineStr">
        <is>
          <t>18.1.06.10-0011</t>
        </is>
      </c>
      <c r="D950" s="288" t="inlineStr">
        <is>
          <t>Кран трехходовой 11б18бк, номинальное давление 1,6 МПа (16 кгс/см2), с контрольным фланцем для манометра, натяжной муфтовый, номинальный диаметр 15 мм</t>
        </is>
      </c>
      <c r="E950" s="374" t="inlineStr">
        <is>
          <t>шт</t>
        </is>
      </c>
      <c r="F950" s="374" t="n">
        <v>1</v>
      </c>
      <c r="G950" s="290" t="n">
        <v>17.87</v>
      </c>
      <c r="H950" s="302">
        <f>ROUND(F950*G950,2)</f>
        <v/>
      </c>
      <c r="I950" s="314" t="n"/>
    </row>
    <row r="951" ht="25.5" customHeight="1" s="248">
      <c r="A951" s="300" t="n">
        <v>935</v>
      </c>
      <c r="B951" s="346" t="n"/>
      <c r="C951" s="287" t="inlineStr">
        <is>
          <t>Прайс из СД ОП</t>
        </is>
      </c>
      <c r="D951" s="288" t="inlineStr">
        <is>
          <t>Автоматический выключатель однополюсный, Iнр=16А, OptiDin BM63-1С16</t>
        </is>
      </c>
      <c r="E951" s="374" t="inlineStr">
        <is>
          <t>шт.</t>
        </is>
      </c>
      <c r="F951" s="374" t="n">
        <v>1</v>
      </c>
      <c r="G951" s="290" t="n">
        <v>17.46</v>
      </c>
      <c r="H951" s="302">
        <f>ROUND(F951*G951,2)</f>
        <v/>
      </c>
      <c r="I951" s="314" t="n"/>
    </row>
    <row r="952" customFormat="1" s="299">
      <c r="A952" s="300" t="n">
        <v>936</v>
      </c>
      <c r="B952" s="346" t="n"/>
      <c r="C952" s="287" t="inlineStr">
        <is>
          <t>Прайс из СД ОП</t>
        </is>
      </c>
      <c r="D952" s="288" t="inlineStr">
        <is>
          <t xml:space="preserve">Коробка установочная  PE 000 003 </t>
        </is>
      </c>
      <c r="E952" s="374" t="inlineStr">
        <is>
          <t>шт.</t>
        </is>
      </c>
      <c r="F952" s="374" t="n">
        <v>37</v>
      </c>
      <c r="G952" s="290" t="n">
        <v>0.47</v>
      </c>
      <c r="H952" s="302">
        <f>ROUND(F952*G952,2)</f>
        <v/>
      </c>
      <c r="I952" s="314" t="n"/>
    </row>
    <row r="953">
      <c r="A953" s="300" t="n">
        <v>937</v>
      </c>
      <c r="B953" s="346" t="n"/>
      <c r="C953" s="287" t="inlineStr">
        <is>
          <t>Прайс из СД ОП</t>
        </is>
      </c>
      <c r="D953" s="288" t="inlineStr">
        <is>
          <t xml:space="preserve">Переход К1-114,3х3,6-60,3х2,0 100х50 </t>
        </is>
      </c>
      <c r="E953" s="374" t="inlineStr">
        <is>
          <t>шт.</t>
        </is>
      </c>
      <c r="F953" s="374" t="n">
        <v>1</v>
      </c>
      <c r="G953" s="290" t="n">
        <v>17.04</v>
      </c>
      <c r="H953" s="302">
        <f>ROUND(F953*G953,2)</f>
        <v/>
      </c>
      <c r="I953" s="314" t="n"/>
    </row>
    <row r="954">
      <c r="A954" s="300" t="n">
        <v>938</v>
      </c>
      <c r="B954" s="346" t="n"/>
      <c r="C954" s="287" t="inlineStr">
        <is>
          <t>01.7.15.07-0023</t>
        </is>
      </c>
      <c r="D954" s="288" t="inlineStr">
        <is>
          <t>Дюбели распорные полиэтиленовые, размер 8х30 мм</t>
        </is>
      </c>
      <c r="E954" s="374" t="inlineStr">
        <is>
          <t>1000 шт</t>
        </is>
      </c>
      <c r="F954" s="374" t="n">
        <v>0.092</v>
      </c>
      <c r="G954" s="290" t="n">
        <v>180</v>
      </c>
      <c r="H954" s="302">
        <f>ROUND(F954*G954,2)</f>
        <v/>
      </c>
      <c r="I954" s="314" t="n"/>
      <c r="K954" s="307" t="n"/>
    </row>
    <row r="955">
      <c r="A955" s="300" t="n">
        <v>939</v>
      </c>
      <c r="B955" s="346" t="n"/>
      <c r="C955" s="287" t="inlineStr">
        <is>
          <t>Прайс из СД ОП</t>
        </is>
      </c>
      <c r="D955" s="288" t="inlineStr">
        <is>
          <t>Коробка установочная  PE 000 003</t>
        </is>
      </c>
      <c r="E955" s="374" t="inlineStr">
        <is>
          <t>шт.</t>
        </is>
      </c>
      <c r="F955" s="374" t="n">
        <v>34</v>
      </c>
      <c r="G955" s="290" t="n">
        <v>0.47</v>
      </c>
      <c r="H955" s="302">
        <f>ROUND(F955*G955,2)</f>
        <v/>
      </c>
      <c r="I955" s="314" t="n"/>
      <c r="K955" s="307" t="n"/>
    </row>
    <row r="956">
      <c r="A956" s="300" t="n">
        <v>940</v>
      </c>
      <c r="B956" s="346" t="n"/>
      <c r="C956" s="287" t="inlineStr">
        <is>
          <t>14.5.02.02-0105</t>
        </is>
      </c>
      <c r="D956" s="288" t="inlineStr">
        <is>
          <t>Замазка суриковая</t>
        </is>
      </c>
      <c r="E956" s="374" t="inlineStr">
        <is>
          <t>кг</t>
        </is>
      </c>
      <c r="F956" s="374" t="n">
        <v>0.8</v>
      </c>
      <c r="G956" s="290" t="n">
        <v>19.61</v>
      </c>
      <c r="H956" s="302">
        <f>ROUND(F956*G956,2)</f>
        <v/>
      </c>
      <c r="I956" s="314" t="n"/>
      <c r="K956" s="307" t="n"/>
    </row>
    <row r="957">
      <c r="A957" s="300" t="n">
        <v>941</v>
      </c>
      <c r="B957" s="346" t="n"/>
      <c r="C957" s="287" t="inlineStr">
        <is>
          <t>01.7.06.11-0021</t>
        </is>
      </c>
      <c r="D957" s="288" t="inlineStr">
        <is>
          <t>Лента ФУМ</t>
        </is>
      </c>
      <c r="E957" s="374" t="inlineStr">
        <is>
          <t>кг</t>
        </is>
      </c>
      <c r="F957" s="374" t="n">
        <v>0.033</v>
      </c>
      <c r="G957" s="290" t="n">
        <v>444</v>
      </c>
      <c r="H957" s="302">
        <f>ROUND(F957*G957,2)</f>
        <v/>
      </c>
    </row>
    <row r="958" ht="51" customHeight="1" s="248">
      <c r="A958" s="300" t="n">
        <v>942</v>
      </c>
      <c r="B958" s="346" t="n"/>
      <c r="C958" s="287" t="inlineStr">
        <is>
          <t>01.7.15.14-0046</t>
        </is>
      </c>
      <c r="D958" s="288" t="inlineStr">
        <is>
          <t>Шурупы самонарезающий прокалывающий, для крепления гипсокартонных листов (ГКЛ, ГКЛВ, ГКЛВО) к каркасу из металлических профилей 3,5/55 мм</t>
        </is>
      </c>
      <c r="E958" s="374" t="inlineStr">
        <is>
          <t>100 шт</t>
        </is>
      </c>
      <c r="F958" s="374" t="n">
        <v>2.7625</v>
      </c>
      <c r="G958" s="290" t="n">
        <v>5</v>
      </c>
      <c r="H958" s="302">
        <f>ROUND(F958*G958,2)</f>
        <v/>
      </c>
    </row>
    <row r="959" ht="25.5" customHeight="1" s="248">
      <c r="A959" s="300" t="n">
        <v>943</v>
      </c>
      <c r="B959" s="346" t="n"/>
      <c r="C959" s="287" t="inlineStr">
        <is>
          <t>25.1.04.04-0012</t>
        </is>
      </c>
      <c r="D959" s="288" t="inlineStr">
        <is>
          <t>Болты для рельсовых стыков, диаметр 24 мм, класс 8,8</t>
        </is>
      </c>
      <c r="E959" s="374" t="inlineStr">
        <is>
          <t>т</t>
        </is>
      </c>
      <c r="F959" s="374" t="n">
        <v>0.0014</v>
      </c>
      <c r="G959" s="290" t="n">
        <v>9727.370000000001</v>
      </c>
      <c r="H959" s="302">
        <f>ROUND(F959*G959,2)</f>
        <v/>
      </c>
    </row>
    <row r="960" ht="25.5" customHeight="1" s="248">
      <c r="A960" s="300" t="n">
        <v>944</v>
      </c>
      <c r="B960" s="346" t="n"/>
      <c r="C960" s="287" t="inlineStr">
        <is>
          <t>04.3.01.07-0011</t>
        </is>
      </c>
      <c r="D960" s="288" t="inlineStr">
        <is>
          <t>Раствор готовый отделочный тяжелый, известковый, состав 1:2</t>
        </is>
      </c>
      <c r="E960" s="374" t="inlineStr">
        <is>
          <t>м3</t>
        </is>
      </c>
      <c r="F960" s="374" t="n">
        <v>0.0294</v>
      </c>
      <c r="G960" s="290" t="n">
        <v>458</v>
      </c>
      <c r="H960" s="302">
        <f>ROUND(F960*G960,2)</f>
        <v/>
      </c>
    </row>
    <row r="961">
      <c r="A961" s="300" t="n">
        <v>945</v>
      </c>
      <c r="B961" s="346" t="n"/>
      <c r="C961" s="287" t="inlineStr">
        <is>
          <t>01.7.15.10-0057</t>
        </is>
      </c>
      <c r="D961" s="288" t="inlineStr">
        <is>
          <t>Скобы скрепляющие и для подвеса</t>
        </is>
      </c>
      <c r="E961" s="374" t="inlineStr">
        <is>
          <t>кг</t>
        </is>
      </c>
      <c r="F961" s="374" t="n">
        <v>2</v>
      </c>
      <c r="G961" s="290" t="n">
        <v>6.5</v>
      </c>
      <c r="H961" s="302">
        <f>ROUND(F961*G961,2)</f>
        <v/>
      </c>
    </row>
    <row r="962">
      <c r="A962" s="300" t="n">
        <v>946</v>
      </c>
      <c r="B962" s="346" t="n"/>
      <c r="C962" s="287" t="inlineStr">
        <is>
          <t>Прайс из СД ОП</t>
        </is>
      </c>
      <c r="D962" s="288" t="inlineStr">
        <is>
          <t>Шина заземления PE</t>
        </is>
      </c>
      <c r="E962" s="374" t="inlineStr">
        <is>
          <t>шт.</t>
        </is>
      </c>
      <c r="F962" s="374" t="n">
        <v>2</v>
      </c>
      <c r="G962" s="290" t="n">
        <v>6.35</v>
      </c>
      <c r="H962" s="302">
        <f>ROUND(F962*G962,2)</f>
        <v/>
      </c>
    </row>
    <row r="963">
      <c r="A963" s="300" t="n">
        <v>947</v>
      </c>
      <c r="B963" s="346" t="n"/>
      <c r="C963" s="287" t="inlineStr">
        <is>
          <t>20.2.02.02-0011</t>
        </is>
      </c>
      <c r="D963" s="288" t="inlineStr">
        <is>
          <t>Заглушки</t>
        </is>
      </c>
      <c r="E963" s="374" t="inlineStr">
        <is>
          <t>10 шт</t>
        </is>
      </c>
      <c r="F963" s="374" t="n">
        <v>0.612</v>
      </c>
      <c r="G963" s="290" t="n">
        <v>19.9</v>
      </c>
      <c r="H963" s="302">
        <f>ROUND(F963*G963,2)</f>
        <v/>
      </c>
    </row>
    <row r="964" ht="25.5" customHeight="1" s="248">
      <c r="A964" s="300" t="n">
        <v>948</v>
      </c>
      <c r="B964" s="346" t="n"/>
      <c r="C964" s="287" t="inlineStr">
        <is>
          <t>08.3.03.04-0025</t>
        </is>
      </c>
      <c r="D964" s="288" t="inlineStr">
        <is>
          <t>Проволока стальная низкоуглеродистая общего назначения, диаметр 2,0 мм</t>
        </is>
      </c>
      <c r="E964" s="374" t="inlineStr">
        <is>
          <t>кг</t>
        </is>
      </c>
      <c r="F964" s="374" t="n">
        <v>1.82</v>
      </c>
      <c r="G964" s="290" t="n">
        <v>6.6</v>
      </c>
      <c r="H964" s="302">
        <f>ROUND(F964*G964,2)</f>
        <v/>
      </c>
    </row>
    <row r="965">
      <c r="A965" s="300" t="n">
        <v>949</v>
      </c>
      <c r="B965" s="346" t="n"/>
      <c r="C965" s="287" t="inlineStr">
        <is>
          <t>12.2.03.02-0002</t>
        </is>
      </c>
      <c r="D965" s="288" t="inlineStr">
        <is>
          <t>Вата минеральная</t>
        </is>
      </c>
      <c r="E965" s="374" t="inlineStr">
        <is>
          <t>м3</t>
        </is>
      </c>
      <c r="F965" s="374" t="n">
        <v>0.06</v>
      </c>
      <c r="G965" s="290" t="n">
        <v>200</v>
      </c>
      <c r="H965" s="302">
        <f>ROUND(F965*G965,2)</f>
        <v/>
      </c>
    </row>
    <row r="966">
      <c r="A966" s="300" t="n">
        <v>950</v>
      </c>
      <c r="B966" s="346" t="n"/>
      <c r="C966" s="287" t="inlineStr">
        <is>
          <t>Прайс из СД ОП</t>
        </is>
      </c>
      <c r="D966" s="288" t="inlineStr">
        <is>
          <t xml:space="preserve">Шина нулевая  </t>
        </is>
      </c>
      <c r="E966" s="374" t="inlineStr">
        <is>
          <t>шт.</t>
        </is>
      </c>
      <c r="F966" s="374" t="n">
        <v>1</v>
      </c>
      <c r="G966" s="290" t="n">
        <v>11.66</v>
      </c>
      <c r="H966" s="302">
        <f>ROUND(F966*G966,2)</f>
        <v/>
      </c>
    </row>
    <row r="967">
      <c r="A967" s="300" t="n">
        <v>951</v>
      </c>
      <c r="B967" s="346" t="n"/>
      <c r="C967" s="287" t="inlineStr">
        <is>
          <t>01.7.06.12-0008</t>
        </is>
      </c>
      <c r="D967" s="288" t="inlineStr">
        <is>
          <t>Лента ПВХ</t>
        </is>
      </c>
      <c r="E967" s="374" t="inlineStr">
        <is>
          <t>кг</t>
        </is>
      </c>
      <c r="F967" s="374" t="n">
        <v>0.48</v>
      </c>
      <c r="G967" s="290" t="n">
        <v>24.04</v>
      </c>
      <c r="H967" s="302">
        <f>ROUND(F967*G967,2)</f>
        <v/>
      </c>
      <c r="I967" s="314" t="n"/>
    </row>
    <row r="968" ht="25.5" customHeight="1" s="248">
      <c r="A968" s="300" t="n">
        <v>952</v>
      </c>
      <c r="B968" s="346" t="n"/>
      <c r="C968" s="287" t="inlineStr">
        <is>
          <t>25.2.01.07-1004</t>
        </is>
      </c>
      <c r="D968" s="288" t="inlineStr">
        <is>
          <t>Электросоединители стыковые для трамвайных путей, длина 300 мм, диаметр 20 мм</t>
        </is>
      </c>
      <c r="E968" s="374" t="inlineStr">
        <is>
          <t>шт</t>
        </is>
      </c>
      <c r="F968" s="374" t="n">
        <v>0.36</v>
      </c>
      <c r="G968" s="290" t="n">
        <v>32.03</v>
      </c>
      <c r="H968" s="302">
        <f>ROUND(F968*G968,2)</f>
        <v/>
      </c>
      <c r="I968" s="314" t="n"/>
    </row>
    <row r="969" ht="25.5" customHeight="1" s="248">
      <c r="A969" s="300" t="n">
        <v>953</v>
      </c>
      <c r="B969" s="346" t="n"/>
      <c r="C969" s="287" t="inlineStr">
        <is>
          <t>01.1.02.08-0002</t>
        </is>
      </c>
      <c r="D969" s="288" t="inlineStr">
        <is>
          <t>Прокладки из паронита ПМБ, толщина 1 мм, диаметр 100 мм</t>
        </is>
      </c>
      <c r="E969" s="374" t="inlineStr">
        <is>
          <t>1000 шт</t>
        </is>
      </c>
      <c r="F969" s="374" t="n">
        <v>0.002</v>
      </c>
      <c r="G969" s="290" t="n">
        <v>5650</v>
      </c>
      <c r="H969" s="302">
        <f>ROUND(F969*G969,2)</f>
        <v/>
      </c>
      <c r="I969" s="314" t="n"/>
    </row>
    <row r="970">
      <c r="A970" s="300" t="n">
        <v>954</v>
      </c>
      <c r="B970" s="346" t="n"/>
      <c r="C970" s="287" t="inlineStr">
        <is>
          <t>01.7.15.14-0169</t>
        </is>
      </c>
      <c r="D970" s="288" t="inlineStr">
        <is>
          <t>Шурупы с полукруглой головкой 6х40 мм</t>
        </is>
      </c>
      <c r="E970" s="374" t="inlineStr">
        <is>
          <t>т</t>
        </is>
      </c>
      <c r="F970" s="374" t="n">
        <v>0.0009</v>
      </c>
      <c r="G970" s="290" t="n">
        <v>12430</v>
      </c>
      <c r="H970" s="302">
        <f>ROUND(F970*G970,2)</f>
        <v/>
      </c>
      <c r="I970" s="314" t="n"/>
    </row>
    <row r="971">
      <c r="A971" s="300" t="n">
        <v>955</v>
      </c>
      <c r="B971" s="346" t="n"/>
      <c r="C971" s="287" t="inlineStr">
        <is>
          <t>Прайс из СД ОП</t>
        </is>
      </c>
      <c r="D971" s="288" t="inlineStr">
        <is>
          <t xml:space="preserve">Переход К1-60,3х2,9-33,7х2,3 50х25 </t>
        </is>
      </c>
      <c r="E971" s="374" t="inlineStr">
        <is>
          <t>шт.</t>
        </is>
      </c>
      <c r="F971" s="374" t="n">
        <v>2</v>
      </c>
      <c r="G971" s="290" t="n">
        <v>5.21</v>
      </c>
      <c r="H971" s="302">
        <f>ROUND(F971*G971,2)</f>
        <v/>
      </c>
      <c r="I971" s="314" t="n"/>
    </row>
    <row r="972">
      <c r="A972" s="300" t="n">
        <v>956</v>
      </c>
      <c r="B972" s="346" t="n"/>
      <c r="C972" s="287" t="inlineStr">
        <is>
          <t>07.2.07.02-0001</t>
        </is>
      </c>
      <c r="D972" s="288" t="inlineStr">
        <is>
          <t>Кондуктор инвентарный металлический</t>
        </is>
      </c>
      <c r="E972" s="374" t="inlineStr">
        <is>
          <t>шт</t>
        </is>
      </c>
      <c r="F972" s="374" t="n">
        <v>0.0282</v>
      </c>
      <c r="G972" s="290" t="n">
        <v>346</v>
      </c>
      <c r="H972" s="302">
        <f>ROUND(F972*G972,2)</f>
        <v/>
      </c>
      <c r="I972" s="314" t="n"/>
    </row>
    <row r="973">
      <c r="A973" s="300" t="n">
        <v>957</v>
      </c>
      <c r="B973" s="346" t="n"/>
      <c r="C973" s="287" t="inlineStr">
        <is>
          <t>Прайс из СД ОП</t>
        </is>
      </c>
      <c r="D973" s="288" t="inlineStr">
        <is>
          <t>Огнезащитное покрытие "Плазас"</t>
        </is>
      </c>
      <c r="E973" s="374" t="inlineStr">
        <is>
          <t>кг</t>
        </is>
      </c>
      <c r="F973" s="374" t="n">
        <v>1.05</v>
      </c>
      <c r="G973" s="290" t="n">
        <v>9.109999999999999</v>
      </c>
      <c r="H973" s="302">
        <f>ROUND(F973*G973,2)</f>
        <v/>
      </c>
      <c r="I973" s="314" t="n"/>
    </row>
    <row r="974" ht="25.5" customHeight="1" s="248">
      <c r="A974" s="300" t="n">
        <v>958</v>
      </c>
      <c r="B974" s="346" t="n"/>
      <c r="C974" s="287" t="inlineStr">
        <is>
          <t>11.1.02.04-0031</t>
        </is>
      </c>
      <c r="D974" s="288" t="inlineStr">
        <is>
          <t>Лесоматериалы круглые, хвойных пород, для строительства, диаметр 14-24 см, длина 3-6,5 м</t>
        </is>
      </c>
      <c r="E974" s="374" t="inlineStr">
        <is>
          <t>м3</t>
        </is>
      </c>
      <c r="F974" s="374" t="n">
        <v>0.0171</v>
      </c>
      <c r="G974" s="290" t="n">
        <v>558.33</v>
      </c>
      <c r="H974" s="302">
        <f>ROUND(F974*G974,2)</f>
        <v/>
      </c>
      <c r="I974" s="314" t="n"/>
    </row>
    <row r="975" ht="38.25" customHeight="1" s="248">
      <c r="A975" s="300" t="n">
        <v>959</v>
      </c>
      <c r="B975" s="346" t="n"/>
      <c r="C975" s="287" t="inlineStr">
        <is>
          <t>01.7.15.08-0011</t>
        </is>
      </c>
      <c r="D975" s="288" t="inlineStr">
        <is>
          <t>Заклепки комбинированные для соединения профилированного стального настила и разнообразных листовых деталей</t>
        </is>
      </c>
      <c r="E975" s="374" t="inlineStr">
        <is>
          <t>т</t>
        </is>
      </c>
      <c r="F975" s="374" t="n">
        <v>0.001</v>
      </c>
      <c r="G975" s="290" t="n">
        <v>9526</v>
      </c>
      <c r="H975" s="302">
        <f>ROUND(F975*G975,2)</f>
        <v/>
      </c>
      <c r="I975" s="314" t="n"/>
    </row>
    <row r="976">
      <c r="A976" s="300" t="n">
        <v>960</v>
      </c>
      <c r="B976" s="346" t="n"/>
      <c r="C976" s="287" t="inlineStr">
        <is>
          <t>Прайс из СД ОП</t>
        </is>
      </c>
      <c r="D976" s="288" t="inlineStr">
        <is>
          <t>Клемма винтовая, 2,5 мм2</t>
        </is>
      </c>
      <c r="E976" s="374" t="inlineStr">
        <is>
          <t>шт.</t>
        </is>
      </c>
      <c r="F976" s="374" t="n">
        <v>2</v>
      </c>
      <c r="G976" s="290" t="n">
        <v>4.58</v>
      </c>
      <c r="H976" s="302">
        <f>ROUND(F976*G976,2)</f>
        <v/>
      </c>
      <c r="I976" s="314" t="n"/>
    </row>
    <row r="977">
      <c r="A977" s="300" t="n">
        <v>961</v>
      </c>
      <c r="B977" s="346" t="n"/>
      <c r="C977" s="287" t="inlineStr">
        <is>
          <t>Прайс из СД ОП</t>
        </is>
      </c>
      <c r="D977" s="288" t="inlineStr">
        <is>
          <t xml:space="preserve">Переход К1-33,7х2,3-21,3х2,0 25х15 </t>
        </is>
      </c>
      <c r="E977" s="374" t="inlineStr">
        <is>
          <t>шт.</t>
        </is>
      </c>
      <c r="F977" s="374" t="n">
        <v>2</v>
      </c>
      <c r="G977" s="290" t="n">
        <v>4.26</v>
      </c>
      <c r="H977" s="302">
        <f>ROUND(F977*G977,2)</f>
        <v/>
      </c>
      <c r="I977" s="314" t="n"/>
    </row>
    <row r="978">
      <c r="A978" s="300" t="n">
        <v>962</v>
      </c>
      <c r="B978" s="346" t="n"/>
      <c r="C978" s="287" t="inlineStr">
        <is>
          <t>01.3.04.08-0014</t>
        </is>
      </c>
      <c r="D978" s="288" t="inlineStr">
        <is>
          <t>Масло креозотовое</t>
        </is>
      </c>
      <c r="E978" s="374" t="inlineStr">
        <is>
          <t>т</t>
        </is>
      </c>
      <c r="F978" s="374" t="n">
        <v>0.003</v>
      </c>
      <c r="G978" s="290" t="n">
        <v>2460</v>
      </c>
      <c r="H978" s="302">
        <f>ROUND(F978*G978,2)</f>
        <v/>
      </c>
      <c r="I978" s="314" t="n"/>
    </row>
    <row r="979">
      <c r="A979" s="300" t="n">
        <v>963</v>
      </c>
      <c r="B979" s="346" t="n"/>
      <c r="C979" s="287" t="inlineStr">
        <is>
          <t>14.4.03.17-0101</t>
        </is>
      </c>
      <c r="D979" s="288" t="inlineStr">
        <is>
          <t>Лак канифольный КФ-965</t>
        </is>
      </c>
      <c r="E979" s="374" t="inlineStr">
        <is>
          <t>т</t>
        </is>
      </c>
      <c r="F979" s="374" t="n">
        <v>0.0001</v>
      </c>
      <c r="G979" s="290" t="n">
        <v>70200</v>
      </c>
      <c r="H979" s="302">
        <f>ROUND(F979*G979,2)</f>
        <v/>
      </c>
      <c r="I979" s="314" t="n"/>
    </row>
    <row r="980">
      <c r="A980" s="300" t="n">
        <v>964</v>
      </c>
      <c r="B980" s="346" t="n"/>
      <c r="C980" s="287" t="inlineStr">
        <is>
          <t>20.2.02.01-0013</t>
        </is>
      </c>
      <c r="D980" s="288" t="inlineStr">
        <is>
          <t>Втулки, диаметр 28 мм</t>
        </is>
      </c>
      <c r="E980" s="374" t="inlineStr">
        <is>
          <t>1000 шт</t>
        </is>
      </c>
      <c r="F980" s="374" t="n">
        <v>0.039</v>
      </c>
      <c r="G980" s="290" t="n">
        <v>176.21</v>
      </c>
      <c r="H980" s="302">
        <f>ROUND(F980*G980,2)</f>
        <v/>
      </c>
      <c r="I980" s="314" t="n"/>
    </row>
    <row r="981">
      <c r="A981" s="300" t="n">
        <v>965</v>
      </c>
      <c r="B981" s="346" t="n"/>
      <c r="C981" s="287" t="inlineStr">
        <is>
          <t>14.4.03.03-0102</t>
        </is>
      </c>
      <c r="D981" s="288" t="inlineStr">
        <is>
          <t>Лак битумный БТ-577</t>
        </is>
      </c>
      <c r="E981" s="374" t="inlineStr">
        <is>
          <t>т</t>
        </is>
      </c>
      <c r="F981" s="374" t="n">
        <v>0.0007</v>
      </c>
      <c r="G981" s="290" t="n">
        <v>9550.01</v>
      </c>
      <c r="H981" s="302">
        <f>ROUND(F981*G981,2)</f>
        <v/>
      </c>
      <c r="I981" s="314" t="n"/>
    </row>
    <row r="982">
      <c r="A982" s="300" t="n">
        <v>966</v>
      </c>
      <c r="B982" s="346" t="n"/>
      <c r="C982" s="287" t="inlineStr">
        <is>
          <t>04.3.02.14-0101</t>
        </is>
      </c>
      <c r="D982" s="288" t="inlineStr">
        <is>
          <t>Смеси сухие известково-карбонатные штукатурные</t>
        </is>
      </c>
      <c r="E982" s="374" t="inlineStr">
        <is>
          <t>т</t>
        </is>
      </c>
      <c r="F982" s="374" t="n">
        <v>0.0044</v>
      </c>
      <c r="G982" s="290" t="n">
        <v>1470</v>
      </c>
      <c r="H982" s="302">
        <f>ROUND(F982*G982,2)</f>
        <v/>
      </c>
      <c r="I982" s="314" t="n"/>
    </row>
    <row r="983">
      <c r="A983" s="300" t="n">
        <v>967</v>
      </c>
      <c r="B983" s="346" t="n"/>
      <c r="C983" s="287" t="inlineStr">
        <is>
          <t>Прайс из СД ОП</t>
        </is>
      </c>
      <c r="D983" s="288" t="inlineStr">
        <is>
          <t xml:space="preserve">Шина заземления PE </t>
        </is>
      </c>
      <c r="E983" s="374" t="inlineStr">
        <is>
          <t>шт.</t>
        </is>
      </c>
      <c r="F983" s="374" t="n">
        <v>1</v>
      </c>
      <c r="G983" s="290" t="n">
        <v>6.35</v>
      </c>
      <c r="H983" s="302">
        <f>ROUND(F983*G983,2)</f>
        <v/>
      </c>
      <c r="I983" s="314" t="n"/>
    </row>
    <row r="984" customFormat="1" s="299">
      <c r="A984" s="300" t="n">
        <v>968</v>
      </c>
      <c r="B984" s="346" t="n"/>
      <c r="C984" s="287" t="inlineStr">
        <is>
          <t>Прайс из СД ОП</t>
        </is>
      </c>
      <c r="D984" s="288" t="inlineStr">
        <is>
          <t>Анкерный болт с кольцом М10/12х100</t>
        </is>
      </c>
      <c r="E984" s="374" t="inlineStr">
        <is>
          <t>шт.</t>
        </is>
      </c>
      <c r="F984" s="374" t="n">
        <v>2</v>
      </c>
      <c r="G984" s="290" t="n">
        <v>3.17</v>
      </c>
      <c r="H984" s="302">
        <f>ROUND(F984*G984,2)</f>
        <v/>
      </c>
      <c r="I984" s="314" t="n"/>
    </row>
    <row r="985" ht="38.25" customHeight="1" s="248">
      <c r="A985" s="300" t="n">
        <v>969</v>
      </c>
      <c r="B985" s="346" t="n"/>
      <c r="C985" s="287" t="inlineStr">
        <is>
          <t>01.3.01.06-0023</t>
        </is>
      </c>
      <c r="D985" s="288" t="inlineStr">
        <is>
          <t>Смазка антифрикционная пластичная для узлов трения, работающих при переменных ударных нагрузках, диапазон температур от-60 °C до +80 °C</t>
        </is>
      </c>
      <c r="E985" s="374" t="inlineStr">
        <is>
          <t>т</t>
        </is>
      </c>
      <c r="F985" s="374" t="n">
        <v>0.0003</v>
      </c>
      <c r="G985" s="290" t="n">
        <v>20600</v>
      </c>
      <c r="H985" s="302">
        <f>ROUND(F985*G985,2)</f>
        <v/>
      </c>
      <c r="I985" s="314" t="n"/>
    </row>
    <row r="986" ht="25.5" customHeight="1" s="248">
      <c r="A986" s="300" t="n">
        <v>970</v>
      </c>
      <c r="B986" s="346" t="n"/>
      <c r="C986" s="287" t="inlineStr">
        <is>
          <t>01.7.15.03-0034</t>
        </is>
      </c>
      <c r="D986" s="288" t="inlineStr">
        <is>
          <t>Болты с гайками и шайбами оцинкованные, диаметр 12 мм</t>
        </is>
      </c>
      <c r="E986" s="374" t="inlineStr">
        <is>
          <t>кг</t>
        </is>
      </c>
      <c r="F986" s="374" t="n">
        <v>0.2378</v>
      </c>
      <c r="G986" s="290" t="n">
        <v>25.76</v>
      </c>
      <c r="H986" s="302">
        <f>ROUND(F986*G986,2)</f>
        <v/>
      </c>
      <c r="I986" s="314" t="n"/>
      <c r="K986" s="307" t="n"/>
    </row>
    <row r="987">
      <c r="A987" s="300" t="n">
        <v>971</v>
      </c>
      <c r="B987" s="346" t="n"/>
      <c r="C987" s="287" t="inlineStr">
        <is>
          <t>01.7.15.11-0062</t>
        </is>
      </c>
      <c r="D987" s="288" t="inlineStr">
        <is>
          <t>Шайбы стальные</t>
        </is>
      </c>
      <c r="E987" s="374" t="inlineStr">
        <is>
          <t>т</t>
        </is>
      </c>
      <c r="F987" s="374" t="n">
        <v>0.0005999999999999999</v>
      </c>
      <c r="G987" s="290" t="n">
        <v>10208</v>
      </c>
      <c r="H987" s="302">
        <f>ROUND(F987*G987,2)</f>
        <v/>
      </c>
      <c r="I987" s="314" t="n"/>
      <c r="K987" s="307" t="n"/>
    </row>
    <row r="988">
      <c r="A988" s="300" t="n">
        <v>972</v>
      </c>
      <c r="B988" s="346" t="n"/>
      <c r="C988" s="287" t="inlineStr">
        <is>
          <t>01.7.15.14-0161</t>
        </is>
      </c>
      <c r="D988" s="288" t="inlineStr">
        <is>
          <t>Шурупы с полукруглой головкой 2,5х20 мм</t>
        </is>
      </c>
      <c r="E988" s="374" t="inlineStr">
        <is>
          <t>т</t>
        </is>
      </c>
      <c r="F988" s="374" t="n">
        <v>0.0002</v>
      </c>
      <c r="G988" s="290" t="n">
        <v>29800</v>
      </c>
      <c r="H988" s="302">
        <f>ROUND(F988*G988,2)</f>
        <v/>
      </c>
      <c r="I988" s="314" t="n"/>
      <c r="K988" s="307" t="n"/>
    </row>
    <row r="989" ht="25.5" customHeight="1" s="248">
      <c r="A989" s="300" t="n">
        <v>973</v>
      </c>
      <c r="B989" s="346" t="n"/>
      <c r="C989" s="287" t="inlineStr">
        <is>
          <t>08.3.03.04-0021</t>
        </is>
      </c>
      <c r="D989" s="288" t="inlineStr">
        <is>
          <t>Проволока стальная низкоуглеродистая общего назначения, диаметр 0,8 мм</t>
        </is>
      </c>
      <c r="E989" s="374" t="inlineStr">
        <is>
          <t>кг</t>
        </is>
      </c>
      <c r="F989" s="374" t="n">
        <v>0.65</v>
      </c>
      <c r="G989" s="290" t="n">
        <v>8.94</v>
      </c>
      <c r="H989" s="302">
        <f>ROUND(F989*G989,2)</f>
        <v/>
      </c>
    </row>
    <row r="990">
      <c r="A990" s="300" t="n">
        <v>974</v>
      </c>
      <c r="B990" s="346" t="n"/>
      <c r="C990" s="287" t="inlineStr">
        <is>
          <t>01.7.15.07-0022</t>
        </is>
      </c>
      <c r="D990" s="288" t="inlineStr">
        <is>
          <t>Дюбели распорные полиэтиленовые, размер 6х40 мм</t>
        </is>
      </c>
      <c r="E990" s="374" t="inlineStr">
        <is>
          <t>1000 шт</t>
        </is>
      </c>
      <c r="F990" s="374" t="n">
        <v>0.032</v>
      </c>
      <c r="G990" s="290" t="n">
        <v>180</v>
      </c>
      <c r="H990" s="302">
        <f>ROUND(F990*G990,2)</f>
        <v/>
      </c>
    </row>
    <row r="991" ht="38.25" customHeight="1" s="248">
      <c r="A991" s="300" t="n">
        <v>975</v>
      </c>
      <c r="B991" s="346" t="n"/>
      <c r="C991" s="287" t="inlineStr">
        <is>
          <t>01.7.15.14-0043</t>
        </is>
      </c>
      <c r="D991" s="288" t="inlineStr">
        <is>
          <t>Шурупы самонарезающий прокалывающий, для крепления металлических профилей или листовых деталей 3,5/11 мм</t>
        </is>
      </c>
      <c r="E991" s="374" t="inlineStr">
        <is>
          <t>100 шт</t>
        </is>
      </c>
      <c r="F991" s="374" t="n">
        <v>2.652</v>
      </c>
      <c r="G991" s="290" t="n">
        <v>2</v>
      </c>
      <c r="H991" s="302">
        <f>ROUND(F991*G991,2)</f>
        <v/>
      </c>
    </row>
    <row r="992" ht="25.5" customHeight="1" s="248">
      <c r="A992" s="300" t="n">
        <v>976</v>
      </c>
      <c r="B992" s="346" t="n"/>
      <c r="C992" s="287" t="inlineStr">
        <is>
          <t>25.1.03.06-0036</t>
        </is>
      </c>
      <c r="D992" s="288" t="inlineStr">
        <is>
          <t>Шайбы пружинные путевые, исполнение 2, диаметр 24 мм</t>
        </is>
      </c>
      <c r="E992" s="374" t="inlineStr">
        <is>
          <t>т</t>
        </is>
      </c>
      <c r="F992" s="374" t="n">
        <v>0.0004</v>
      </c>
      <c r="G992" s="290" t="n">
        <v>13077.64</v>
      </c>
      <c r="H992" s="302">
        <f>ROUND(F992*G992,2)</f>
        <v/>
      </c>
    </row>
    <row r="993">
      <c r="A993" s="300" t="n">
        <v>977</v>
      </c>
      <c r="B993" s="346" t="n"/>
      <c r="C993" s="287" t="inlineStr">
        <is>
          <t>01.7.15.04-0012</t>
        </is>
      </c>
      <c r="D993" s="288" t="inlineStr">
        <is>
          <t>Винты с полукруглой головкой, длина 55-120 мм</t>
        </is>
      </c>
      <c r="E993" s="374" t="inlineStr">
        <is>
          <t>т</t>
        </is>
      </c>
      <c r="F993" s="374" t="n">
        <v>0.0004</v>
      </c>
      <c r="G993" s="290" t="n">
        <v>12430</v>
      </c>
      <c r="H993" s="302">
        <f>ROUND(F993*G993,2)</f>
        <v/>
      </c>
    </row>
    <row r="994">
      <c r="A994" s="300" t="n">
        <v>978</v>
      </c>
      <c r="B994" s="346" t="n"/>
      <c r="C994" s="287" t="inlineStr">
        <is>
          <t>Прайс из СД ОП</t>
        </is>
      </c>
      <c r="D994" s="288" t="inlineStr">
        <is>
          <t xml:space="preserve">Сетка антивандальная СЕТКА-315-30-С </t>
        </is>
      </c>
      <c r="E994" s="374" t="inlineStr">
        <is>
          <t>шт.</t>
        </is>
      </c>
      <c r="F994" s="374" t="n">
        <v>1</v>
      </c>
      <c r="G994" s="290" t="n">
        <v>4.9</v>
      </c>
      <c r="H994" s="302">
        <f>ROUND(F994*G994,2)</f>
        <v/>
      </c>
    </row>
    <row r="995">
      <c r="A995" s="300" t="n">
        <v>979</v>
      </c>
      <c r="B995" s="346" t="n"/>
      <c r="C995" s="287" t="inlineStr">
        <is>
          <t>Прайс из СД ОП</t>
        </is>
      </c>
      <c r="D995" s="288" t="inlineStr">
        <is>
          <t>Коробка установочная  PE 000 003</t>
        </is>
      </c>
      <c r="E995" s="374" t="inlineStr">
        <is>
          <t>шт.</t>
        </is>
      </c>
      <c r="F995" s="374" t="n">
        <v>9</v>
      </c>
      <c r="G995" s="290" t="n">
        <v>0.54</v>
      </c>
      <c r="H995" s="302">
        <f>ROUND(F995*G995,2)</f>
        <v/>
      </c>
    </row>
    <row r="996" ht="25.5" customHeight="1" s="248">
      <c r="A996" s="300" t="n">
        <v>980</v>
      </c>
      <c r="B996" s="346" t="n"/>
      <c r="C996" s="287" t="inlineStr">
        <is>
          <t>01.7.15.04-0056</t>
        </is>
      </c>
      <c r="D996" s="288" t="inlineStr">
        <is>
          <t>Винты самонарезающие, с уплотнительной прокладкой, размер 4,8х35 мм</t>
        </is>
      </c>
      <c r="E996" s="374" t="inlineStr">
        <is>
          <t>100 шт</t>
        </is>
      </c>
      <c r="F996" s="374" t="n">
        <v>0.24</v>
      </c>
      <c r="G996" s="290" t="n">
        <v>20</v>
      </c>
      <c r="H996" s="302">
        <f>ROUND(F996*G996,2)</f>
        <v/>
      </c>
    </row>
    <row r="997" ht="25.5" customHeight="1" s="248">
      <c r="A997" s="300" t="n">
        <v>981</v>
      </c>
      <c r="B997" s="346" t="n"/>
      <c r="C997" s="287" t="inlineStr">
        <is>
          <t>14.2.06.01-0003</t>
        </is>
      </c>
      <c r="D997" s="288" t="inlineStr">
        <is>
          <t>Антисептик-антипирен «ПИРИЛАКС-ТЕРМА» для древесины</t>
        </is>
      </c>
      <c r="E997" s="374" t="inlineStr">
        <is>
          <t>кг</t>
        </is>
      </c>
      <c r="F997" s="374" t="n">
        <v>0.303</v>
      </c>
      <c r="G997" s="290" t="n">
        <v>15.16</v>
      </c>
      <c r="H997" s="302">
        <f>ROUND(F997*G997,2)</f>
        <v/>
      </c>
    </row>
    <row r="998">
      <c r="A998" s="300" t="n">
        <v>982</v>
      </c>
      <c r="B998" s="346" t="n"/>
      <c r="C998" s="287" t="inlineStr">
        <is>
          <t>01.7.20.08-0102</t>
        </is>
      </c>
      <c r="D998" s="288" t="inlineStr">
        <is>
          <t>Миткаль суровый</t>
        </is>
      </c>
      <c r="E998" s="374" t="inlineStr">
        <is>
          <t>10 м</t>
        </is>
      </c>
      <c r="F998" s="374" t="n">
        <v>0.06</v>
      </c>
      <c r="G998" s="290" t="n">
        <v>73.65000000000001</v>
      </c>
      <c r="H998" s="302">
        <f>ROUND(F998*G998,2)</f>
        <v/>
      </c>
    </row>
    <row r="999" ht="25.5" customHeight="1" s="248">
      <c r="A999" s="300" t="n">
        <v>983</v>
      </c>
      <c r="B999" s="346" t="n"/>
      <c r="C999" s="287" t="inlineStr">
        <is>
          <t>08.3.03.05-0013</t>
        </is>
      </c>
      <c r="D999" s="288" t="inlineStr">
        <is>
          <t>Проволока стальная низкоуглеродистая разного назначения оцинкованная, диаметр 1,6 мм</t>
        </is>
      </c>
      <c r="E999" s="374" t="inlineStr">
        <is>
          <t>т</t>
        </is>
      </c>
      <c r="F999" s="374" t="n">
        <v>0.0003</v>
      </c>
      <c r="G999" s="290" t="n">
        <v>14690</v>
      </c>
      <c r="H999" s="302">
        <f>ROUND(F999*G999,2)</f>
        <v/>
      </c>
      <c r="I999" s="314" t="n"/>
    </row>
    <row r="1000">
      <c r="A1000" s="300" t="n">
        <v>984</v>
      </c>
      <c r="B1000" s="346" t="n"/>
      <c r="C1000" s="287" t="inlineStr">
        <is>
          <t>01.7.02.09-0002</t>
        </is>
      </c>
      <c r="D1000" s="288" t="inlineStr">
        <is>
          <t>Шпагат бумажный</t>
        </is>
      </c>
      <c r="E1000" s="374" t="inlineStr">
        <is>
          <t>кг</t>
        </is>
      </c>
      <c r="F1000" s="374" t="n">
        <v>0.3704</v>
      </c>
      <c r="G1000" s="290" t="n">
        <v>11.5</v>
      </c>
      <c r="H1000" s="302">
        <f>ROUND(F1000*G1000,2)</f>
        <v/>
      </c>
      <c r="I1000" s="314" t="n"/>
    </row>
    <row r="1001">
      <c r="A1001" s="300" t="n">
        <v>985</v>
      </c>
      <c r="B1001" s="346" t="n"/>
      <c r="C1001" s="287" t="inlineStr">
        <is>
          <t>Прайс из СД ОП</t>
        </is>
      </c>
      <c r="D1001" s="288" t="inlineStr">
        <is>
          <t>Анкерный болт с кольцом М6/8х60</t>
        </is>
      </c>
      <c r="E1001" s="374" t="inlineStr">
        <is>
          <t>шт.</t>
        </is>
      </c>
      <c r="F1001" s="374" t="n">
        <v>4</v>
      </c>
      <c r="G1001" s="290" t="n">
        <v>1.05</v>
      </c>
      <c r="H1001" s="302">
        <f>ROUND(F1001*G1001,2)</f>
        <v/>
      </c>
      <c r="I1001" s="314" t="n"/>
    </row>
    <row r="1002">
      <c r="A1002" s="300" t="n">
        <v>986</v>
      </c>
      <c r="B1002" s="346" t="n"/>
      <c r="C1002" s="287" t="inlineStr">
        <is>
          <t>14.4.02.04-0006</t>
        </is>
      </c>
      <c r="D1002" s="288" t="inlineStr">
        <is>
          <t>Краска для наружных работ, коричневая</t>
        </is>
      </c>
      <c r="E1002" s="374" t="inlineStr">
        <is>
          <t>т</t>
        </is>
      </c>
      <c r="F1002" s="374" t="n">
        <v>0.0002</v>
      </c>
      <c r="G1002" s="290" t="n">
        <v>17796.96</v>
      </c>
      <c r="H1002" s="302">
        <f>ROUND(F1002*G1002,2)</f>
        <v/>
      </c>
      <c r="I1002" s="314" t="n"/>
    </row>
    <row r="1003">
      <c r="A1003" s="300" t="n">
        <v>987</v>
      </c>
      <c r="B1003" s="346" t="n"/>
      <c r="C1003" s="287" t="inlineStr">
        <is>
          <t>25.2.02.11-0041</t>
        </is>
      </c>
      <c r="D1003" s="288" t="inlineStr">
        <is>
          <t>Рамка для надписей 55х15 мм</t>
        </is>
      </c>
      <c r="E1003" s="374" t="inlineStr">
        <is>
          <t>шт</t>
        </is>
      </c>
      <c r="F1003" s="374" t="n">
        <v>10</v>
      </c>
      <c r="G1003" s="290" t="n">
        <v>0.27</v>
      </c>
      <c r="H1003" s="302">
        <f>ROUND(F1003*G1003,2)</f>
        <v/>
      </c>
      <c r="I1003" s="314" t="n"/>
    </row>
    <row r="1004">
      <c r="A1004" s="300" t="n">
        <v>988</v>
      </c>
      <c r="B1004" s="346" t="n"/>
      <c r="C1004" s="287" t="inlineStr">
        <is>
          <t>03.2.02.08-0001</t>
        </is>
      </c>
      <c r="D1004" s="288" t="inlineStr">
        <is>
          <t>Цемент гипсоглиноземистый расширяющийся</t>
        </is>
      </c>
      <c r="E1004" s="374" t="inlineStr">
        <is>
          <t>т</t>
        </is>
      </c>
      <c r="F1004" s="374" t="n">
        <v>0.0014</v>
      </c>
      <c r="G1004" s="290" t="n">
        <v>1836</v>
      </c>
      <c r="H1004" s="302">
        <f>ROUND(F1004*G1004,2)</f>
        <v/>
      </c>
      <c r="I1004" s="314" t="n"/>
    </row>
    <row r="1005">
      <c r="A1005" s="300" t="n">
        <v>989</v>
      </c>
      <c r="B1005" s="346" t="n"/>
      <c r="C1005" s="287" t="inlineStr">
        <is>
          <t>01.7.15.14-0173</t>
        </is>
      </c>
      <c r="D1005" s="288" t="inlineStr">
        <is>
          <t>Шурупы с полукруглой головкой 6-10х100 мм</t>
        </is>
      </c>
      <c r="E1005" s="374" t="inlineStr">
        <is>
          <t>т</t>
        </is>
      </c>
      <c r="F1005" s="374" t="n">
        <v>0.0002</v>
      </c>
      <c r="G1005" s="290" t="n">
        <v>11350</v>
      </c>
      <c r="H1005" s="302">
        <f>ROUND(F1005*G1005,2)</f>
        <v/>
      </c>
      <c r="I1005" s="314" t="n"/>
    </row>
    <row r="1006">
      <c r="A1006" s="300" t="n">
        <v>990</v>
      </c>
      <c r="B1006" s="346" t="n"/>
      <c r="C1006" s="287" t="inlineStr">
        <is>
          <t>02.2.05.04-1777</t>
        </is>
      </c>
      <c r="D1006" s="288" t="inlineStr">
        <is>
          <t>Щебень М 800, фракция 20-40 мм, группа 2</t>
        </is>
      </c>
      <c r="E1006" s="374" t="inlineStr">
        <is>
          <t>м3</t>
        </is>
      </c>
      <c r="F1006" s="374" t="n">
        <v>0.0192</v>
      </c>
      <c r="G1006" s="290" t="n">
        <v>108.4</v>
      </c>
      <c r="H1006" s="302">
        <f>ROUND(F1006*G1006,2)</f>
        <v/>
      </c>
      <c r="I1006" s="314" t="n"/>
    </row>
    <row r="1007">
      <c r="A1007" s="300" t="n">
        <v>991</v>
      </c>
      <c r="B1007" s="346" t="n"/>
      <c r="C1007" s="287" t="inlineStr">
        <is>
          <t>01.7.15.14-0185</t>
        </is>
      </c>
      <c r="D1007" s="288" t="inlineStr">
        <is>
          <t>Шурупы с потайной головкой черные 8,0х100 мм</t>
        </is>
      </c>
      <c r="E1007" s="374" t="inlineStr">
        <is>
          <t>т</t>
        </is>
      </c>
      <c r="F1007" s="374" t="n">
        <v>0.0001</v>
      </c>
      <c r="G1007" s="290" t="n">
        <v>17555.75</v>
      </c>
      <c r="H1007" s="302">
        <f>ROUND(F1007*G1007,2)</f>
        <v/>
      </c>
      <c r="I1007" s="314" t="n"/>
    </row>
    <row r="1008">
      <c r="A1008" s="300" t="n">
        <v>992</v>
      </c>
      <c r="B1008" s="346" t="n"/>
      <c r="C1008" s="287" t="inlineStr">
        <is>
          <t>01.7.15.07-0024</t>
        </is>
      </c>
      <c r="D1008" s="288" t="inlineStr">
        <is>
          <t>Дюбели распорные полиэтиленовые, размер 8х40 мм</t>
        </is>
      </c>
      <c r="E1008" s="374" t="inlineStr">
        <is>
          <t>1000 шт</t>
        </is>
      </c>
      <c r="F1008" s="374" t="n">
        <v>0.008</v>
      </c>
      <c r="G1008" s="290" t="n">
        <v>200</v>
      </c>
      <c r="H1008" s="302">
        <f>ROUND(F1008*G1008,2)</f>
        <v/>
      </c>
    </row>
    <row r="1009">
      <c r="A1009" s="300" t="n">
        <v>993</v>
      </c>
      <c r="B1009" s="346" t="n"/>
      <c r="C1009" s="287" t="inlineStr">
        <is>
          <t>14.1.06.04-0012</t>
        </is>
      </c>
      <c r="D1009" s="288" t="inlineStr">
        <is>
          <t>Клей плиточный «Боларс Гранит»</t>
        </is>
      </c>
      <c r="E1009" s="374" t="inlineStr">
        <is>
          <t>кг</t>
        </is>
      </c>
      <c r="F1009" s="374" t="n">
        <v>0.4</v>
      </c>
      <c r="G1009" s="290" t="n">
        <v>3.76</v>
      </c>
      <c r="H1009" s="302">
        <f>ROUND(F1009*G1009,2)</f>
        <v/>
      </c>
    </row>
    <row r="1010">
      <c r="A1010" s="300" t="n">
        <v>994</v>
      </c>
      <c r="B1010" s="346" t="n"/>
      <c r="C1010" s="287" t="inlineStr">
        <is>
          <t>24.3.01.01-0001</t>
        </is>
      </c>
      <c r="D1010" s="288" t="inlineStr">
        <is>
          <t>Трубка ХВТ</t>
        </is>
      </c>
      <c r="E1010" s="374" t="inlineStr">
        <is>
          <t>кг</t>
        </is>
      </c>
      <c r="F1010" s="374" t="n">
        <v>0.032</v>
      </c>
      <c r="G1010" s="290" t="n">
        <v>41.7</v>
      </c>
      <c r="H1010" s="302">
        <f>ROUND(F1010*G1010,2)</f>
        <v/>
      </c>
    </row>
    <row r="1011">
      <c r="A1011" s="300" t="n">
        <v>995</v>
      </c>
      <c r="B1011" s="346" t="n"/>
      <c r="C1011" s="287" t="inlineStr">
        <is>
          <t>01.3.04.03-0003</t>
        </is>
      </c>
      <c r="D1011" s="288" t="inlineStr">
        <is>
          <t>Масло индустриальное И-20А</t>
        </is>
      </c>
      <c r="E1011" s="374" t="inlineStr">
        <is>
          <t>л</t>
        </is>
      </c>
      <c r="F1011" s="374" t="n">
        <v>0.112</v>
      </c>
      <c r="G1011" s="290" t="n">
        <v>11.78</v>
      </c>
      <c r="H1011" s="302">
        <f>ROUND(F1011*G1011,2)</f>
        <v/>
      </c>
      <c r="I1011" s="314" t="n"/>
    </row>
    <row r="1012">
      <c r="A1012" s="300" t="n">
        <v>996</v>
      </c>
      <c r="B1012" s="346" t="n"/>
      <c r="C1012" s="287" t="inlineStr">
        <is>
          <t>01.7.11.07-0029</t>
        </is>
      </c>
      <c r="D1012" s="288" t="inlineStr">
        <is>
          <t>Электроды сварочные Э55, диаметр 3 мм</t>
        </is>
      </c>
      <c r="E1012" s="374" t="inlineStr">
        <is>
          <t>т</t>
        </is>
      </c>
      <c r="F1012" s="374" t="n">
        <v>0.0001</v>
      </c>
      <c r="G1012" s="290" t="n">
        <v>13045.13</v>
      </c>
      <c r="H1012" s="302">
        <f>ROUND(F1012*G1012,2)</f>
        <v/>
      </c>
      <c r="I1012" s="314" t="n"/>
    </row>
    <row r="1013">
      <c r="A1013" s="300" t="n">
        <v>997</v>
      </c>
      <c r="B1013" s="346" t="n"/>
      <c r="C1013" s="287" t="inlineStr">
        <is>
          <t>01.7.15.07-0021</t>
        </is>
      </c>
      <c r="D1013" s="288" t="inlineStr">
        <is>
          <t>Дюбели распорные полиэтиленовые, размер 6х30 мм</t>
        </is>
      </c>
      <c r="E1013" s="374" t="inlineStr">
        <is>
          <t>1000 шт</t>
        </is>
      </c>
      <c r="F1013" s="374" t="n">
        <v>0.008</v>
      </c>
      <c r="G1013" s="290" t="n">
        <v>160</v>
      </c>
      <c r="H1013" s="302">
        <f>ROUND(F1013*G1013,2)</f>
        <v/>
      </c>
      <c r="I1013" s="314" t="n"/>
    </row>
    <row r="1014">
      <c r="A1014" s="300" t="n">
        <v>998</v>
      </c>
      <c r="B1014" s="346" t="n"/>
      <c r="C1014" s="287" t="inlineStr">
        <is>
          <t>12.1.02.06-0012</t>
        </is>
      </c>
      <c r="D1014" s="288" t="inlineStr">
        <is>
          <t>Рубероид кровельный РКК-350</t>
        </is>
      </c>
      <c r="E1014" s="374" t="inlineStr">
        <is>
          <t>м2</t>
        </is>
      </c>
      <c r="F1014" s="374" t="n">
        <v>0.168</v>
      </c>
      <c r="G1014" s="290" t="n">
        <v>7.46</v>
      </c>
      <c r="H1014" s="302">
        <f>ROUND(F1014*G1014,2)</f>
        <v/>
      </c>
      <c r="I1014" s="314" t="n"/>
    </row>
    <row r="1015">
      <c r="A1015" s="300" t="n">
        <v>999</v>
      </c>
      <c r="B1015" s="346" t="n"/>
      <c r="C1015" s="287" t="inlineStr">
        <is>
          <t>01.7.15.14-0171</t>
        </is>
      </c>
      <c r="D1015" s="288" t="inlineStr">
        <is>
          <t>Шурупы с полукруглой головкой 6х60 мм</t>
        </is>
      </c>
      <c r="E1015" s="374" t="inlineStr">
        <is>
          <t>т</t>
        </is>
      </c>
      <c r="F1015" s="374" t="n">
        <v>0.0001</v>
      </c>
      <c r="G1015" s="290" t="n">
        <v>12430</v>
      </c>
      <c r="H1015" s="302">
        <f>ROUND(F1015*G1015,2)</f>
        <v/>
      </c>
      <c r="I1015" s="314" t="n"/>
    </row>
    <row r="1016">
      <c r="A1016" s="300" t="n">
        <v>1000</v>
      </c>
      <c r="B1016" s="346" t="n"/>
      <c r="C1016" s="287" t="inlineStr">
        <is>
          <t>14.1.05.03-0012</t>
        </is>
      </c>
      <c r="D1016" s="288" t="inlineStr">
        <is>
          <t>Клей фенолополивинилацетальный БФ-2, сорт I</t>
        </is>
      </c>
      <c r="E1016" s="374" t="inlineStr">
        <is>
          <t>т</t>
        </is>
      </c>
      <c r="F1016" s="374" t="n">
        <v>0.0001</v>
      </c>
      <c r="G1016" s="290" t="n">
        <v>12330</v>
      </c>
      <c r="H1016" s="302">
        <f>ROUND(F1016*G1016,2)</f>
        <v/>
      </c>
      <c r="I1016" s="314" t="n"/>
    </row>
    <row r="1017">
      <c r="A1017" s="300" t="n">
        <v>1001</v>
      </c>
      <c r="B1017" s="346" t="n"/>
      <c r="C1017" s="287" t="inlineStr">
        <is>
          <t>01.7.19.04-0002</t>
        </is>
      </c>
      <c r="D1017" s="288" t="inlineStr">
        <is>
          <t>Пластина резиновая рулонная вулканизированная</t>
        </is>
      </c>
      <c r="E1017" s="374" t="inlineStr">
        <is>
          <t>кг</t>
        </is>
      </c>
      <c r="F1017" s="374" t="n">
        <v>0.08</v>
      </c>
      <c r="G1017" s="290" t="n">
        <v>13.56</v>
      </c>
      <c r="H1017" s="302">
        <f>ROUND(F1017*G1017,2)</f>
        <v/>
      </c>
      <c r="I1017" s="314" t="n"/>
    </row>
    <row r="1018" ht="25.5" customHeight="1" s="248">
      <c r="A1018" s="300" t="n">
        <v>1002</v>
      </c>
      <c r="B1018" s="346" t="n"/>
      <c r="C1018" s="287" t="inlineStr">
        <is>
          <t>24.3.01.02-1004</t>
        </is>
      </c>
      <c r="D1018" s="288" t="inlineStr">
        <is>
          <t>Кольца резиновые уплотнительные для ПВХ труб канализации, диаметр 50 мм</t>
        </is>
      </c>
      <c r="E1018" s="374" t="inlineStr">
        <is>
          <t>шт</t>
        </is>
      </c>
      <c r="F1018" s="374" t="n">
        <v>4</v>
      </c>
      <c r="G1018" s="290" t="n">
        <v>0.22</v>
      </c>
      <c r="H1018" s="302">
        <f>ROUND(F1018*G1018,2)</f>
        <v/>
      </c>
      <c r="I1018" s="314" t="n"/>
    </row>
    <row r="1019">
      <c r="A1019" s="300" t="n">
        <v>1003</v>
      </c>
      <c r="B1019" s="346" t="n"/>
      <c r="C1019" s="287" t="inlineStr">
        <is>
          <t>14.5.05.02-0001</t>
        </is>
      </c>
      <c r="D1019" s="288" t="inlineStr">
        <is>
          <t>Олифа натуральная</t>
        </is>
      </c>
      <c r="E1019" s="374" t="inlineStr">
        <is>
          <t>кг</t>
        </is>
      </c>
      <c r="F1019" s="374" t="n">
        <v>0.008</v>
      </c>
      <c r="G1019" s="290" t="n">
        <v>32.6</v>
      </c>
      <c r="H1019" s="302">
        <f>ROUND(F1019*G1019,2)</f>
        <v/>
      </c>
      <c r="I1019" s="314" t="n"/>
    </row>
    <row r="1020" customFormat="1" s="299">
      <c r="A1020" s="300" t="n">
        <v>1004</v>
      </c>
      <c r="B1020" s="346" t="n"/>
      <c r="C1020" s="287" t="inlineStr">
        <is>
          <t>03.1.02.03-0015</t>
        </is>
      </c>
      <c r="D1020" s="288" t="inlineStr">
        <is>
          <t>Известь строительная негашеная хлорная, марка А</t>
        </is>
      </c>
      <c r="E1020" s="374" t="inlineStr">
        <is>
          <t>кг</t>
        </is>
      </c>
      <c r="F1020" s="374" t="n">
        <v>0.0304</v>
      </c>
      <c r="G1020" s="290" t="n">
        <v>2.15</v>
      </c>
      <c r="H1020" s="302">
        <f>ROUND(F1020*G1020,2)</f>
        <v/>
      </c>
      <c r="I1020" s="314" t="n"/>
    </row>
    <row r="1023">
      <c r="B1023" s="291" t="inlineStr">
        <is>
          <t>Составил ______________________     Д.Ю. Нефедова</t>
        </is>
      </c>
    </row>
    <row r="1024">
      <c r="B1024" s="335" t="inlineStr">
        <is>
          <t xml:space="preserve">                         (подпись, инициалы, фамилия)</t>
        </is>
      </c>
    </row>
    <row r="1026">
      <c r="B1026" s="291" t="inlineStr">
        <is>
          <t>Проверил ______________________        А.В. Костянецкая</t>
        </is>
      </c>
    </row>
    <row r="1027">
      <c r="B1027" s="335" t="inlineStr">
        <is>
          <t xml:space="preserve">                        (подпись, инициалы, фамилия)</t>
        </is>
      </c>
    </row>
  </sheetData>
  <mergeCells count="16">
    <mergeCell ref="A215:E215"/>
    <mergeCell ref="A4:H4"/>
    <mergeCell ref="B9:B10"/>
    <mergeCell ref="A3:H3"/>
    <mergeCell ref="A12:E12"/>
    <mergeCell ref="C9:C10"/>
    <mergeCell ref="D9:D10"/>
    <mergeCell ref="E9:E10"/>
    <mergeCell ref="A7:H7"/>
    <mergeCell ref="A9:A10"/>
    <mergeCell ref="F9:F10"/>
    <mergeCell ref="C5:H5"/>
    <mergeCell ref="A46:E46"/>
    <mergeCell ref="A123:E123"/>
    <mergeCell ref="A44:E44"/>
    <mergeCell ref="G9:H9"/>
  </mergeCells>
  <pageMargins left="0.7086614173228351" right="0.7086614173228351" top="0.748031496062992" bottom="0.748031496062992" header="0.31496062992126" footer="0.31496062992126"/>
  <pageSetup orientation="landscape" paperSize="9" scale="82" fitToHeight="0" cellComments="atEnd"/>
  <rowBreaks count="1" manualBreakCount="1">
    <brk id="1015" min="0" max="7" man="1"/>
  </rowBreaks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7" workbookViewId="0">
      <selection activeCell="D45" sqref="D45"/>
    </sheetView>
  </sheetViews>
  <sheetFormatPr baseColWidth="8" defaultRowHeight="15"/>
  <cols>
    <col width="4.140625" customWidth="1" style="248" min="1" max="1"/>
    <col width="36.28515625" customWidth="1" style="248" min="2" max="2"/>
    <col width="18.85546875" customWidth="1" style="248" min="3" max="3"/>
    <col width="18.28515625" customWidth="1" style="248" min="4" max="4"/>
    <col width="18.85546875" customWidth="1" style="248" min="5" max="5"/>
    <col width="9.140625" customWidth="1" style="248" min="6" max="6"/>
    <col width="13.42578125" customWidth="1" style="248" min="7" max="7"/>
    <col width="9.140625" customWidth="1" style="248" min="8" max="11"/>
    <col width="13.5703125" customWidth="1" style="248" min="12" max="12"/>
    <col width="9.140625" customWidth="1" style="248" min="13" max="13"/>
  </cols>
  <sheetData>
    <row r="1">
      <c r="B1" s="256" t="n"/>
      <c r="C1" s="256" t="n"/>
      <c r="D1" s="256" t="n"/>
      <c r="E1" s="256" t="n"/>
    </row>
    <row r="2">
      <c r="B2" s="256" t="n"/>
      <c r="C2" s="256" t="n"/>
      <c r="D2" s="256" t="n"/>
      <c r="E2" s="369" t="inlineStr">
        <is>
          <t>Приложение № 4</t>
        </is>
      </c>
    </row>
    <row r="3">
      <c r="B3" s="256" t="n"/>
      <c r="C3" s="256" t="n"/>
      <c r="D3" s="256" t="n"/>
      <c r="E3" s="256" t="n"/>
    </row>
    <row r="4">
      <c r="B4" s="256" t="n"/>
      <c r="C4" s="256" t="n"/>
      <c r="D4" s="256" t="n"/>
      <c r="E4" s="256" t="n"/>
    </row>
    <row r="5">
      <c r="B5" s="324" t="inlineStr">
        <is>
          <t>Ресурсная модель</t>
        </is>
      </c>
    </row>
    <row r="6">
      <c r="B6" s="219" t="n"/>
      <c r="C6" s="256" t="n"/>
      <c r="D6" s="256" t="n"/>
      <c r="E6" s="256" t="n"/>
    </row>
    <row r="7" ht="25.5" customHeight="1" s="248">
      <c r="B7" s="339" t="inlineStr">
        <is>
          <t>Наименование разрабатываемого показателя УНЦ — Здание ЗПС 110 кВ</t>
        </is>
      </c>
    </row>
    <row r="8">
      <c r="B8" s="350" t="inlineStr">
        <is>
          <t>Единица измерения  — 1 ед</t>
        </is>
      </c>
    </row>
    <row r="9">
      <c r="B9" s="219" t="n"/>
      <c r="C9" s="256" t="n"/>
      <c r="D9" s="256" t="n"/>
      <c r="E9" s="256" t="n"/>
    </row>
    <row r="10" ht="51" customHeight="1" s="248">
      <c r="B10" s="357" t="inlineStr">
        <is>
          <t>Наименование</t>
        </is>
      </c>
      <c r="C10" s="357" t="inlineStr">
        <is>
          <t>Сметная стоимость в ценах на 01.01.2023
 (руб.)</t>
        </is>
      </c>
      <c r="D10" s="357" t="inlineStr">
        <is>
          <t>Удельный вес, 
(в СМР)</t>
        </is>
      </c>
      <c r="E10" s="357" t="inlineStr">
        <is>
          <t>Удельный вес, % 
(от всего по РМ)</t>
        </is>
      </c>
    </row>
    <row r="11">
      <c r="B11" s="211" t="inlineStr">
        <is>
          <t>Оплата труда рабочих</t>
        </is>
      </c>
      <c r="C11" s="240">
        <f>'Прил.5 Расчет СМР и ОБ'!J14</f>
        <v/>
      </c>
      <c r="D11" s="213">
        <f>C11/$C$24</f>
        <v/>
      </c>
      <c r="E11" s="213">
        <f>C11/$C$40</f>
        <v/>
      </c>
    </row>
    <row r="12">
      <c r="B12" s="211" t="inlineStr">
        <is>
          <t>Эксплуатация машин основных</t>
        </is>
      </c>
      <c r="C12" s="240">
        <f>'Прил.5 Расчет СМР и ОБ'!J31</f>
        <v/>
      </c>
      <c r="D12" s="213">
        <f>C12/$C$24</f>
        <v/>
      </c>
      <c r="E12" s="213">
        <f>C12/$C$40</f>
        <v/>
      </c>
    </row>
    <row r="13">
      <c r="B13" s="211" t="inlineStr">
        <is>
          <t>Эксплуатация машин прочих</t>
        </is>
      </c>
      <c r="C13" s="240">
        <f>'Прил.5 Расчет СМР и ОБ'!J96</f>
        <v/>
      </c>
      <c r="D13" s="213">
        <f>C13/$C$24</f>
        <v/>
      </c>
      <c r="E13" s="213">
        <f>C13/$C$40</f>
        <v/>
      </c>
    </row>
    <row r="14">
      <c r="B14" s="211" t="inlineStr">
        <is>
          <t>ЭКСПЛУАТАЦИЯ МАШИН, ВСЕГО:</t>
        </is>
      </c>
      <c r="C14" s="240">
        <f>C13+C12</f>
        <v/>
      </c>
      <c r="D14" s="213">
        <f>C14/$C$24</f>
        <v/>
      </c>
      <c r="E14" s="213">
        <f>C14/$C$40</f>
        <v/>
      </c>
    </row>
    <row r="15">
      <c r="B15" s="211" t="inlineStr">
        <is>
          <t>в том числе зарплата машинистов</t>
        </is>
      </c>
      <c r="C15" s="240">
        <f>'Прил.5 Расчет СМР и ОБ'!J16</f>
        <v/>
      </c>
      <c r="D15" s="213">
        <f>C15/$C$24</f>
        <v/>
      </c>
      <c r="E15" s="213">
        <f>C15/$C$40</f>
        <v/>
      </c>
    </row>
    <row r="16">
      <c r="B16" s="211" t="inlineStr">
        <is>
          <t>Материалы основные</t>
        </is>
      </c>
      <c r="C16" s="240">
        <f>'Прил.5 Расчет СМР и ОБ'!J245</f>
        <v/>
      </c>
      <c r="D16" s="213">
        <f>C16/$C$24</f>
        <v/>
      </c>
      <c r="E16" s="213">
        <f>C16/$C$40</f>
        <v/>
      </c>
    </row>
    <row r="17">
      <c r="B17" s="211" t="inlineStr">
        <is>
          <t>Материалы прочие</t>
        </is>
      </c>
      <c r="C17" s="240">
        <f>'Прил.5 Расчет СМР и ОБ'!J1003</f>
        <v/>
      </c>
      <c r="D17" s="213">
        <f>C17/$C$24</f>
        <v/>
      </c>
      <c r="E17" s="213">
        <f>C17/$C$40</f>
        <v/>
      </c>
      <c r="G17" s="217" t="n"/>
    </row>
    <row r="18">
      <c r="B18" s="211" t="inlineStr">
        <is>
          <t>МАТЕРИАЛЫ, ВСЕГО:</t>
        </is>
      </c>
      <c r="C18" s="240">
        <f>C17+C16</f>
        <v/>
      </c>
      <c r="D18" s="213">
        <f>C18/$C$24</f>
        <v/>
      </c>
      <c r="E18" s="213">
        <f>C18/$C$40</f>
        <v/>
      </c>
    </row>
    <row r="19">
      <c r="B19" s="211" t="inlineStr">
        <is>
          <t>ИТОГО</t>
        </is>
      </c>
      <c r="C19" s="240">
        <f>C18+C14+C11</f>
        <v/>
      </c>
      <c r="D19" s="213" t="n"/>
      <c r="E19" s="211" t="n"/>
    </row>
    <row r="20">
      <c r="B20" s="211" t="inlineStr">
        <is>
          <t>Сметная прибыль, руб.</t>
        </is>
      </c>
      <c r="C20" s="240">
        <f>ROUND(C21*(C11+C15),2)</f>
        <v/>
      </c>
      <c r="D20" s="213">
        <f>C20/$C$24</f>
        <v/>
      </c>
      <c r="E20" s="213">
        <f>C20/$C$40</f>
        <v/>
      </c>
    </row>
    <row r="21">
      <c r="B21" s="211" t="inlineStr">
        <is>
          <t>Сметная прибыль, %</t>
        </is>
      </c>
      <c r="C21" s="216">
        <f>'Прил.5 Расчет СМР и ОБ'!D1007</f>
        <v/>
      </c>
      <c r="D21" s="213" t="n"/>
      <c r="E21" s="211" t="n"/>
    </row>
    <row r="22">
      <c r="B22" s="211" t="inlineStr">
        <is>
          <t>Накладные расходы, руб.</t>
        </is>
      </c>
      <c r="C22" s="240">
        <f>ROUND(C23*(C11+C15),2)</f>
        <v/>
      </c>
      <c r="D22" s="213">
        <f>C22/$C$24</f>
        <v/>
      </c>
      <c r="E22" s="213">
        <f>C22/$C$40</f>
        <v/>
      </c>
    </row>
    <row r="23">
      <c r="B23" s="211" t="inlineStr">
        <is>
          <t>Накладные расходы, %</t>
        </is>
      </c>
      <c r="C23" s="216">
        <f>'Прил.5 Расчет СМР и ОБ'!D1006</f>
        <v/>
      </c>
      <c r="D23" s="213" t="n"/>
      <c r="E23" s="211" t="n"/>
    </row>
    <row r="24">
      <c r="B24" s="211" t="inlineStr">
        <is>
          <t>ВСЕГО СМР с НР и СП</t>
        </is>
      </c>
      <c r="C24" s="240">
        <f>C19+C20+C22</f>
        <v/>
      </c>
      <c r="D24" s="213">
        <f>C24/$C$24</f>
        <v/>
      </c>
      <c r="E24" s="213">
        <f>C24/$C$40</f>
        <v/>
      </c>
    </row>
    <row r="25" ht="25.5" customHeight="1" s="248">
      <c r="B25" s="211" t="inlineStr">
        <is>
          <t>ВСЕГО стоимость оборудования, в том числе</t>
        </is>
      </c>
      <c r="C25" s="240">
        <f>'Прил.5 Расчет СМР и ОБ'!J193</f>
        <v/>
      </c>
      <c r="D25" s="213" t="n"/>
      <c r="E25" s="213">
        <f>C25/$C$40</f>
        <v/>
      </c>
    </row>
    <row r="26" ht="25.5" customHeight="1" s="248">
      <c r="B26" s="211" t="inlineStr">
        <is>
          <t>стоимость оборудования технологического</t>
        </is>
      </c>
      <c r="C26" s="240">
        <f>'Прил.5 Расчет СМР и ОБ'!J194</f>
        <v/>
      </c>
      <c r="D26" s="213" t="n"/>
      <c r="E26" s="213">
        <f>C26/$C$40</f>
        <v/>
      </c>
    </row>
    <row r="27">
      <c r="B27" s="211" t="inlineStr">
        <is>
          <t>ИТОГО (СМР + ОБОРУДОВАНИЕ)</t>
        </is>
      </c>
      <c r="C27" s="215">
        <f>C24+C25</f>
        <v/>
      </c>
      <c r="D27" s="213" t="n"/>
      <c r="E27" s="213">
        <f>C27/$C$40</f>
        <v/>
      </c>
      <c r="G27" s="214" t="n"/>
    </row>
    <row r="28" ht="33" customHeight="1" s="248">
      <c r="B28" s="211" t="inlineStr">
        <is>
          <t>ПРОЧ. ЗАТР., УЧТЕННЫЕ ПОКАЗАТЕЛЕМ,  в том числе</t>
        </is>
      </c>
      <c r="C28" s="211" t="n"/>
      <c r="D28" s="211" t="n"/>
      <c r="E28" s="211" t="n"/>
    </row>
    <row r="29" ht="25.5" customHeight="1" s="248">
      <c r="B29" s="211" t="inlineStr">
        <is>
          <t>Временные здания и сооружения - 3,9%</t>
        </is>
      </c>
      <c r="C29" s="215">
        <f>ROUND(C24*3.9%,2)</f>
        <v/>
      </c>
      <c r="D29" s="211" t="n"/>
      <c r="E29" s="213" t="n">
        <v>0.039</v>
      </c>
    </row>
    <row r="30" ht="38.25" customHeight="1" s="248">
      <c r="B30" s="211" t="inlineStr">
        <is>
          <t>Дополнительные затраты при производстве строительно-монтажных работ в зимнее время - 2,1%</t>
        </is>
      </c>
      <c r="C30" s="215">
        <f>ROUND((C24+C29)*2.1%,2)</f>
        <v/>
      </c>
      <c r="D30" s="211" t="n"/>
      <c r="E30" s="213" t="n">
        <v>0.021</v>
      </c>
    </row>
    <row r="31">
      <c r="B31" s="211" t="inlineStr">
        <is>
          <t>Пусконаладочные работы</t>
        </is>
      </c>
      <c r="C31" s="215" t="n">
        <v>1296016.13</v>
      </c>
      <c r="D31" s="211" t="n"/>
      <c r="E31" s="213">
        <f>C31/$C$40</f>
        <v/>
      </c>
    </row>
    <row r="32" ht="25.5" customHeight="1" s="248">
      <c r="B32" s="211" t="inlineStr">
        <is>
          <t>Затраты по перевозке работников к месту работы и обратно</t>
        </is>
      </c>
      <c r="C32" s="215" t="n">
        <v>0</v>
      </c>
      <c r="D32" s="211" t="n"/>
      <c r="E32" s="213">
        <f>C32/$C$40</f>
        <v/>
      </c>
    </row>
    <row r="33" ht="25.5" customHeight="1" s="248">
      <c r="B33" s="211" t="inlineStr">
        <is>
          <t>Затраты, связанные с осуществлением работ вахтовым методом</t>
        </is>
      </c>
      <c r="C33" s="215">
        <f>ROUND(C27*0%,2)</f>
        <v/>
      </c>
      <c r="D33" s="211" t="n"/>
      <c r="E33" s="213">
        <f>C33/$C$40</f>
        <v/>
      </c>
    </row>
    <row r="34" ht="51" customHeight="1" s="248">
      <c r="B34" s="211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15" t="n">
        <v>0</v>
      </c>
      <c r="D34" s="211" t="n"/>
      <c r="E34" s="213">
        <f>C34/$C$40</f>
        <v/>
      </c>
    </row>
    <row r="35" ht="76.7" customHeight="1" s="248">
      <c r="B35" s="211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15">
        <f>ROUND(C27*0%,2)</f>
        <v/>
      </c>
      <c r="D35" s="211" t="n"/>
      <c r="E35" s="213">
        <f>C35/$C$40</f>
        <v/>
      </c>
    </row>
    <row r="36" ht="25.5" customHeight="1" s="248">
      <c r="B36" s="211" t="inlineStr">
        <is>
          <t>Строительный контроль и содержание службы заказчика - 2,14%</t>
        </is>
      </c>
      <c r="C36" s="215">
        <f>ROUND((C27+C32+C33+C34+C35+C29+C31+C30)*2.14%,2)</f>
        <v/>
      </c>
      <c r="D36" s="211" t="n"/>
      <c r="E36" s="213">
        <f>C36/$C$40</f>
        <v/>
      </c>
      <c r="L36" s="214" t="n"/>
    </row>
    <row r="37">
      <c r="B37" s="211" t="inlineStr">
        <is>
          <t>Авторский надзор - 0,2%</t>
        </is>
      </c>
      <c r="C37" s="215">
        <f>ROUND((C27+C32+C33+C34+C35+C29+C31+C30)*0.2%,2)</f>
        <v/>
      </c>
      <c r="D37" s="211" t="n"/>
      <c r="E37" s="213">
        <f>C37/$C$40</f>
        <v/>
      </c>
      <c r="L37" s="214" t="n"/>
    </row>
    <row r="38" ht="38.25" customHeight="1" s="248">
      <c r="B38" s="211" t="inlineStr">
        <is>
          <t>ИТОГО (СМР+ОБОРУДОВАНИЕ+ПРОЧ. ЗАТР., УЧТЕННЫЕ ПОКАЗАТЕЛЕМ)</t>
        </is>
      </c>
      <c r="C38" s="240">
        <f>C27+C32+C33+C34+C35+C29+C31+C30+C36+C37</f>
        <v/>
      </c>
      <c r="D38" s="211" t="n"/>
      <c r="E38" s="213">
        <f>C38/$C$40</f>
        <v/>
      </c>
    </row>
    <row r="39" ht="13.7" customHeight="1" s="248">
      <c r="B39" s="211" t="inlineStr">
        <is>
          <t>Непредвиденные расходы</t>
        </is>
      </c>
      <c r="C39" s="240">
        <f>ROUND(C38*3%,2)</f>
        <v/>
      </c>
      <c r="D39" s="211" t="n"/>
      <c r="E39" s="213">
        <f>C39/$C$38</f>
        <v/>
      </c>
    </row>
    <row r="40">
      <c r="B40" s="211" t="inlineStr">
        <is>
          <t>ВСЕГО:</t>
        </is>
      </c>
      <c r="C40" s="240">
        <f>C39+C38</f>
        <v/>
      </c>
      <c r="D40" s="211" t="n"/>
      <c r="E40" s="213">
        <f>C40/$C$40</f>
        <v/>
      </c>
    </row>
    <row r="41">
      <c r="B41" s="211" t="inlineStr">
        <is>
          <t>ИТОГО ПОКАЗАТЕЛЬ НА ЕД. ИЗМ.</t>
        </is>
      </c>
      <c r="C41" s="240">
        <f>C40/'Прил.5 Расчет СМР и ОБ'!E1010</f>
        <v/>
      </c>
      <c r="D41" s="211" t="n"/>
      <c r="E41" s="211" t="n"/>
    </row>
    <row r="42">
      <c r="B42" s="242" t="n"/>
      <c r="C42" s="256" t="n"/>
      <c r="D42" s="256" t="n"/>
      <c r="E42" s="256" t="n"/>
    </row>
    <row r="43">
      <c r="B43" s="242" t="inlineStr">
        <is>
          <t>Составил ____________________________  Д.Ю. Нефедова</t>
        </is>
      </c>
      <c r="C43" s="256" t="n"/>
      <c r="D43" s="256" t="n"/>
      <c r="E43" s="256" t="n"/>
    </row>
    <row r="44">
      <c r="B44" s="242" t="inlineStr">
        <is>
          <t xml:space="preserve">(должность, подпись, инициалы, фамилия) </t>
        </is>
      </c>
      <c r="C44" s="256" t="n"/>
      <c r="D44" s="256" t="n"/>
      <c r="E44" s="256" t="n"/>
    </row>
    <row r="45">
      <c r="B45" s="242" t="n"/>
      <c r="C45" s="256" t="n"/>
      <c r="D45" s="256" t="n"/>
      <c r="E45" s="256" t="n"/>
    </row>
    <row r="46">
      <c r="B46" s="242" t="inlineStr">
        <is>
          <t>Проверил ____________________________ А.В. Костянецкая</t>
        </is>
      </c>
      <c r="C46" s="256" t="n"/>
      <c r="D46" s="256" t="n"/>
      <c r="E46" s="256" t="n"/>
    </row>
    <row r="47">
      <c r="B47" s="350" t="inlineStr">
        <is>
          <t>(должность, подпись, инициалы, фамилия)</t>
        </is>
      </c>
      <c r="D47" s="256" t="n"/>
      <c r="E47" s="256" t="n"/>
    </row>
    <row r="49">
      <c r="B49" s="256" t="n"/>
      <c r="C49" s="256" t="n"/>
      <c r="D49" s="256" t="n"/>
      <c r="E49" s="256" t="n"/>
    </row>
    <row r="50">
      <c r="B50" s="256" t="n"/>
      <c r="C50" s="256" t="n"/>
      <c r="D50" s="256" t="n"/>
      <c r="E50" s="256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1016"/>
  <sheetViews>
    <sheetView view="pageBreakPreview" topLeftCell="A222" zoomScale="40" zoomScaleSheetLayoutView="40" workbookViewId="0">
      <selection activeCell="T1005" sqref="T1005"/>
    </sheetView>
  </sheetViews>
  <sheetFormatPr baseColWidth="8" defaultColWidth="9.140625" defaultRowHeight="15" outlineLevelRow="1"/>
  <cols>
    <col width="5.7109375" customWidth="1" style="255" min="1" max="1"/>
    <col width="22.5703125" customWidth="1" style="255" min="2" max="2"/>
    <col width="39.140625" customWidth="1" style="255" min="3" max="3"/>
    <col width="13.5703125" customWidth="1" style="255" min="4" max="4"/>
    <col width="12.7109375" customWidth="1" style="255" min="5" max="5"/>
    <col width="14.5703125" customWidth="1" style="255" min="6" max="6"/>
    <col width="16.42578125" customWidth="1" style="255" min="7" max="7"/>
    <col width="12.7109375" customWidth="1" style="255" min="8" max="8"/>
    <col width="13.85546875" customWidth="1" style="255" min="9" max="9"/>
    <col width="16.140625" customWidth="1" style="255" min="10" max="10"/>
    <col hidden="1" width="10.85546875" customWidth="1" style="255" min="11" max="11"/>
    <col width="15.140625" customWidth="1" style="255" min="12" max="12"/>
    <col width="9.140625" customWidth="1" style="248" min="13" max="13"/>
  </cols>
  <sheetData>
    <row r="1">
      <c r="M1" s="255" t="n"/>
      <c r="N1" s="255" t="n"/>
    </row>
    <row r="2" ht="15.75" customHeight="1" s="248">
      <c r="H2" s="365" t="inlineStr">
        <is>
          <t>Приложение №5</t>
        </is>
      </c>
      <c r="M2" s="255" t="n"/>
      <c r="N2" s="255" t="n"/>
    </row>
    <row r="3">
      <c r="M3" s="255" t="n"/>
      <c r="N3" s="255" t="n"/>
    </row>
    <row r="4" ht="12.75" customFormat="1" customHeight="1" s="256">
      <c r="A4" s="324" t="inlineStr">
        <is>
          <t>Расчет стоимости СМР и оборудования</t>
        </is>
      </c>
    </row>
    <row r="5" ht="12.75" customFormat="1" customHeight="1" s="256">
      <c r="A5" s="324" t="n"/>
      <c r="B5" s="324" t="n"/>
      <c r="C5" s="376" t="n"/>
      <c r="D5" s="324" t="n"/>
      <c r="E5" s="324" t="n"/>
      <c r="F5" s="324" t="n"/>
      <c r="G5" s="324" t="n"/>
      <c r="H5" s="324" t="n"/>
      <c r="I5" s="324" t="n"/>
      <c r="J5" s="324" t="n"/>
    </row>
    <row r="6" ht="12.75" customFormat="1" customHeight="1" s="256">
      <c r="A6" s="259" t="inlineStr">
        <is>
          <t>Наименование разрабатываемого показателя УНЦ</t>
        </is>
      </c>
      <c r="B6" s="260" t="n"/>
      <c r="C6" s="260" t="n"/>
      <c r="D6" s="327" t="inlineStr">
        <is>
          <t>Здание ЗПС 110 кВ</t>
        </is>
      </c>
    </row>
    <row r="7" ht="12.75" customFormat="1" customHeight="1" s="256">
      <c r="A7" s="327" t="inlineStr">
        <is>
          <t>Единица измерения  — 1 ед</t>
        </is>
      </c>
      <c r="I7" s="339" t="n"/>
      <c r="J7" s="339" t="n"/>
    </row>
    <row r="8" ht="13.7" customFormat="1" customHeight="1" s="256">
      <c r="A8" s="327" t="n"/>
    </row>
    <row r="9" ht="27" customHeight="1" s="248">
      <c r="A9" s="357" t="inlineStr">
        <is>
          <t>№ пп.</t>
        </is>
      </c>
      <c r="B9" s="357" t="inlineStr">
        <is>
          <t>Код ресурса</t>
        </is>
      </c>
      <c r="C9" s="357" t="inlineStr">
        <is>
          <t>Наименование</t>
        </is>
      </c>
      <c r="D9" s="357" t="inlineStr">
        <is>
          <t>Ед. изм.</t>
        </is>
      </c>
      <c r="E9" s="357" t="inlineStr">
        <is>
          <t>Кол-во единиц по проектным данным</t>
        </is>
      </c>
      <c r="F9" s="357" t="inlineStr">
        <is>
          <t>Сметная стоимость в ценах на 01.01.2000 (руб.)</t>
        </is>
      </c>
      <c r="G9" s="420" t="n"/>
      <c r="H9" s="357" t="inlineStr">
        <is>
          <t>Удельный вес, %</t>
        </is>
      </c>
      <c r="I9" s="357" t="inlineStr">
        <is>
          <t>Сметная стоимость в ценах на 01.01.2023 (руб.)</t>
        </is>
      </c>
      <c r="J9" s="420" t="n"/>
      <c r="M9" s="255" t="n"/>
      <c r="N9" s="255" t="n"/>
    </row>
    <row r="10" ht="28.5" customHeight="1" s="248">
      <c r="A10" s="422" t="n"/>
      <c r="B10" s="422" t="n"/>
      <c r="C10" s="422" t="n"/>
      <c r="D10" s="422" t="n"/>
      <c r="E10" s="422" t="n"/>
      <c r="F10" s="357" t="inlineStr">
        <is>
          <t>на ед. изм.</t>
        </is>
      </c>
      <c r="G10" s="357" t="inlineStr">
        <is>
          <t>общая</t>
        </is>
      </c>
      <c r="H10" s="422" t="n"/>
      <c r="I10" s="357" t="inlineStr">
        <is>
          <t>на ед. изм.</t>
        </is>
      </c>
      <c r="J10" s="357" t="inlineStr">
        <is>
          <t>общая</t>
        </is>
      </c>
      <c r="M10" s="255" t="n"/>
      <c r="N10" s="255" t="n"/>
    </row>
    <row r="11">
      <c r="A11" s="357" t="n">
        <v>1</v>
      </c>
      <c r="B11" s="357" t="n">
        <v>2</v>
      </c>
      <c r="C11" s="357" t="n">
        <v>3</v>
      </c>
      <c r="D11" s="357" t="n">
        <v>4</v>
      </c>
      <c r="E11" s="357" t="n">
        <v>5</v>
      </c>
      <c r="F11" s="357" t="n">
        <v>6</v>
      </c>
      <c r="G11" s="357" t="n">
        <v>7</v>
      </c>
      <c r="H11" s="357" t="n">
        <v>8</v>
      </c>
      <c r="I11" s="352" t="n">
        <v>9</v>
      </c>
      <c r="J11" s="352" t="n">
        <v>10</v>
      </c>
      <c r="M11" s="255" t="n"/>
      <c r="N11" s="255" t="n"/>
    </row>
    <row r="12">
      <c r="A12" s="357" t="n"/>
      <c r="B12" s="344" t="inlineStr">
        <is>
          <t>Затраты труда рабочих-строителей</t>
        </is>
      </c>
      <c r="C12" s="419" t="n"/>
      <c r="D12" s="419" t="n"/>
      <c r="E12" s="419" t="n"/>
      <c r="F12" s="419" t="n"/>
      <c r="G12" s="419" t="n"/>
      <c r="H12" s="420" t="n"/>
      <c r="I12" s="264" t="n"/>
      <c r="J12" s="264" t="n"/>
    </row>
    <row r="13" ht="25.5" customHeight="1" s="248">
      <c r="A13" s="357" t="n">
        <v>1</v>
      </c>
      <c r="B13" s="265" t="inlineStr">
        <is>
          <t>1-3-8</t>
        </is>
      </c>
      <c r="C13" s="356" t="inlineStr">
        <is>
          <t>Затраты труда рабочих-строителей среднего разряда (3,8)</t>
        </is>
      </c>
      <c r="D13" s="357" t="inlineStr">
        <is>
          <t>чел.-ч.</t>
        </is>
      </c>
      <c r="E13" s="267">
        <f>G13/F13</f>
        <v/>
      </c>
      <c r="F13" s="268" t="n">
        <v>9.4</v>
      </c>
      <c r="G13" s="268">
        <f>Прил.3!H12</f>
        <v/>
      </c>
      <c r="H13" s="269">
        <f>G13/G14</f>
        <v/>
      </c>
      <c r="I13" s="268">
        <f>ФОТр.тек.!E13</f>
        <v/>
      </c>
      <c r="J13" s="268">
        <f>ROUND(I13*E13,2)</f>
        <v/>
      </c>
    </row>
    <row r="14" ht="25.5" customFormat="1" customHeight="1" s="255">
      <c r="A14" s="357" t="n"/>
      <c r="B14" s="357" t="n"/>
      <c r="C14" s="344" t="inlineStr">
        <is>
          <t>Итого по разделу "Затраты труда рабочих-строителей"</t>
        </is>
      </c>
      <c r="D14" s="357" t="inlineStr">
        <is>
          <t>чел.-ч.</t>
        </is>
      </c>
      <c r="E14" s="267">
        <f>SUM(E13:E13)</f>
        <v/>
      </c>
      <c r="F14" s="268" t="n"/>
      <c r="G14" s="268">
        <f>SUM(G13:G13)</f>
        <v/>
      </c>
      <c r="H14" s="360" t="n">
        <v>1</v>
      </c>
      <c r="I14" s="264" t="n"/>
      <c r="J14" s="268">
        <f>SUM(J13:J13)</f>
        <v/>
      </c>
    </row>
    <row r="15" ht="14.25" customFormat="1" customHeight="1" s="255">
      <c r="A15" s="357" t="n"/>
      <c r="B15" s="356" t="inlineStr">
        <is>
          <t>Затраты труда машинистов</t>
        </is>
      </c>
      <c r="C15" s="419" t="n"/>
      <c r="D15" s="419" t="n"/>
      <c r="E15" s="419" t="n"/>
      <c r="F15" s="419" t="n"/>
      <c r="G15" s="419" t="n"/>
      <c r="H15" s="420" t="n"/>
      <c r="I15" s="264" t="n"/>
      <c r="J15" s="264" t="n"/>
    </row>
    <row r="16" ht="14.25" customFormat="1" customHeight="1" s="255">
      <c r="A16" s="357" t="n">
        <v>2</v>
      </c>
      <c r="B16" s="357" t="n">
        <v>2</v>
      </c>
      <c r="C16" s="356" t="inlineStr">
        <is>
          <t>Затраты труда машинистов</t>
        </is>
      </c>
      <c r="D16" s="357" t="inlineStr">
        <is>
          <t>чел.-ч.</t>
        </is>
      </c>
      <c r="E16" s="267">
        <f>Прил.3!F45</f>
        <v/>
      </c>
      <c r="F16" s="268">
        <f>G16/E16</f>
        <v/>
      </c>
      <c r="G16" s="268">
        <f>Прил.3!H44</f>
        <v/>
      </c>
      <c r="H16" s="360" t="n">
        <v>1</v>
      </c>
      <c r="I16" s="268">
        <f>ROUND(F16*Прил.10!D11,2)</f>
        <v/>
      </c>
      <c r="J16" s="268">
        <f>ROUND(I16*E16,2)</f>
        <v/>
      </c>
    </row>
    <row r="17" ht="14.25" customFormat="1" customHeight="1" s="255">
      <c r="A17" s="357" t="n"/>
      <c r="B17" s="344" t="inlineStr">
        <is>
          <t>Машины и механизмы</t>
        </is>
      </c>
      <c r="C17" s="419" t="n"/>
      <c r="D17" s="419" t="n"/>
      <c r="E17" s="419" t="n"/>
      <c r="F17" s="419" t="n"/>
      <c r="G17" s="419" t="n"/>
      <c r="H17" s="420" t="n"/>
      <c r="I17" s="264" t="n"/>
      <c r="J17" s="264" t="n"/>
    </row>
    <row r="18" ht="14.25" customFormat="1" customHeight="1" s="255">
      <c r="A18" s="357" t="n"/>
      <c r="B18" s="356" t="inlineStr">
        <is>
          <t>Основные машины и механизмы</t>
        </is>
      </c>
      <c r="C18" s="419" t="n"/>
      <c r="D18" s="419" t="n"/>
      <c r="E18" s="419" t="n"/>
      <c r="F18" s="419" t="n"/>
      <c r="G18" s="419" t="n"/>
      <c r="H18" s="420" t="n"/>
      <c r="I18" s="264" t="n"/>
      <c r="J18" s="264" t="n"/>
    </row>
    <row r="19" ht="25.9" customFormat="1" customHeight="1" s="255">
      <c r="A19" s="357" t="n">
        <v>3</v>
      </c>
      <c r="B19" s="265" t="inlineStr">
        <is>
          <t>91.02.02-011</t>
        </is>
      </c>
      <c r="C19" s="356" t="inlineStr">
        <is>
          <t>Копры гусеничные для свай длиной до 12 м</t>
        </is>
      </c>
      <c r="D19" s="357" t="inlineStr">
        <is>
          <t>маш.час</t>
        </is>
      </c>
      <c r="E19" s="267" t="n">
        <v>691.17</v>
      </c>
      <c r="F19" s="359" t="n">
        <v>185.55</v>
      </c>
      <c r="G19" s="268">
        <f>ROUND(E19*F19,2)</f>
        <v/>
      </c>
      <c r="H19" s="269">
        <f>G19/$G$97</f>
        <v/>
      </c>
      <c r="I19" s="268">
        <f>ROUND(F19*Прил.10!$D$12,2)</f>
        <v/>
      </c>
      <c r="J19" s="268">
        <f>ROUND(I19*E19,2)</f>
        <v/>
      </c>
    </row>
    <row r="20" ht="25.9" customFormat="1" customHeight="1" s="255">
      <c r="A20" s="357" t="n">
        <v>4</v>
      </c>
      <c r="B20" s="265" t="inlineStr">
        <is>
          <t>91.05.06-009</t>
        </is>
      </c>
      <c r="C20" s="356" t="inlineStr">
        <is>
          <t>Краны на гусеничном ходу, грузоподъемность 50-63 т</t>
        </is>
      </c>
      <c r="D20" s="357" t="inlineStr">
        <is>
          <t>маш.час</t>
        </is>
      </c>
      <c r="E20" s="267" t="n">
        <v>405.2</v>
      </c>
      <c r="F20" s="359" t="n">
        <v>290.01</v>
      </c>
      <c r="G20" s="268">
        <f>ROUND(E20*F20,2)</f>
        <v/>
      </c>
      <c r="H20" s="269">
        <f>G20/$G$97</f>
        <v/>
      </c>
      <c r="I20" s="268">
        <f>ROUND(F20*Прил.10!$D$12,2)</f>
        <v/>
      </c>
      <c r="J20" s="268">
        <f>ROUND(I20*E20,2)</f>
        <v/>
      </c>
    </row>
    <row r="21" ht="25.9" customFormat="1" customHeight="1" s="255">
      <c r="A21" s="357" t="n">
        <v>5</v>
      </c>
      <c r="B21" s="265" t="inlineStr">
        <is>
          <t>91.05.06-007</t>
        </is>
      </c>
      <c r="C21" s="356" t="inlineStr">
        <is>
          <t>Краны на гусеничном ходу, грузоподъемность 25 т</t>
        </is>
      </c>
      <c r="D21" s="357" t="inlineStr">
        <is>
          <t>маш.час</t>
        </is>
      </c>
      <c r="E21" s="267" t="n">
        <v>590.04</v>
      </c>
      <c r="F21" s="359" t="n">
        <v>120.04</v>
      </c>
      <c r="G21" s="268">
        <f>ROUND(E21*F21,2)</f>
        <v/>
      </c>
      <c r="H21" s="269">
        <f>G21/$G$97</f>
        <v/>
      </c>
      <c r="I21" s="268">
        <f>ROUND(F21*Прил.10!$D$12,2)</f>
        <v/>
      </c>
      <c r="J21" s="268">
        <f>ROUND(I21*E21,2)</f>
        <v/>
      </c>
    </row>
    <row r="22" ht="13.7" customFormat="1" customHeight="1" s="255">
      <c r="A22" s="357" t="n">
        <v>6</v>
      </c>
      <c r="B22" s="265" t="inlineStr">
        <is>
          <t>91.02.03-024</t>
        </is>
      </c>
      <c r="C22" s="356" t="inlineStr">
        <is>
          <t>Дизель-молоты 2,5 т</t>
        </is>
      </c>
      <c r="D22" s="357" t="inlineStr">
        <is>
          <t>маш.час</t>
        </is>
      </c>
      <c r="E22" s="267" t="n">
        <v>691.17</v>
      </c>
      <c r="F22" s="359" t="n">
        <v>70.67</v>
      </c>
      <c r="G22" s="268">
        <f>ROUND(E22*F22,2)</f>
        <v/>
      </c>
      <c r="H22" s="269">
        <f>G22/$G$97</f>
        <v/>
      </c>
      <c r="I22" s="268">
        <f>ROUND(F22*Прил.10!$D$12,2)</f>
        <v/>
      </c>
      <c r="J22" s="268">
        <f>ROUND(I22*E22,2)</f>
        <v/>
      </c>
    </row>
    <row r="23" ht="25.9" customFormat="1" customHeight="1" s="255">
      <c r="A23" s="357" t="n">
        <v>7</v>
      </c>
      <c r="B23" s="265" t="inlineStr">
        <is>
          <t>91.05.01-025</t>
        </is>
      </c>
      <c r="C23" s="356" t="inlineStr">
        <is>
          <t>Краны башенные, грузоподъемность 25-75 т</t>
        </is>
      </c>
      <c r="D23" s="357" t="inlineStr">
        <is>
          <t>маш.час</t>
        </is>
      </c>
      <c r="E23" s="267" t="n">
        <v>128.82</v>
      </c>
      <c r="F23" s="359" t="n">
        <v>312.21</v>
      </c>
      <c r="G23" s="268">
        <f>ROUND(E23*F23,2)</f>
        <v/>
      </c>
      <c r="H23" s="269">
        <f>G23/$G$97</f>
        <v/>
      </c>
      <c r="I23" s="268">
        <f>ROUND(F23*Прил.10!$D$12,2)</f>
        <v/>
      </c>
      <c r="J23" s="268">
        <f>ROUND(I23*E23,2)</f>
        <v/>
      </c>
    </row>
    <row r="24" ht="25.9" customFormat="1" customHeight="1" s="255">
      <c r="A24" s="357" t="n">
        <v>8</v>
      </c>
      <c r="B24" s="265" t="inlineStr">
        <is>
          <t>91.14.02-001</t>
        </is>
      </c>
      <c r="C24" s="356" t="inlineStr">
        <is>
          <t>Автомобили бортовые, грузоподъемность до 5 т</t>
        </is>
      </c>
      <c r="D24" s="357" t="inlineStr">
        <is>
          <t>маш.час</t>
        </is>
      </c>
      <c r="E24" s="267" t="n">
        <v>541.85</v>
      </c>
      <c r="F24" s="359" t="n">
        <v>65.70999999999999</v>
      </c>
      <c r="G24" s="268">
        <f>ROUND(E24*F24,2)</f>
        <v/>
      </c>
      <c r="H24" s="269">
        <f>G24/$G$97</f>
        <v/>
      </c>
      <c r="I24" s="268">
        <f>ROUND(F24*Прил.10!$D$12,2)</f>
        <v/>
      </c>
      <c r="J24" s="268">
        <f>ROUND(I24*E24,2)</f>
        <v/>
      </c>
    </row>
    <row r="25" ht="13.7" customFormat="1" customHeight="1" s="255">
      <c r="A25" s="357" t="n">
        <v>9</v>
      </c>
      <c r="B25" s="265" t="inlineStr">
        <is>
          <t>91.05.01-017</t>
        </is>
      </c>
      <c r="C25" s="356" t="inlineStr">
        <is>
          <t>Краны башенные, грузоподъемность 8 т</t>
        </is>
      </c>
      <c r="D25" s="357" t="inlineStr">
        <is>
          <t>маш.час</t>
        </is>
      </c>
      <c r="E25" s="267" t="n">
        <v>341.41</v>
      </c>
      <c r="F25" s="359" t="n">
        <v>86.40000000000001</v>
      </c>
      <c r="G25" s="268">
        <f>ROUND(E25*F25,2)</f>
        <v/>
      </c>
      <c r="H25" s="269">
        <f>G25/$G$97</f>
        <v/>
      </c>
      <c r="I25" s="268">
        <f>ROUND(F25*Прил.10!$D$12,2)</f>
        <v/>
      </c>
      <c r="J25" s="268">
        <f>ROUND(I25*E25,2)</f>
        <v/>
      </c>
    </row>
    <row r="26" ht="25.9" customFormat="1" customHeight="1" s="255">
      <c r="A26" s="357" t="n">
        <v>10</v>
      </c>
      <c r="B26" s="265" t="inlineStr">
        <is>
          <t>91.05.06-012</t>
        </is>
      </c>
      <c r="C26" s="356" t="inlineStr">
        <is>
          <t>Краны на гусеничном ходу, грузоподъемность до 16 т</t>
        </is>
      </c>
      <c r="D26" s="357" t="inlineStr">
        <is>
          <t>маш.час</t>
        </is>
      </c>
      <c r="E26" s="267" t="n">
        <v>302.75</v>
      </c>
      <c r="F26" s="359" t="n">
        <v>96.89</v>
      </c>
      <c r="G26" s="268">
        <f>ROUND(E26*F26,2)</f>
        <v/>
      </c>
      <c r="H26" s="269">
        <f>G26/$G$97</f>
        <v/>
      </c>
      <c r="I26" s="268">
        <f>ROUND(F26*Прил.10!$D$12,2)</f>
        <v/>
      </c>
      <c r="J26" s="268">
        <f>ROUND(I26*E26,2)</f>
        <v/>
      </c>
    </row>
    <row r="27" ht="25.9" customFormat="1" customHeight="1" s="255">
      <c r="A27" s="357" t="n">
        <v>11</v>
      </c>
      <c r="B27" s="265" t="inlineStr">
        <is>
          <t>91.05.05-015</t>
        </is>
      </c>
      <c r="C27" s="356" t="inlineStr">
        <is>
          <t>Краны на автомобильном ходу, грузоподъемность 16 т</t>
        </is>
      </c>
      <c r="D27" s="357" t="inlineStr">
        <is>
          <t>маш.час</t>
        </is>
      </c>
      <c r="E27" s="267" t="n">
        <v>232.98</v>
      </c>
      <c r="F27" s="359" t="n">
        <v>115.4</v>
      </c>
      <c r="G27" s="268">
        <f>ROUND(E27*F27,2)</f>
        <v/>
      </c>
      <c r="H27" s="269">
        <f>G27/$G$97</f>
        <v/>
      </c>
      <c r="I27" s="268">
        <f>ROUND(F27*Прил.10!$D$12,2)</f>
        <v/>
      </c>
      <c r="J27" s="268">
        <f>ROUND(I27*E27,2)</f>
        <v/>
      </c>
    </row>
    <row r="28" ht="38.85" customFormat="1" customHeight="1" s="255">
      <c r="A28" s="357" t="n">
        <v>12</v>
      </c>
      <c r="B28" s="265" t="inlineStr">
        <is>
          <t>91.18.01-007</t>
        </is>
      </c>
      <c r="C28" s="356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28" s="357" t="inlineStr">
        <is>
          <t>маш.час</t>
        </is>
      </c>
      <c r="E28" s="267" t="n">
        <v>268.56</v>
      </c>
      <c r="F28" s="359" t="n">
        <v>90</v>
      </c>
      <c r="G28" s="268">
        <f>ROUND(E28*F28,2)</f>
        <v/>
      </c>
      <c r="H28" s="269">
        <f>G28/$G$97</f>
        <v/>
      </c>
      <c r="I28" s="268">
        <f>ROUND(F28*Прил.10!$D$12,2)</f>
        <v/>
      </c>
      <c r="J28" s="268">
        <f>ROUND(I28*E28,2)</f>
        <v/>
      </c>
    </row>
    <row r="29" ht="25.9" customFormat="1" customHeight="1" s="255">
      <c r="A29" s="357" t="n">
        <v>13</v>
      </c>
      <c r="B29" s="265" t="inlineStr">
        <is>
          <t>91.10.05-001</t>
        </is>
      </c>
      <c r="C29" s="356" t="inlineStr">
        <is>
          <t>Трубоукладчики для труб диаметром 800-1000 мм, грузоподъемность 35 т</t>
        </is>
      </c>
      <c r="D29" s="357" t="inlineStr">
        <is>
          <t>маш.час</t>
        </is>
      </c>
      <c r="E29" s="267" t="n">
        <v>104.59</v>
      </c>
      <c r="F29" s="359" t="n">
        <v>175.35</v>
      </c>
      <c r="G29" s="268">
        <f>ROUND(E29*F29,2)</f>
        <v/>
      </c>
      <c r="H29" s="269">
        <f>G29/$G$97</f>
        <v/>
      </c>
      <c r="I29" s="268">
        <f>ROUND(F29*Прил.10!$D$12,2)</f>
        <v/>
      </c>
      <c r="J29" s="268">
        <f>ROUND(I29*E29,2)</f>
        <v/>
      </c>
    </row>
    <row r="30" ht="13.7" customFormat="1" customHeight="1" s="255">
      <c r="A30" s="357" t="n">
        <v>14</v>
      </c>
      <c r="B30" s="265" t="inlineStr">
        <is>
          <t>91.05.02-005</t>
        </is>
      </c>
      <c r="C30" s="356" t="inlineStr">
        <is>
          <t>Краны козловые, грузоподъемность 32 т</t>
        </is>
      </c>
      <c r="D30" s="357" t="inlineStr">
        <is>
          <t>маш.час</t>
        </is>
      </c>
      <c r="E30" s="267" t="n">
        <v>151.74</v>
      </c>
      <c r="F30" s="359" t="n">
        <v>120.24</v>
      </c>
      <c r="G30" s="268">
        <f>ROUND(E30*F30,2)</f>
        <v/>
      </c>
      <c r="H30" s="269">
        <f>G30/$G$97</f>
        <v/>
      </c>
      <c r="I30" s="268">
        <f>ROUND(F30*Прил.10!$D$12,2)</f>
        <v/>
      </c>
      <c r="J30" s="268">
        <f>ROUND(I30*E30,2)</f>
        <v/>
      </c>
    </row>
    <row r="31" ht="24.75" customFormat="1" customHeight="1" s="255">
      <c r="A31" s="357" t="n"/>
      <c r="B31" s="357" t="n"/>
      <c r="C31" s="356" t="inlineStr">
        <is>
          <t>Итого основные машины и механизмы</t>
        </is>
      </c>
      <c r="D31" s="357" t="n"/>
      <c r="E31" s="267" t="n"/>
      <c r="F31" s="268" t="n"/>
      <c r="G31" s="268">
        <f>SUM(G19:G30)</f>
        <v/>
      </c>
      <c r="H31" s="360">
        <f>G31/G97</f>
        <v/>
      </c>
      <c r="I31" s="273" t="n"/>
      <c r="J31" s="268">
        <f>SUM(J19:J30)</f>
        <v/>
      </c>
    </row>
    <row r="32" hidden="1" outlineLevel="1" ht="25.5" customFormat="1" customHeight="1" s="255">
      <c r="A32" s="357" t="n">
        <v>15</v>
      </c>
      <c r="B32" s="265" t="inlineStr">
        <is>
          <t>91.17.04-171</t>
        </is>
      </c>
      <c r="C32" s="356" t="inlineStr">
        <is>
          <t>Преобразователи сварочные номинальным сварочным током 315-500 А</t>
        </is>
      </c>
      <c r="D32" s="357" t="inlineStr">
        <is>
          <t>маш.час</t>
        </is>
      </c>
      <c r="E32" s="267" t="n">
        <v>1355.5</v>
      </c>
      <c r="F32" s="359" t="n">
        <v>12.31</v>
      </c>
      <c r="G32" s="268">
        <f>ROUND(E32*F32,2)</f>
        <v/>
      </c>
      <c r="H32" s="269">
        <f>G32/$G$97</f>
        <v/>
      </c>
      <c r="I32" s="268">
        <f>ROUND(F32*Прил.10!$D$12,2)</f>
        <v/>
      </c>
      <c r="J32" s="268">
        <f>ROUND(I32*E32,2)</f>
        <v/>
      </c>
    </row>
    <row r="33" hidden="1" outlineLevel="1" ht="25.5" customFormat="1" customHeight="1" s="255">
      <c r="A33" s="357" t="n">
        <v>16</v>
      </c>
      <c r="B33" s="265" t="inlineStr">
        <is>
          <t>91.17.04-233</t>
        </is>
      </c>
      <c r="C33" s="356" t="inlineStr">
        <is>
          <t>Установки для сварки ручной дуговой (постоянного тока)</t>
        </is>
      </c>
      <c r="D33" s="357" t="inlineStr">
        <is>
          <t>маш.час</t>
        </is>
      </c>
      <c r="E33" s="267" t="n">
        <v>1311.44</v>
      </c>
      <c r="F33" s="359" t="n">
        <v>8.1</v>
      </c>
      <c r="G33" s="268">
        <f>ROUND(E33*F33,2)</f>
        <v/>
      </c>
      <c r="H33" s="269">
        <f>G33/$G$97</f>
        <v/>
      </c>
      <c r="I33" s="268">
        <f>ROUND(F33*Прил.10!$D$12,2)</f>
        <v/>
      </c>
      <c r="J33" s="268">
        <f>ROUND(I33*E33,2)</f>
        <v/>
      </c>
    </row>
    <row r="34" hidden="1" outlineLevel="1" ht="25.5" customFormat="1" customHeight="1" s="255">
      <c r="A34" s="357" t="n">
        <v>17</v>
      </c>
      <c r="B34" s="265" t="inlineStr">
        <is>
          <t>91.05.06-008</t>
        </is>
      </c>
      <c r="C34" s="356" t="inlineStr">
        <is>
          <t>Краны на гусеничном ходу, грузоподъемность 40 т</t>
        </is>
      </c>
      <c r="D34" s="357" t="inlineStr">
        <is>
          <t>маш.час</t>
        </is>
      </c>
      <c r="E34" s="267" t="n">
        <v>54.94</v>
      </c>
      <c r="F34" s="359" t="n">
        <v>175.56</v>
      </c>
      <c r="G34" s="268">
        <f>ROUND(E34*F34,2)</f>
        <v/>
      </c>
      <c r="H34" s="269">
        <f>G34/$G$97</f>
        <v/>
      </c>
      <c r="I34" s="268">
        <f>ROUND(F34*Прил.10!$D$12,2)</f>
        <v/>
      </c>
      <c r="J34" s="268">
        <f>ROUND(I34*E34,2)</f>
        <v/>
      </c>
    </row>
    <row r="35" hidden="1" outlineLevel="1" ht="25.5" customFormat="1" customHeight="1" s="255">
      <c r="A35" s="357" t="n">
        <v>18</v>
      </c>
      <c r="B35" s="265" t="inlineStr">
        <is>
          <t>91.21.22-021</t>
        </is>
      </c>
      <c r="C35" s="356" t="inlineStr">
        <is>
          <t>Агрегаты для нанесения составов методом торкретирования, 3,2 м3/ч</t>
        </is>
      </c>
      <c r="D35" s="357" t="inlineStr">
        <is>
          <t>маш.час</t>
        </is>
      </c>
      <c r="E35" s="267" t="n">
        <v>49.62</v>
      </c>
      <c r="F35" s="359" t="n">
        <v>155.8</v>
      </c>
      <c r="G35" s="268">
        <f>ROUND(E35*F35,2)</f>
        <v/>
      </c>
      <c r="H35" s="269">
        <f>G35/$G$97</f>
        <v/>
      </c>
      <c r="I35" s="268">
        <f>ROUND(F35*Прил.10!$D$12,2)</f>
        <v/>
      </c>
      <c r="J35" s="268">
        <f>ROUND(I35*E35,2)</f>
        <v/>
      </c>
    </row>
    <row r="36" hidden="1" outlineLevel="1" ht="25.5" customFormat="1" customHeight="1" s="255">
      <c r="A36" s="357" t="n">
        <v>19</v>
      </c>
      <c r="B36" s="265" t="inlineStr">
        <is>
          <t>91.02.02-012</t>
        </is>
      </c>
      <c r="C36" s="356" t="inlineStr">
        <is>
          <t>Копры гусеничные для свай длиной до 20 м</t>
        </is>
      </c>
      <c r="D36" s="357" t="inlineStr">
        <is>
          <t>маш.час</t>
        </is>
      </c>
      <c r="E36" s="267" t="n">
        <v>21.32</v>
      </c>
      <c r="F36" s="359" t="n">
        <v>254.85</v>
      </c>
      <c r="G36" s="268">
        <f>ROUND(E36*F36,2)</f>
        <v/>
      </c>
      <c r="H36" s="269">
        <f>G36/$G$97</f>
        <v/>
      </c>
      <c r="I36" s="268">
        <f>ROUND(F36*Прил.10!$D$12,2)</f>
        <v/>
      </c>
      <c r="J36" s="268">
        <f>ROUND(I36*E36,2)</f>
        <v/>
      </c>
    </row>
    <row r="37" hidden="1" outlineLevel="1" ht="25.5" customFormat="1" customHeight="1" s="255">
      <c r="A37" s="357" t="n">
        <v>20</v>
      </c>
      <c r="B37" s="265" t="inlineStr">
        <is>
          <t>91.05.06-010</t>
        </is>
      </c>
      <c r="C37" s="356" t="inlineStr">
        <is>
          <t>Краны на гусеничном ходу, грузоподъемность 100 т</t>
        </is>
      </c>
      <c r="D37" s="357" t="inlineStr">
        <is>
          <t>маш.час</t>
        </is>
      </c>
      <c r="E37" s="267" t="n">
        <v>8.9</v>
      </c>
      <c r="F37" s="359" t="n">
        <v>533.27</v>
      </c>
      <c r="G37" s="268">
        <f>ROUND(E37*F37,2)</f>
        <v/>
      </c>
      <c r="H37" s="269">
        <f>G37/$G$97</f>
        <v/>
      </c>
      <c r="I37" s="268">
        <f>ROUND(F37*Прил.10!$D$12,2)</f>
        <v/>
      </c>
      <c r="J37" s="268">
        <f>ROUND(I37*E37,2)</f>
        <v/>
      </c>
    </row>
    <row r="38" hidden="1" outlineLevel="1" ht="38.25" customFormat="1" customHeight="1" s="255">
      <c r="A38" s="357" t="n">
        <v>21</v>
      </c>
      <c r="B38" s="265" t="inlineStr">
        <is>
          <t>91.06.06-048</t>
        </is>
      </c>
      <c r="C38" s="356" t="inlineStr">
        <is>
          <t>Подъемники одномачтовые, грузоподъемность до 500 кг, высота подъема 45 м</t>
        </is>
      </c>
      <c r="D38" s="357" t="inlineStr">
        <is>
          <t>маш.час</t>
        </is>
      </c>
      <c r="E38" s="267" t="n">
        <v>150.47</v>
      </c>
      <c r="F38" s="359" t="n">
        <v>31.26</v>
      </c>
      <c r="G38" s="268">
        <f>ROUND(E38*F38,2)</f>
        <v/>
      </c>
      <c r="H38" s="269">
        <f>G38/$G$97</f>
        <v/>
      </c>
      <c r="I38" s="268">
        <f>ROUND(F38*Прил.10!$D$12,2)</f>
        <v/>
      </c>
      <c r="J38" s="268">
        <f>ROUND(I38*E38,2)</f>
        <v/>
      </c>
    </row>
    <row r="39" hidden="1" outlineLevel="1" ht="25.5" customFormat="1" customHeight="1" s="255">
      <c r="A39" s="357" t="n">
        <v>22</v>
      </c>
      <c r="B39" s="265" t="inlineStr">
        <is>
          <t>91.05.07-002</t>
        </is>
      </c>
      <c r="C39" s="356" t="inlineStr">
        <is>
          <t>Краны на железнодорожном ходу, грузоподъемность 16 т</t>
        </is>
      </c>
      <c r="D39" s="357" t="inlineStr">
        <is>
          <t>маш.час</t>
        </is>
      </c>
      <c r="E39" s="267" t="n">
        <v>24.52</v>
      </c>
      <c r="F39" s="359" t="n">
        <v>187.02</v>
      </c>
      <c r="G39" s="268">
        <f>ROUND(E39*F39,2)</f>
        <v/>
      </c>
      <c r="H39" s="269">
        <f>G39/$G$97</f>
        <v/>
      </c>
      <c r="I39" s="268">
        <f>ROUND(F39*Прил.10!$D$12,2)</f>
        <v/>
      </c>
      <c r="J39" s="268">
        <f>ROUND(I39*E39,2)</f>
        <v/>
      </c>
    </row>
    <row r="40" hidden="1" outlineLevel="1" ht="14.25" customFormat="1" customHeight="1" s="255">
      <c r="A40" s="357" t="n">
        <v>23</v>
      </c>
      <c r="B40" s="265" t="inlineStr">
        <is>
          <t>91.06.05-011</t>
        </is>
      </c>
      <c r="C40" s="356" t="inlineStr">
        <is>
          <t>Погрузчики, грузоподъемность 5 т</t>
        </is>
      </c>
      <c r="D40" s="357" t="inlineStr">
        <is>
          <t>маш.час</t>
        </is>
      </c>
      <c r="E40" s="267" t="n">
        <v>32.82</v>
      </c>
      <c r="F40" s="359" t="n">
        <v>89.98999999999999</v>
      </c>
      <c r="G40" s="268">
        <f>ROUND(E40*F40,2)</f>
        <v/>
      </c>
      <c r="H40" s="269">
        <f>G40/$G$97</f>
        <v/>
      </c>
      <c r="I40" s="268">
        <f>ROUND(F40*Прил.10!$D$12,2)</f>
        <v/>
      </c>
      <c r="J40" s="268">
        <f>ROUND(I40*E40,2)</f>
        <v/>
      </c>
    </row>
    <row r="41" hidden="1" outlineLevel="1" ht="14.25" customFormat="1" customHeight="1" s="255">
      <c r="A41" s="357" t="n">
        <v>24</v>
      </c>
      <c r="B41" s="265" t="inlineStr">
        <is>
          <t>91.06.09-001</t>
        </is>
      </c>
      <c r="C41" s="356" t="inlineStr">
        <is>
          <t>Вышки телескопические 25 м</t>
        </is>
      </c>
      <c r="D41" s="357" t="inlineStr">
        <is>
          <t>маш.час</t>
        </is>
      </c>
      <c r="E41" s="267" t="n">
        <v>18.91</v>
      </c>
      <c r="F41" s="359" t="n">
        <v>142.7</v>
      </c>
      <c r="G41" s="268">
        <f>ROUND(E41*F41,2)</f>
        <v/>
      </c>
      <c r="H41" s="269">
        <f>G41/$G$97</f>
        <v/>
      </c>
      <c r="I41" s="268">
        <f>ROUND(F41*Прил.10!$D$12,2)</f>
        <v/>
      </c>
      <c r="J41" s="268">
        <f>ROUND(I41*E41,2)</f>
        <v/>
      </c>
    </row>
    <row r="42" hidden="1" outlineLevel="1" ht="25.5" customFormat="1" customHeight="1" s="255">
      <c r="A42" s="357" t="n">
        <v>25</v>
      </c>
      <c r="B42" s="265" t="inlineStr">
        <is>
          <t>91.07.07-041</t>
        </is>
      </c>
      <c r="C42" s="356" t="inlineStr">
        <is>
          <t>Растворонасосы, производительность 1 м3/ч</t>
        </is>
      </c>
      <c r="D42" s="357" t="inlineStr">
        <is>
          <t>маш.час</t>
        </is>
      </c>
      <c r="E42" s="267" t="n">
        <v>157.18</v>
      </c>
      <c r="F42" s="359" t="n">
        <v>14.15</v>
      </c>
      <c r="G42" s="268">
        <f>ROUND(E42*F42,2)</f>
        <v/>
      </c>
      <c r="H42" s="269">
        <f>G42/$G$97</f>
        <v/>
      </c>
      <c r="I42" s="268">
        <f>ROUND(F42*Прил.10!$D$12,2)</f>
        <v/>
      </c>
      <c r="J42" s="268">
        <f>ROUND(I42*E42,2)</f>
        <v/>
      </c>
    </row>
    <row r="43" hidden="1" outlineLevel="1" ht="25.5" customFormat="1" customHeight="1" s="255">
      <c r="A43" s="357" t="n">
        <v>26</v>
      </c>
      <c r="B43" s="265" t="inlineStr">
        <is>
          <t>91.10.05-002</t>
        </is>
      </c>
      <c r="C43" s="356" t="inlineStr">
        <is>
          <t>Трубоукладчики для труб диаметром 1200 мм, грузоподъемность 50 т</t>
        </is>
      </c>
      <c r="D43" s="357" t="inlineStr">
        <is>
          <t>маш.час</t>
        </is>
      </c>
      <c r="E43" s="267" t="n">
        <v>2.82</v>
      </c>
      <c r="F43" s="359" t="n">
        <v>729.08</v>
      </c>
      <c r="G43" s="268">
        <f>ROUND(E43*F43,2)</f>
        <v/>
      </c>
      <c r="H43" s="269">
        <f>G43/$G$97</f>
        <v/>
      </c>
      <c r="I43" s="268">
        <f>ROUND(F43*Прил.10!$D$12,2)</f>
        <v/>
      </c>
      <c r="J43" s="268">
        <f>ROUND(I43*E43,2)</f>
        <v/>
      </c>
    </row>
    <row r="44" hidden="1" outlineLevel="1" ht="14.25" customFormat="1" customHeight="1" s="255">
      <c r="A44" s="357" t="n">
        <v>27</v>
      </c>
      <c r="B44" s="265" t="inlineStr">
        <is>
          <t>91.02.03-025</t>
        </is>
      </c>
      <c r="C44" s="356" t="inlineStr">
        <is>
          <t>Дизель-молоты 3,5 т</t>
        </is>
      </c>
      <c r="D44" s="357" t="inlineStr">
        <is>
          <t>маш.час</t>
        </is>
      </c>
      <c r="E44" s="267" t="n">
        <v>21.32</v>
      </c>
      <c r="F44" s="359" t="n">
        <v>88.05</v>
      </c>
      <c r="G44" s="268">
        <f>ROUND(E44*F44,2)</f>
        <v/>
      </c>
      <c r="H44" s="269">
        <f>G44/$G$97</f>
        <v/>
      </c>
      <c r="I44" s="268">
        <f>ROUND(F44*Прил.10!$D$12,2)</f>
        <v/>
      </c>
      <c r="J44" s="268">
        <f>ROUND(I44*E44,2)</f>
        <v/>
      </c>
    </row>
    <row r="45" hidden="1" outlineLevel="1" ht="25.5" customFormat="1" customHeight="1" s="255">
      <c r="A45" s="357" t="n">
        <v>28</v>
      </c>
      <c r="B45" s="265" t="inlineStr">
        <is>
          <t>91.06.03-055</t>
        </is>
      </c>
      <c r="C45" s="356" t="inlineStr">
        <is>
          <t>Лебедки электрические тяговым усилием 19,62 кН (2 т)</t>
        </is>
      </c>
      <c r="D45" s="357" t="inlineStr">
        <is>
          <t>маш.час</t>
        </is>
      </c>
      <c r="E45" s="267" t="n">
        <v>254.36</v>
      </c>
      <c r="F45" s="359" t="n">
        <v>6.66</v>
      </c>
      <c r="G45" s="268">
        <f>ROUND(E45*F45,2)</f>
        <v/>
      </c>
      <c r="H45" s="269">
        <f>G45/$G$97</f>
        <v/>
      </c>
      <c r="I45" s="268">
        <f>ROUND(F45*Прил.10!$D$12,2)</f>
        <v/>
      </c>
      <c r="J45" s="268">
        <f>ROUND(I45*E45,2)</f>
        <v/>
      </c>
    </row>
    <row r="46" hidden="1" outlineLevel="1" ht="25.5" customFormat="1" customHeight="1" s="255">
      <c r="A46" s="357" t="n">
        <v>29</v>
      </c>
      <c r="B46" s="265" t="inlineStr">
        <is>
          <t>91.06.03-063</t>
        </is>
      </c>
      <c r="C46" s="356" t="inlineStr">
        <is>
          <t>Лебедки электрические тяговым усилием до 49,05 кН (5 т)</t>
        </is>
      </c>
      <c r="D46" s="357" t="inlineStr">
        <is>
          <t>маш.час</t>
        </is>
      </c>
      <c r="E46" s="267" t="n">
        <v>205.1</v>
      </c>
      <c r="F46" s="359" t="n">
        <v>8.199999999999999</v>
      </c>
      <c r="G46" s="268">
        <f>ROUND(E46*F46,2)</f>
        <v/>
      </c>
      <c r="H46" s="269">
        <f>G46/$G$97</f>
        <v/>
      </c>
      <c r="I46" s="268">
        <f>ROUND(F46*Прил.10!$D$12,2)</f>
        <v/>
      </c>
      <c r="J46" s="268">
        <f>ROUND(I46*E46,2)</f>
        <v/>
      </c>
    </row>
    <row r="47" hidden="1" outlineLevel="1" ht="14.25" customFormat="1" customHeight="1" s="255">
      <c r="A47" s="357" t="n">
        <v>30</v>
      </c>
      <c r="B47" s="265" t="inlineStr">
        <is>
          <t>91.01.01-034</t>
        </is>
      </c>
      <c r="C47" s="356" t="inlineStr">
        <is>
          <t>Бульдозеры, мощность 59 кВт (80 л.с.)</t>
        </is>
      </c>
      <c r="D47" s="357" t="inlineStr">
        <is>
          <t>маш.час</t>
        </is>
      </c>
      <c r="E47" s="267" t="n">
        <v>26.44</v>
      </c>
      <c r="F47" s="359" t="n">
        <v>59.47</v>
      </c>
      <c r="G47" s="268">
        <f>ROUND(E47*F47,2)</f>
        <v/>
      </c>
      <c r="H47" s="269">
        <f>G47/$G$97</f>
        <v/>
      </c>
      <c r="I47" s="268">
        <f>ROUND(F47*Прил.10!$D$12,2)</f>
        <v/>
      </c>
      <c r="J47" s="268">
        <f>ROUND(I47*E47,2)</f>
        <v/>
      </c>
    </row>
    <row r="48" hidden="1" outlineLevel="1" ht="14.25" customFormat="1" customHeight="1" s="255">
      <c r="A48" s="357" t="n">
        <v>31</v>
      </c>
      <c r="B48" s="265" t="inlineStr">
        <is>
          <t>91.14.04-001</t>
        </is>
      </c>
      <c r="C48" s="356" t="inlineStr">
        <is>
          <t>Тягачи седельные, грузоподъемность 12 т</t>
        </is>
      </c>
      <c r="D48" s="357" t="inlineStr">
        <is>
          <t>маш.час</t>
        </is>
      </c>
      <c r="E48" s="267" t="n">
        <v>14.11</v>
      </c>
      <c r="F48" s="359" t="n">
        <v>102.84</v>
      </c>
      <c r="G48" s="268">
        <f>ROUND(E48*F48,2)</f>
        <v/>
      </c>
      <c r="H48" s="269">
        <f>G48/$G$97</f>
        <v/>
      </c>
      <c r="I48" s="268">
        <f>ROUND(F48*Прил.10!$D$12,2)</f>
        <v/>
      </c>
      <c r="J48" s="268">
        <f>ROUND(I48*E48,2)</f>
        <v/>
      </c>
    </row>
    <row r="49" hidden="1" outlineLevel="1" ht="38.25" customFormat="1" customHeight="1" s="255">
      <c r="A49" s="357" t="n">
        <v>32</v>
      </c>
      <c r="B49" s="265" t="inlineStr">
        <is>
          <t>91.21.01-012</t>
        </is>
      </c>
      <c r="C49" s="356" t="inlineStr">
        <is>
          <t>Агрегаты окрасочные высокого давления для окраски поверхностей конструкций, мощность 1 кВт</t>
        </is>
      </c>
      <c r="D49" s="357" t="inlineStr">
        <is>
          <t>маш.час</t>
        </is>
      </c>
      <c r="E49" s="267" t="n">
        <v>195.71</v>
      </c>
      <c r="F49" s="359" t="n">
        <v>6.82</v>
      </c>
      <c r="G49" s="268">
        <f>ROUND(E49*F49,2)</f>
        <v/>
      </c>
      <c r="H49" s="269">
        <f>G49/$G$97</f>
        <v/>
      </c>
      <c r="I49" s="268">
        <f>ROUND(F49*Прил.10!$D$12,2)</f>
        <v/>
      </c>
      <c r="J49" s="268">
        <f>ROUND(I49*E49,2)</f>
        <v/>
      </c>
    </row>
    <row r="50" hidden="1" outlineLevel="1" ht="38.25" customFormat="1" customHeight="1" s="255">
      <c r="A50" s="357" t="n">
        <v>33</v>
      </c>
      <c r="B50" s="265" t="inlineStr">
        <is>
          <t>91.11.01-012</t>
        </is>
      </c>
      <c r="C50" s="356" t="inlineStr">
        <is>
          <t>Машины монтажные для выполнения работ при прокладке и монтаже кабеля на базе автомобиля</t>
        </is>
      </c>
      <c r="D50" s="357" t="inlineStr">
        <is>
          <t>маш.час</t>
        </is>
      </c>
      <c r="E50" s="267" t="n">
        <v>11.9</v>
      </c>
      <c r="F50" s="359" t="n">
        <v>110.86</v>
      </c>
      <c r="G50" s="268">
        <f>ROUND(E50*F50,2)</f>
        <v/>
      </c>
      <c r="H50" s="269">
        <f>G50/$G$97</f>
        <v/>
      </c>
      <c r="I50" s="268">
        <f>ROUND(F50*Прил.10!$D$12,2)</f>
        <v/>
      </c>
      <c r="J50" s="268">
        <f>ROUND(I50*E50,2)</f>
        <v/>
      </c>
    </row>
    <row r="51" hidden="1" outlineLevel="1" ht="14.25" customFormat="1" customHeight="1" s="255">
      <c r="A51" s="357" t="n">
        <v>34</v>
      </c>
      <c r="B51" s="265" t="inlineStr">
        <is>
          <t>91.17.04-042</t>
        </is>
      </c>
      <c r="C51" s="356" t="inlineStr">
        <is>
          <t>Аппараты для газовой сварки и резки</t>
        </is>
      </c>
      <c r="D51" s="357" t="inlineStr">
        <is>
          <t>маш.час</t>
        </is>
      </c>
      <c r="E51" s="267" t="n">
        <v>993.24</v>
      </c>
      <c r="F51" s="359" t="n">
        <v>1.2</v>
      </c>
      <c r="G51" s="268">
        <f>ROUND(E51*F51,2)</f>
        <v/>
      </c>
      <c r="H51" s="269">
        <f>G51/$G$97</f>
        <v/>
      </c>
      <c r="I51" s="268">
        <f>ROUND(F51*Прил.10!$D$12,2)</f>
        <v/>
      </c>
      <c r="J51" s="268">
        <f>ROUND(I51*E51,2)</f>
        <v/>
      </c>
    </row>
    <row r="52" hidden="1" outlineLevel="1" ht="25.5" customFormat="1" customHeight="1" s="255">
      <c r="A52" s="357" t="n">
        <v>35</v>
      </c>
      <c r="B52" s="265" t="inlineStr">
        <is>
          <t>91.01.05-086</t>
        </is>
      </c>
      <c r="C52" s="356" t="inlineStr">
        <is>
          <t>Экскаваторы одноковшовые дизельные на гусеничном ходу, емкость ковша 0,65 м3</t>
        </is>
      </c>
      <c r="D52" s="357" t="inlineStr">
        <is>
          <t>маш.час</t>
        </is>
      </c>
      <c r="E52" s="267" t="n">
        <v>10.27</v>
      </c>
      <c r="F52" s="359" t="n">
        <v>115.27</v>
      </c>
      <c r="G52" s="268">
        <f>ROUND(E52*F52,2)</f>
        <v/>
      </c>
      <c r="H52" s="269">
        <f>G52/$G$97</f>
        <v/>
      </c>
      <c r="I52" s="268">
        <f>ROUND(F52*Прил.10!$D$12,2)</f>
        <v/>
      </c>
      <c r="J52" s="268">
        <f>ROUND(I52*E52,2)</f>
        <v/>
      </c>
    </row>
    <row r="53" hidden="1" outlineLevel="1" ht="14.25" customFormat="1" customHeight="1" s="255">
      <c r="A53" s="357" t="n">
        <v>36</v>
      </c>
      <c r="B53" s="265" t="inlineStr">
        <is>
          <t>91.06.09-011</t>
        </is>
      </c>
      <c r="C53" s="356" t="inlineStr">
        <is>
          <t>Люльки</t>
        </is>
      </c>
      <c r="D53" s="357" t="inlineStr">
        <is>
          <t>маш.час</t>
        </is>
      </c>
      <c r="E53" s="267" t="n">
        <v>18.51</v>
      </c>
      <c r="F53" s="359" t="n">
        <v>53.87</v>
      </c>
      <c r="G53" s="268">
        <f>ROUND(E53*F53,2)</f>
        <v/>
      </c>
      <c r="H53" s="269">
        <f>G53/$G$97</f>
        <v/>
      </c>
      <c r="I53" s="268">
        <f>ROUND(F53*Прил.10!$D$12,2)</f>
        <v/>
      </c>
      <c r="J53" s="268">
        <f>ROUND(I53*E53,2)</f>
        <v/>
      </c>
    </row>
    <row r="54" hidden="1" outlineLevel="1" ht="25.5" customFormat="1" customHeight="1" s="255">
      <c r="A54" s="357" t="n">
        <v>37</v>
      </c>
      <c r="B54" s="265" t="inlineStr">
        <is>
          <t>91.06.03-047</t>
        </is>
      </c>
      <c r="C54" s="356" t="inlineStr">
        <is>
          <t>Лебедки ручные и рычажные тяговым усилием 31,39 кН (3,2 т)</t>
        </is>
      </c>
      <c r="D54" s="357" t="inlineStr">
        <is>
          <t>маш.час</t>
        </is>
      </c>
      <c r="E54" s="267" t="n">
        <v>310.92</v>
      </c>
      <c r="F54" s="359" t="n">
        <v>3.12</v>
      </c>
      <c r="G54" s="268">
        <f>ROUND(E54*F54,2)</f>
        <v/>
      </c>
      <c r="H54" s="269">
        <f>G54/$G$97</f>
        <v/>
      </c>
      <c r="I54" s="268">
        <f>ROUND(F54*Прил.10!$D$12,2)</f>
        <v/>
      </c>
      <c r="J54" s="268">
        <f>ROUND(I54*E54,2)</f>
        <v/>
      </c>
    </row>
    <row r="55" hidden="1" outlineLevel="1" ht="14.25" customFormat="1" customHeight="1" s="255">
      <c r="A55" s="357" t="n">
        <v>38</v>
      </c>
      <c r="B55" s="265" t="inlineStr">
        <is>
          <t>91.21.07-011</t>
        </is>
      </c>
      <c r="C55" s="356" t="inlineStr">
        <is>
          <t>Машины мозаично-шлифовальные</t>
        </is>
      </c>
      <c r="D55" s="357" t="inlineStr">
        <is>
          <t>маш.час</t>
        </is>
      </c>
      <c r="E55" s="267" t="n">
        <v>471.54</v>
      </c>
      <c r="F55" s="359" t="n">
        <v>1.5</v>
      </c>
      <c r="G55" s="268">
        <f>ROUND(E55*F55,2)</f>
        <v/>
      </c>
      <c r="H55" s="269">
        <f>G55/$G$97</f>
        <v/>
      </c>
      <c r="I55" s="268">
        <f>ROUND(F55*Прил.10!$D$12,2)</f>
        <v/>
      </c>
      <c r="J55" s="268">
        <f>ROUND(I55*E55,2)</f>
        <v/>
      </c>
    </row>
    <row r="56" hidden="1" outlineLevel="1" ht="38.25" customFormat="1" customHeight="1" s="255">
      <c r="A56" s="357" t="n">
        <v>39</v>
      </c>
      <c r="B56" s="265" t="inlineStr">
        <is>
          <t>91.18.01-508</t>
        </is>
      </c>
      <c r="C56" s="356" t="inlineStr">
        <is>
          <t>Компрессоры передвижные с электродвигателем, производительность до 5,0 м3/мин</t>
        </is>
      </c>
      <c r="D56" s="357" t="inlineStr">
        <is>
          <t>маш.час</t>
        </is>
      </c>
      <c r="E56" s="267" t="n">
        <v>13.96</v>
      </c>
      <c r="F56" s="359" t="n">
        <v>48.81</v>
      </c>
      <c r="G56" s="268">
        <f>ROUND(E56*F56,2)</f>
        <v/>
      </c>
      <c r="H56" s="269">
        <f>G56/$G$97</f>
        <v/>
      </c>
      <c r="I56" s="268">
        <f>ROUND(F56*Прил.10!$D$12,2)</f>
        <v/>
      </c>
      <c r="J56" s="268">
        <f>ROUND(I56*E56,2)</f>
        <v/>
      </c>
    </row>
    <row r="57" hidden="1" outlineLevel="1" ht="14.25" customFormat="1" customHeight="1" s="255">
      <c r="A57" s="357" t="n">
        <v>40</v>
      </c>
      <c r="B57" s="265" t="inlineStr">
        <is>
          <t>91.08.04-021</t>
        </is>
      </c>
      <c r="C57" s="356" t="inlineStr">
        <is>
          <t>Котлы битумные передвижные 400 л</t>
        </is>
      </c>
      <c r="D57" s="357" t="inlineStr">
        <is>
          <t>маш.час</t>
        </is>
      </c>
      <c r="E57" s="267" t="n">
        <v>20.95</v>
      </c>
      <c r="F57" s="359" t="n">
        <v>30</v>
      </c>
      <c r="G57" s="268">
        <f>ROUND(E57*F57,2)</f>
        <v/>
      </c>
      <c r="H57" s="269">
        <f>G57/$G$97</f>
        <v/>
      </c>
      <c r="I57" s="268">
        <f>ROUND(F57*Прил.10!$D$12,2)</f>
        <v/>
      </c>
      <c r="J57" s="268">
        <f>ROUND(I57*E57,2)</f>
        <v/>
      </c>
    </row>
    <row r="58" hidden="1" outlineLevel="1" ht="25.5" customFormat="1" customHeight="1" s="255">
      <c r="A58" s="357" t="n">
        <v>41</v>
      </c>
      <c r="B58" s="265" t="inlineStr">
        <is>
          <t>91.05.04-005</t>
        </is>
      </c>
      <c r="C58" s="356" t="inlineStr">
        <is>
          <t>Краны мостовые электрические, грузоподъемность 5 т</t>
        </is>
      </c>
      <c r="D58" s="357" t="inlineStr">
        <is>
          <t>маш.час</t>
        </is>
      </c>
      <c r="E58" s="267" t="n">
        <v>14.19</v>
      </c>
      <c r="F58" s="359" t="n">
        <v>42.32</v>
      </c>
      <c r="G58" s="268">
        <f>ROUND(E58*F58,2)</f>
        <v/>
      </c>
      <c r="H58" s="269">
        <f>G58/$G$97</f>
        <v/>
      </c>
      <c r="I58" s="268">
        <f>ROUND(F58*Прил.10!$D$12,2)</f>
        <v/>
      </c>
      <c r="J58" s="268">
        <f>ROUND(I58*E58,2)</f>
        <v/>
      </c>
    </row>
    <row r="59" hidden="1" outlineLevel="1" ht="25.5" customFormat="1" customHeight="1" s="255">
      <c r="A59" s="357" t="n">
        <v>42</v>
      </c>
      <c r="B59" s="265" t="inlineStr">
        <is>
          <t>91.05.08-007</t>
        </is>
      </c>
      <c r="C59" s="356" t="inlineStr">
        <is>
          <t>Краны на пневмоколесном ходу, грузоподъемность 25 т</t>
        </is>
      </c>
      <c r="D59" s="357" t="inlineStr">
        <is>
          <t>маш.час</t>
        </is>
      </c>
      <c r="E59" s="267" t="n">
        <v>4.47</v>
      </c>
      <c r="F59" s="359" t="n">
        <v>102.51</v>
      </c>
      <c r="G59" s="268">
        <f>ROUND(E59*F59,2)</f>
        <v/>
      </c>
      <c r="H59" s="269">
        <f>G59/$G$97</f>
        <v/>
      </c>
      <c r="I59" s="268">
        <f>ROUND(F59*Прил.10!$D$12,2)</f>
        <v/>
      </c>
      <c r="J59" s="268">
        <f>ROUND(I59*E59,2)</f>
        <v/>
      </c>
    </row>
    <row r="60" hidden="1" outlineLevel="1" ht="38.25" customFormat="1" customHeight="1" s="255">
      <c r="A60" s="357" t="n">
        <v>43</v>
      </c>
      <c r="B60" s="265" t="inlineStr">
        <is>
          <t>91.21.10-003</t>
        </is>
      </c>
      <c r="C60" s="356" t="inlineStr">
        <is>
          <t>Молотки при работе от передвижных компрессорных станций отбойные пневматические</t>
        </is>
      </c>
      <c r="D60" s="357" t="inlineStr">
        <is>
          <t>маш.час</t>
        </is>
      </c>
      <c r="E60" s="267" t="n">
        <v>266.87</v>
      </c>
      <c r="F60" s="359" t="n">
        <v>1.53</v>
      </c>
      <c r="G60" s="268">
        <f>ROUND(E60*F60,2)</f>
        <v/>
      </c>
      <c r="H60" s="269">
        <f>G60/$G$97</f>
        <v/>
      </c>
      <c r="I60" s="268">
        <f>ROUND(F60*Прил.10!$D$12,2)</f>
        <v/>
      </c>
      <c r="J60" s="268">
        <f>ROUND(I60*E60,2)</f>
        <v/>
      </c>
    </row>
    <row r="61" hidden="1" outlineLevel="1" ht="14.25" customFormat="1" customHeight="1" s="255">
      <c r="A61" s="357" t="n">
        <v>44</v>
      </c>
      <c r="B61" s="265" t="inlineStr">
        <is>
          <t>91.09.03-035</t>
        </is>
      </c>
      <c r="C61" s="356" t="inlineStr">
        <is>
          <t>Платформы широкой колеи 71 т</t>
        </is>
      </c>
      <c r="D61" s="357" t="inlineStr">
        <is>
          <t>маш.час</t>
        </is>
      </c>
      <c r="E61" s="267" t="n">
        <v>24.52</v>
      </c>
      <c r="F61" s="359" t="n">
        <v>16.64</v>
      </c>
      <c r="G61" s="268">
        <f>ROUND(E61*F61,2)</f>
        <v/>
      </c>
      <c r="H61" s="269">
        <f>G61/$G$97</f>
        <v/>
      </c>
      <c r="I61" s="268">
        <f>ROUND(F61*Прил.10!$D$12,2)</f>
        <v/>
      </c>
      <c r="J61" s="268">
        <f>ROUND(I61*E61,2)</f>
        <v/>
      </c>
    </row>
    <row r="62" hidden="1" outlineLevel="1" ht="25.5" customFormat="1" customHeight="1" s="255">
      <c r="A62" s="357" t="n">
        <v>45</v>
      </c>
      <c r="B62" s="265" t="inlineStr">
        <is>
          <t>91.06.06-042</t>
        </is>
      </c>
      <c r="C62" s="356" t="inlineStr">
        <is>
          <t>Подъемники гидравлические, высота подъема 10 м</t>
        </is>
      </c>
      <c r="D62" s="357" t="inlineStr">
        <is>
          <t>маш.час</t>
        </is>
      </c>
      <c r="E62" s="267" t="n">
        <v>11.51</v>
      </c>
      <c r="F62" s="359" t="n">
        <v>29.6</v>
      </c>
      <c r="G62" s="268">
        <f>ROUND(E62*F62,2)</f>
        <v/>
      </c>
      <c r="H62" s="269">
        <f>G62/$G$97</f>
        <v/>
      </c>
      <c r="I62" s="268">
        <f>ROUND(F62*Прил.10!$D$12,2)</f>
        <v/>
      </c>
      <c r="J62" s="268">
        <f>ROUND(I62*E62,2)</f>
        <v/>
      </c>
    </row>
    <row r="63" hidden="1" outlineLevel="1" ht="38.25" customFormat="1" customHeight="1" s="255">
      <c r="A63" s="357" t="n">
        <v>46</v>
      </c>
      <c r="B63" s="265" t="inlineStr">
        <is>
          <t>91.06.06-047</t>
        </is>
      </c>
      <c r="C63" s="356" t="inlineStr">
        <is>
          <t>Подъемники одномачтовые, грузоподъемность до 500 кг, высота подъема 35 м</t>
        </is>
      </c>
      <c r="D63" s="357" t="inlineStr">
        <is>
          <t>маш.час</t>
        </is>
      </c>
      <c r="E63" s="267" t="n">
        <v>11.14</v>
      </c>
      <c r="F63" s="359" t="n">
        <v>29.46</v>
      </c>
      <c r="G63" s="268">
        <f>ROUND(E63*F63,2)</f>
        <v/>
      </c>
      <c r="H63" s="269">
        <f>G63/$G$97</f>
        <v/>
      </c>
      <c r="I63" s="268">
        <f>ROUND(F63*Прил.10!$D$12,2)</f>
        <v/>
      </c>
      <c r="J63" s="268">
        <f>ROUND(I63*E63,2)</f>
        <v/>
      </c>
    </row>
    <row r="64" hidden="1" outlineLevel="1" ht="25.5" customFormat="1" customHeight="1" s="255">
      <c r="A64" s="357" t="n">
        <v>47</v>
      </c>
      <c r="B64" s="265" t="inlineStr">
        <is>
          <t>91.21.22-441</t>
        </is>
      </c>
      <c r="C64" s="356" t="inlineStr">
        <is>
          <t>Установки для заготовки защитных покрытий тепловой изоляции</t>
        </is>
      </c>
      <c r="D64" s="357" t="inlineStr">
        <is>
          <t>маш.час</t>
        </is>
      </c>
      <c r="E64" s="267" t="n">
        <v>4.93</v>
      </c>
      <c r="F64" s="359" t="n">
        <v>65.25</v>
      </c>
      <c r="G64" s="268">
        <f>ROUND(E64*F64,2)</f>
        <v/>
      </c>
      <c r="H64" s="269">
        <f>G64/$G$97</f>
        <v/>
      </c>
      <c r="I64" s="268">
        <f>ROUND(F64*Прил.10!$D$12,2)</f>
        <v/>
      </c>
      <c r="J64" s="268">
        <f>ROUND(I64*E64,2)</f>
        <v/>
      </c>
    </row>
    <row r="65" hidden="1" outlineLevel="1" ht="14.25" customFormat="1" customHeight="1" s="255">
      <c r="A65" s="357" t="n">
        <v>48</v>
      </c>
      <c r="B65" s="265" t="inlineStr">
        <is>
          <t>91.01.01-035</t>
        </is>
      </c>
      <c r="C65" s="356" t="inlineStr">
        <is>
          <t>Бульдозеры, мощность 79 кВт (108 л.с.)</t>
        </is>
      </c>
      <c r="D65" s="357" t="inlineStr">
        <is>
          <t>маш.час</t>
        </is>
      </c>
      <c r="E65" s="267" t="n">
        <v>3.42</v>
      </c>
      <c r="F65" s="359" t="n">
        <v>79.06999999999999</v>
      </c>
      <c r="G65" s="268">
        <f>ROUND(E65*F65,2)</f>
        <v/>
      </c>
      <c r="H65" s="269">
        <f>G65/$G$97</f>
        <v/>
      </c>
      <c r="I65" s="268">
        <f>ROUND(F65*Прил.10!$D$12,2)</f>
        <v/>
      </c>
      <c r="J65" s="268">
        <f>ROUND(I65*E65,2)</f>
        <v/>
      </c>
    </row>
    <row r="66" hidden="1" outlineLevel="1" ht="25.5" customFormat="1" customHeight="1" s="255">
      <c r="A66" s="357" t="n">
        <v>49</v>
      </c>
      <c r="B66" s="265" t="inlineStr">
        <is>
          <t>91.08.09-023</t>
        </is>
      </c>
      <c r="C66" s="356" t="inlineStr">
        <is>
          <t>Трамбовки пневматические при работе от передвижных компрессорных станций</t>
        </is>
      </c>
      <c r="D66" s="357" t="inlineStr">
        <is>
          <t>маш.час</t>
        </is>
      </c>
      <c r="E66" s="267" t="n">
        <v>462.3</v>
      </c>
      <c r="F66" s="359" t="n">
        <v>0.55</v>
      </c>
      <c r="G66" s="268">
        <f>ROUND(E66*F66,2)</f>
        <v/>
      </c>
      <c r="H66" s="269">
        <f>G66/$G$97</f>
        <v/>
      </c>
      <c r="I66" s="268">
        <f>ROUND(F66*Прил.10!$D$12,2)</f>
        <v/>
      </c>
      <c r="J66" s="268">
        <f>ROUND(I66*E66,2)</f>
        <v/>
      </c>
    </row>
    <row r="67" hidden="1" outlineLevel="1" ht="25.5" customFormat="1" customHeight="1" s="255">
      <c r="A67" s="357" t="n">
        <v>50</v>
      </c>
      <c r="B67" s="265" t="inlineStr">
        <is>
          <t>91.01.05-085</t>
        </is>
      </c>
      <c r="C67" s="356" t="inlineStr">
        <is>
          <t>Экскаваторы одноковшовые дизельные на гусеничном ходу, емкость ковша 0,5 м3</t>
        </is>
      </c>
      <c r="D67" s="357" t="inlineStr">
        <is>
          <t>маш.час</t>
        </is>
      </c>
      <c r="E67" s="267" t="n">
        <v>2.43</v>
      </c>
      <c r="F67" s="359" t="n">
        <v>100</v>
      </c>
      <c r="G67" s="268">
        <f>ROUND(E67*F67,2)</f>
        <v/>
      </c>
      <c r="H67" s="269">
        <f>G67/$G$97</f>
        <v/>
      </c>
      <c r="I67" s="268">
        <f>ROUND(F67*Прил.10!$D$12,2)</f>
        <v/>
      </c>
      <c r="J67" s="268">
        <f>ROUND(I67*E67,2)</f>
        <v/>
      </c>
    </row>
    <row r="68" hidden="1" outlineLevel="1" ht="14.25" customFormat="1" customHeight="1" s="255">
      <c r="A68" s="357" t="n">
        <v>51</v>
      </c>
      <c r="B68" s="265" t="inlineStr">
        <is>
          <t>91.07.04-002</t>
        </is>
      </c>
      <c r="C68" s="356" t="inlineStr">
        <is>
          <t>Вибраторы поверхностные</t>
        </is>
      </c>
      <c r="D68" s="357" t="inlineStr">
        <is>
          <t>маш.час</t>
        </is>
      </c>
      <c r="E68" s="267" t="n">
        <v>477.84</v>
      </c>
      <c r="F68" s="359" t="n">
        <v>0.5</v>
      </c>
      <c r="G68" s="268">
        <f>ROUND(E68*F68,2)</f>
        <v/>
      </c>
      <c r="H68" s="269">
        <f>G68/$G$97</f>
        <v/>
      </c>
      <c r="I68" s="268">
        <f>ROUND(F68*Прил.10!$D$12,2)</f>
        <v/>
      </c>
      <c r="J68" s="268">
        <f>ROUND(I68*E68,2)</f>
        <v/>
      </c>
    </row>
    <row r="69" hidden="1" outlineLevel="1" ht="14.25" customFormat="1" customHeight="1" s="255">
      <c r="A69" s="357" t="n">
        <v>52</v>
      </c>
      <c r="B69" s="265" t="inlineStr">
        <is>
          <t>91.07.04-001</t>
        </is>
      </c>
      <c r="C69" s="356" t="inlineStr">
        <is>
          <t>Вибраторы глубинные</t>
        </is>
      </c>
      <c r="D69" s="357" t="inlineStr">
        <is>
          <t>маш.час</t>
        </is>
      </c>
      <c r="E69" s="267" t="n">
        <v>118.45</v>
      </c>
      <c r="F69" s="359" t="n">
        <v>1.9</v>
      </c>
      <c r="G69" s="268">
        <f>ROUND(E69*F69,2)</f>
        <v/>
      </c>
      <c r="H69" s="269">
        <f>G69/$G$97</f>
        <v/>
      </c>
      <c r="I69" s="268">
        <f>ROUND(F69*Прил.10!$D$12,2)</f>
        <v/>
      </c>
      <c r="J69" s="268">
        <f>ROUND(I69*E69,2)</f>
        <v/>
      </c>
    </row>
    <row r="70" hidden="1" outlineLevel="1" ht="25.5" customFormat="1" customHeight="1" s="255">
      <c r="A70" s="357" t="n">
        <v>53</v>
      </c>
      <c r="B70" s="265" t="inlineStr">
        <is>
          <t>91.14.05-011</t>
        </is>
      </c>
      <c r="C70" s="356" t="inlineStr">
        <is>
          <t>Полуприцепы общего назначения, грузоподъемность 12 т</t>
        </is>
      </c>
      <c r="D70" s="357" t="inlineStr">
        <is>
          <t>маш.час</t>
        </is>
      </c>
      <c r="E70" s="267" t="n">
        <v>14.11</v>
      </c>
      <c r="F70" s="359" t="n">
        <v>12</v>
      </c>
      <c r="G70" s="268">
        <f>ROUND(E70*F70,2)</f>
        <v/>
      </c>
      <c r="H70" s="269">
        <f>G70/$G$97</f>
        <v/>
      </c>
      <c r="I70" s="268">
        <f>ROUND(F70*Прил.10!$D$12,2)</f>
        <v/>
      </c>
      <c r="J70" s="268">
        <f>ROUND(I70*E70,2)</f>
        <v/>
      </c>
    </row>
    <row r="71" hidden="1" outlineLevel="1" ht="14.25" customFormat="1" customHeight="1" s="255">
      <c r="A71" s="357" t="n">
        <v>54</v>
      </c>
      <c r="B71" s="265" t="inlineStr">
        <is>
          <t>91.17.04-031</t>
        </is>
      </c>
      <c r="C71" s="356" t="inlineStr">
        <is>
          <t>Агрегаты для сварки полиэтиленовых труб</t>
        </is>
      </c>
      <c r="D71" s="357" t="inlineStr">
        <is>
          <t>маш.час</t>
        </is>
      </c>
      <c r="E71" s="267" t="n">
        <v>1.12</v>
      </c>
      <c r="F71" s="359" t="n">
        <v>100.1</v>
      </c>
      <c r="G71" s="268">
        <f>ROUND(E71*F71,2)</f>
        <v/>
      </c>
      <c r="H71" s="269">
        <f>G71/$G$97</f>
        <v/>
      </c>
      <c r="I71" s="268">
        <f>ROUND(F71*Прил.10!$D$12,2)</f>
        <v/>
      </c>
      <c r="J71" s="268">
        <f>ROUND(I71*E71,2)</f>
        <v/>
      </c>
    </row>
    <row r="72" hidden="1" outlineLevel="1" ht="51" customFormat="1" customHeight="1" s="255">
      <c r="A72" s="357" t="n">
        <v>55</v>
      </c>
      <c r="B72" s="265" t="inlineStr">
        <is>
          <t>91.10.09-011</t>
        </is>
      </c>
      <c r="C72" s="356" t="inlineStr">
        <is>
          <t>Установки для гидравлических испытаний трубопроводов, давление нагнетания низкое 0,1 МПа (1 кгс/см2), высокое 10 МПа (100 кгс/см2)</t>
        </is>
      </c>
      <c r="D72" s="357" t="inlineStr">
        <is>
          <t>маш.час</t>
        </is>
      </c>
      <c r="E72" s="267" t="n">
        <v>3.17</v>
      </c>
      <c r="F72" s="359" t="n">
        <v>29.67</v>
      </c>
      <c r="G72" s="268">
        <f>ROUND(E72*F72,2)</f>
        <v/>
      </c>
      <c r="H72" s="269">
        <f>G72/$G$97</f>
        <v/>
      </c>
      <c r="I72" s="268">
        <f>ROUND(F72*Прил.10!$D$12,2)</f>
        <v/>
      </c>
      <c r="J72" s="268">
        <f>ROUND(I72*E72,2)</f>
        <v/>
      </c>
    </row>
    <row r="73" hidden="1" outlineLevel="1" ht="25.5" customFormat="1" customHeight="1" s="255">
      <c r="A73" s="357" t="n">
        <v>56</v>
      </c>
      <c r="B73" s="265" t="inlineStr">
        <is>
          <t>91.15.03-004</t>
        </is>
      </c>
      <c r="C73" s="356" t="inlineStr">
        <is>
          <t>Тракторы на пневмоколесном ходу, мощность 108 кВт (145 л.с.)</t>
        </is>
      </c>
      <c r="D73" s="357" t="inlineStr">
        <is>
          <t>маш.час</t>
        </is>
      </c>
      <c r="E73" s="267" t="n">
        <v>0.46</v>
      </c>
      <c r="F73" s="359" t="n">
        <v>157.9</v>
      </c>
      <c r="G73" s="268">
        <f>ROUND(E73*F73,2)</f>
        <v/>
      </c>
      <c r="H73" s="269">
        <f>G73/$G$97</f>
        <v/>
      </c>
      <c r="I73" s="268">
        <f>ROUND(F73*Прил.10!$D$12,2)</f>
        <v/>
      </c>
      <c r="J73" s="268">
        <f>ROUND(I73*E73,2)</f>
        <v/>
      </c>
    </row>
    <row r="74" hidden="1" outlineLevel="1" ht="25.5" customFormat="1" customHeight="1" s="255">
      <c r="A74" s="357" t="n">
        <v>57</v>
      </c>
      <c r="B74" s="265" t="inlineStr">
        <is>
          <t>91.06.09-061</t>
        </is>
      </c>
      <c r="C74" s="356" t="inlineStr">
        <is>
          <t>Подмости самоходные, высота подъема 12 м</t>
        </is>
      </c>
      <c r="D74" s="357" t="inlineStr">
        <is>
          <t>маш.час</t>
        </is>
      </c>
      <c r="E74" s="267" t="n">
        <v>1.96</v>
      </c>
      <c r="F74" s="359" t="n">
        <v>35.3</v>
      </c>
      <c r="G74" s="268">
        <f>ROUND(E74*F74,2)</f>
        <v/>
      </c>
      <c r="H74" s="269">
        <f>G74/$G$97</f>
        <v/>
      </c>
      <c r="I74" s="268">
        <f>ROUND(F74*Прил.10!$D$12,2)</f>
        <v/>
      </c>
      <c r="J74" s="268">
        <f>ROUND(I74*E74,2)</f>
        <v/>
      </c>
    </row>
    <row r="75" hidden="1" outlineLevel="1" ht="25.5" customFormat="1" customHeight="1" s="255">
      <c r="A75" s="357" t="n">
        <v>58</v>
      </c>
      <c r="B75" s="265" t="inlineStr">
        <is>
          <t>91.06.01-003</t>
        </is>
      </c>
      <c r="C75" s="356" t="inlineStr">
        <is>
          <t>Домкраты гидравлические, грузоподъемность 63-100 т</t>
        </is>
      </c>
      <c r="D75" s="357" t="inlineStr">
        <is>
          <t>маш.час</t>
        </is>
      </c>
      <c r="E75" s="267" t="n">
        <v>76.48</v>
      </c>
      <c r="F75" s="359" t="n">
        <v>0.9</v>
      </c>
      <c r="G75" s="268">
        <f>ROUND(E75*F75,2)</f>
        <v/>
      </c>
      <c r="H75" s="269">
        <f>G75/$G$97</f>
        <v/>
      </c>
      <c r="I75" s="268">
        <f>ROUND(F75*Прил.10!$D$12,2)</f>
        <v/>
      </c>
      <c r="J75" s="268">
        <f>ROUND(I75*E75,2)</f>
        <v/>
      </c>
    </row>
    <row r="76" hidden="1" outlineLevel="1" ht="38.25" customFormat="1" customHeight="1" s="255">
      <c r="A76" s="357" t="n">
        <v>59</v>
      </c>
      <c r="B76" s="265" t="inlineStr">
        <is>
          <t>91.17.04-036</t>
        </is>
      </c>
      <c r="C76" s="356" t="inlineStr">
        <is>
          <t>Агрегаты сварочные передвижные с дизельным двигателем, номинальный сварочный ток 250-400 А</t>
        </is>
      </c>
      <c r="D76" s="357" t="inlineStr">
        <is>
          <t>маш.час</t>
        </is>
      </c>
      <c r="E76" s="267" t="n">
        <v>4.29</v>
      </c>
      <c r="F76" s="359" t="n">
        <v>14</v>
      </c>
      <c r="G76" s="268">
        <f>ROUND(E76*F76,2)</f>
        <v/>
      </c>
      <c r="H76" s="269">
        <f>G76/$G$97</f>
        <v/>
      </c>
      <c r="I76" s="268">
        <f>ROUND(F76*Прил.10!$D$12,2)</f>
        <v/>
      </c>
      <c r="J76" s="268">
        <f>ROUND(I76*E76,2)</f>
        <v/>
      </c>
    </row>
    <row r="77" hidden="1" outlineLevel="1" ht="25.5" customFormat="1" customHeight="1" s="255">
      <c r="A77" s="357" t="n">
        <v>60</v>
      </c>
      <c r="B77" s="265" t="inlineStr">
        <is>
          <t>91.07.08-024</t>
        </is>
      </c>
      <c r="C77" s="356" t="inlineStr">
        <is>
          <t>Растворосмесители передвижные, объем барабана 65 л</t>
        </is>
      </c>
      <c r="D77" s="357" t="inlineStr">
        <is>
          <t>маш.час</t>
        </is>
      </c>
      <c r="E77" s="267" t="n">
        <v>3.45</v>
      </c>
      <c r="F77" s="359" t="n">
        <v>12.39</v>
      </c>
      <c r="G77" s="268">
        <f>ROUND(E77*F77,2)</f>
        <v/>
      </c>
      <c r="H77" s="269">
        <f>G77/$G$97</f>
        <v/>
      </c>
      <c r="I77" s="268">
        <f>ROUND(F77*Прил.10!$D$12,2)</f>
        <v/>
      </c>
      <c r="J77" s="268">
        <f>ROUND(I77*E77,2)</f>
        <v/>
      </c>
    </row>
    <row r="78" hidden="1" outlineLevel="1" ht="14.25" customFormat="1" customHeight="1" s="255">
      <c r="A78" s="357" t="n">
        <v>61</v>
      </c>
      <c r="B78" s="265" t="inlineStr">
        <is>
          <t>91.21.12-004</t>
        </is>
      </c>
      <c r="C78" s="356" t="inlineStr">
        <is>
          <t>Ножницы электрические</t>
        </is>
      </c>
      <c r="D78" s="357" t="inlineStr">
        <is>
          <t>маш.час</t>
        </is>
      </c>
      <c r="E78" s="267" t="n">
        <v>1.13</v>
      </c>
      <c r="F78" s="359" t="n">
        <v>33.59</v>
      </c>
      <c r="G78" s="268">
        <f>ROUND(E78*F78,2)</f>
        <v/>
      </c>
      <c r="H78" s="269">
        <f>G78/$G$97</f>
        <v/>
      </c>
      <c r="I78" s="268">
        <f>ROUND(F78*Прил.10!$D$12,2)</f>
        <v/>
      </c>
      <c r="J78" s="268">
        <f>ROUND(I78*E78,2)</f>
        <v/>
      </c>
    </row>
    <row r="79" hidden="1" outlineLevel="1" ht="14.25" customFormat="1" customHeight="1" s="255">
      <c r="A79" s="357" t="n">
        <v>62</v>
      </c>
      <c r="B79" s="265" t="inlineStr">
        <is>
          <t>91.05.01-016</t>
        </is>
      </c>
      <c r="C79" s="356" t="inlineStr">
        <is>
          <t>Краны башенные, грузоподъемность 5 т</t>
        </is>
      </c>
      <c r="D79" s="357" t="inlineStr">
        <is>
          <t>маш.час</t>
        </is>
      </c>
      <c r="E79" s="267" t="n">
        <v>0.33</v>
      </c>
      <c r="F79" s="359" t="n">
        <v>83.43000000000001</v>
      </c>
      <c r="G79" s="268">
        <f>ROUND(E79*F79,2)</f>
        <v/>
      </c>
      <c r="H79" s="269">
        <f>G79/$G$97</f>
        <v/>
      </c>
      <c r="I79" s="268">
        <f>ROUND(F79*Прил.10!$D$12,2)</f>
        <v/>
      </c>
      <c r="J79" s="268">
        <f>ROUND(I79*E79,2)</f>
        <v/>
      </c>
    </row>
    <row r="80" hidden="1" outlineLevel="1" ht="25.5" customFormat="1" customHeight="1" s="255">
      <c r="A80" s="357" t="n">
        <v>63</v>
      </c>
      <c r="B80" s="265" t="inlineStr">
        <is>
          <t>91.06.03-060</t>
        </is>
      </c>
      <c r="C80" s="356" t="inlineStr">
        <is>
          <t>Лебедки электрические тяговым усилием до 5,79 кН (0,59 т)</t>
        </is>
      </c>
      <c r="D80" s="357" t="inlineStr">
        <is>
          <t>маш.час</t>
        </is>
      </c>
      <c r="E80" s="267" t="n">
        <v>15.81</v>
      </c>
      <c r="F80" s="359" t="n">
        <v>1.7</v>
      </c>
      <c r="G80" s="268">
        <f>ROUND(E80*F80,2)</f>
        <v/>
      </c>
      <c r="H80" s="269">
        <f>G80/$G$97</f>
        <v/>
      </c>
      <c r="I80" s="268">
        <f>ROUND(F80*Прил.10!$D$12,2)</f>
        <v/>
      </c>
      <c r="J80" s="268">
        <f>ROUND(I80*E80,2)</f>
        <v/>
      </c>
    </row>
    <row r="81" hidden="1" outlineLevel="1" ht="25.5" customFormat="1" customHeight="1" s="255">
      <c r="A81" s="357" t="n">
        <v>64</v>
      </c>
      <c r="B81" s="265" t="inlineStr">
        <is>
          <t>91.21.22-638</t>
        </is>
      </c>
      <c r="C81" s="356" t="inlineStr">
        <is>
          <t>Пылесосы промышленные, мощность до 2000 Вт</t>
        </is>
      </c>
      <c r="D81" s="357" t="inlineStr">
        <is>
          <t>маш.час</t>
        </is>
      </c>
      <c r="E81" s="267" t="n">
        <v>5.64</v>
      </c>
      <c r="F81" s="359" t="n">
        <v>3.29</v>
      </c>
      <c r="G81" s="268">
        <f>ROUND(E81*F81,2)</f>
        <v/>
      </c>
      <c r="H81" s="269">
        <f>G81/$G$97</f>
        <v/>
      </c>
      <c r="I81" s="268">
        <f>ROUND(F81*Прил.10!$D$12,2)</f>
        <v/>
      </c>
      <c r="J81" s="268">
        <f>ROUND(I81*E81,2)</f>
        <v/>
      </c>
    </row>
    <row r="82" hidden="1" outlineLevel="1" ht="25.5" customFormat="1" customHeight="1" s="255">
      <c r="A82" s="357" t="n">
        <v>65</v>
      </c>
      <c r="B82" s="265" t="inlineStr">
        <is>
          <t>91.01.05-084</t>
        </is>
      </c>
      <c r="C82" s="356" t="inlineStr">
        <is>
          <t>Экскаваторы одноковшовые дизельные на гусеничном ходу, емкость ковша 0,4 м3</t>
        </is>
      </c>
      <c r="D82" s="357" t="inlineStr">
        <is>
          <t>маш.час</t>
        </is>
      </c>
      <c r="E82" s="267" t="n">
        <v>0.25</v>
      </c>
      <c r="F82" s="359" t="n">
        <v>54.81</v>
      </c>
      <c r="G82" s="268">
        <f>ROUND(E82*F82,2)</f>
        <v/>
      </c>
      <c r="H82" s="269">
        <f>G82/$G$97</f>
        <v/>
      </c>
      <c r="I82" s="268">
        <f>ROUND(F82*Прил.10!$D$12,2)</f>
        <v/>
      </c>
      <c r="J82" s="268">
        <f>ROUND(I82*E82,2)</f>
        <v/>
      </c>
    </row>
    <row r="83" hidden="1" outlineLevel="1" ht="25.5" customFormat="1" customHeight="1" s="255">
      <c r="A83" s="357" t="n">
        <v>66</v>
      </c>
      <c r="B83" s="265" t="inlineStr">
        <is>
          <t>91.06.03-062</t>
        </is>
      </c>
      <c r="C83" s="356" t="inlineStr">
        <is>
          <t>Лебедки электрические тяговым усилием до 31,39 кН (3,2 т)</t>
        </is>
      </c>
      <c r="D83" s="357" t="inlineStr">
        <is>
          <t>маш.час</t>
        </is>
      </c>
      <c r="E83" s="267" t="n">
        <v>1.97</v>
      </c>
      <c r="F83" s="359" t="n">
        <v>6.9</v>
      </c>
      <c r="G83" s="268">
        <f>ROUND(E83*F83,2)</f>
        <v/>
      </c>
      <c r="H83" s="269">
        <f>G83/$G$97</f>
        <v/>
      </c>
      <c r="I83" s="268">
        <f>ROUND(F83*Прил.10!$D$12,2)</f>
        <v/>
      </c>
      <c r="J83" s="268">
        <f>ROUND(I83*E83,2)</f>
        <v/>
      </c>
    </row>
    <row r="84" hidden="1" outlineLevel="1" ht="25.5" customFormat="1" customHeight="1" s="255">
      <c r="A84" s="357" t="n">
        <v>67</v>
      </c>
      <c r="B84" s="265" t="inlineStr">
        <is>
          <t>91.04.01-041</t>
        </is>
      </c>
      <c r="C84" s="356" t="inlineStr">
        <is>
          <t>Молотки бурильные легкие при работе от передвижных компрессорных станций</t>
        </is>
      </c>
      <c r="D84" s="357" t="inlineStr">
        <is>
          <t>маш.час</t>
        </is>
      </c>
      <c r="E84" s="267" t="n">
        <v>3.62</v>
      </c>
      <c r="F84" s="359" t="n">
        <v>2.99</v>
      </c>
      <c r="G84" s="268">
        <f>ROUND(E84*F84,2)</f>
        <v/>
      </c>
      <c r="H84" s="269">
        <f>G84/$G$97</f>
        <v/>
      </c>
      <c r="I84" s="268">
        <f>ROUND(F84*Прил.10!$D$12,2)</f>
        <v/>
      </c>
      <c r="J84" s="268">
        <f>ROUND(I84*E84,2)</f>
        <v/>
      </c>
    </row>
    <row r="85" hidden="1" outlineLevel="1" ht="25.5" customFormat="1" customHeight="1" s="255">
      <c r="A85" s="357" t="n">
        <v>68</v>
      </c>
      <c r="B85" s="265" t="inlineStr">
        <is>
          <t>91.10.05-005</t>
        </is>
      </c>
      <c r="C85" s="356" t="inlineStr">
        <is>
          <t>Трубоукладчики для труб диаметром до 700 мм, грузоподъемность 12,5 т</t>
        </is>
      </c>
      <c r="D85" s="357" t="inlineStr">
        <is>
          <t>маш.час</t>
        </is>
      </c>
      <c r="E85" s="267" t="n">
        <v>0.06</v>
      </c>
      <c r="F85" s="359" t="n">
        <v>152.5</v>
      </c>
      <c r="G85" s="268">
        <f>ROUND(E85*F85,2)</f>
        <v/>
      </c>
      <c r="H85" s="269">
        <f>G85/$G$97</f>
        <v/>
      </c>
      <c r="I85" s="268">
        <f>ROUND(F85*Прил.10!$D$12,2)</f>
        <v/>
      </c>
      <c r="J85" s="268">
        <f>ROUND(I85*E85,2)</f>
        <v/>
      </c>
    </row>
    <row r="86" hidden="1" outlineLevel="1" ht="25.5" customFormat="1" customHeight="1" s="255">
      <c r="A86" s="357" t="n">
        <v>69</v>
      </c>
      <c r="B86" s="265" t="inlineStr">
        <is>
          <t>91.21.16-012</t>
        </is>
      </c>
      <c r="C86" s="356" t="inlineStr">
        <is>
          <t>Прессы гидравлические с электроприводом</t>
        </is>
      </c>
      <c r="D86" s="357" t="inlineStr">
        <is>
          <t>маш.час</t>
        </is>
      </c>
      <c r="E86" s="267" t="n">
        <v>6.69</v>
      </c>
      <c r="F86" s="359" t="n">
        <v>1.11</v>
      </c>
      <c r="G86" s="268">
        <f>ROUND(E86*F86,2)</f>
        <v/>
      </c>
      <c r="H86" s="269">
        <f>G86/$G$97</f>
        <v/>
      </c>
      <c r="I86" s="268">
        <f>ROUND(F86*Прил.10!$D$12,2)</f>
        <v/>
      </c>
      <c r="J86" s="268">
        <f>ROUND(I86*E86,2)</f>
        <v/>
      </c>
    </row>
    <row r="87" hidden="1" outlineLevel="1" ht="25.5" customFormat="1" customHeight="1" s="255">
      <c r="A87" s="357" t="n">
        <v>70</v>
      </c>
      <c r="B87" s="265" t="inlineStr">
        <is>
          <t>91.17.04-001</t>
        </is>
      </c>
      <c r="C87" s="356" t="inlineStr">
        <is>
          <t>Автоматы сварочные для полимерных покрытий, мощность 4,6 кВт</t>
        </is>
      </c>
      <c r="D87" s="357" t="inlineStr">
        <is>
          <t>маш.час</t>
        </is>
      </c>
      <c r="E87" s="267" t="n">
        <v>5.37</v>
      </c>
      <c r="F87" s="359" t="n">
        <v>1.26</v>
      </c>
      <c r="G87" s="268">
        <f>ROUND(E87*F87,2)</f>
        <v/>
      </c>
      <c r="H87" s="269">
        <f>G87/$G$97</f>
        <v/>
      </c>
      <c r="I87" s="268">
        <f>ROUND(F87*Прил.10!$D$12,2)</f>
        <v/>
      </c>
      <c r="J87" s="268">
        <f>ROUND(I87*E87,2)</f>
        <v/>
      </c>
    </row>
    <row r="88" hidden="1" outlineLevel="1" ht="25.5" customFormat="1" customHeight="1" s="255">
      <c r="A88" s="357" t="n">
        <v>71</v>
      </c>
      <c r="B88" s="265" t="inlineStr">
        <is>
          <t>91.06.03-061</t>
        </is>
      </c>
      <c r="C88" s="356" t="inlineStr">
        <is>
          <t>Лебедки электрические тяговым усилием до 12,26 кН (1,25 т)</t>
        </is>
      </c>
      <c r="D88" s="357" t="inlineStr">
        <is>
          <t>маш.час</t>
        </is>
      </c>
      <c r="E88" s="267" t="n">
        <v>1.76</v>
      </c>
      <c r="F88" s="359" t="n">
        <v>3.28</v>
      </c>
      <c r="G88" s="268">
        <f>ROUND(E88*F88,2)</f>
        <v/>
      </c>
      <c r="H88" s="269">
        <f>G88/$G$97</f>
        <v/>
      </c>
      <c r="I88" s="268">
        <f>ROUND(F88*Прил.10!$D$12,2)</f>
        <v/>
      </c>
      <c r="J88" s="268">
        <f>ROUND(I88*E88,2)</f>
        <v/>
      </c>
    </row>
    <row r="89" hidden="1" outlineLevel="1" ht="25.5" customFormat="1" customHeight="1" s="255">
      <c r="A89" s="357" t="n">
        <v>72</v>
      </c>
      <c r="B89" s="265" t="inlineStr">
        <is>
          <t>91.21.22-443</t>
        </is>
      </c>
      <c r="C89" s="356" t="inlineStr">
        <is>
          <t>Установки для изготовления бандажей, диафрагм, пряжек</t>
        </is>
      </c>
      <c r="D89" s="357" t="inlineStr">
        <is>
          <t>маш.час</t>
        </is>
      </c>
      <c r="E89" s="267" t="n">
        <v>2.52</v>
      </c>
      <c r="F89" s="359" t="n">
        <v>2.16</v>
      </c>
      <c r="G89" s="268">
        <f>ROUND(E89*F89,2)</f>
        <v/>
      </c>
      <c r="H89" s="269">
        <f>G89/$G$97</f>
        <v/>
      </c>
      <c r="I89" s="268">
        <f>ROUND(F89*Прил.10!$D$12,2)</f>
        <v/>
      </c>
      <c r="J89" s="268">
        <f>ROUND(I89*E89,2)</f>
        <v/>
      </c>
    </row>
    <row r="90" hidden="1" outlineLevel="1" ht="14.25" customFormat="1" customHeight="1" s="255">
      <c r="A90" s="357" t="n">
        <v>73</v>
      </c>
      <c r="B90" s="265" t="inlineStr">
        <is>
          <t>91.09.12-102</t>
        </is>
      </c>
      <c r="C90" s="356" t="inlineStr">
        <is>
          <t>Станки рельсосверлильные</t>
        </is>
      </c>
      <c r="D90" s="357" t="inlineStr">
        <is>
          <t>маш.час</t>
        </is>
      </c>
      <c r="E90" s="267" t="n">
        <v>0.92</v>
      </c>
      <c r="F90" s="359" t="n">
        <v>3</v>
      </c>
      <c r="G90" s="268">
        <f>ROUND(E90*F90,2)</f>
        <v/>
      </c>
      <c r="H90" s="269">
        <f>G90/$G$97</f>
        <v/>
      </c>
      <c r="I90" s="268">
        <f>ROUND(F90*Прил.10!$D$12,2)</f>
        <v/>
      </c>
      <c r="J90" s="268">
        <f>ROUND(I90*E90,2)</f>
        <v/>
      </c>
    </row>
    <row r="91" hidden="1" outlineLevel="1" ht="14.25" customFormat="1" customHeight="1" s="255">
      <c r="A91" s="357" t="n">
        <v>74</v>
      </c>
      <c r="B91" s="265" t="inlineStr">
        <is>
          <t>91.21.19-031</t>
        </is>
      </c>
      <c r="C91" s="356" t="inlineStr">
        <is>
          <t>Станки сверлильные</t>
        </is>
      </c>
      <c r="D91" s="357" t="inlineStr">
        <is>
          <t>маш.час</t>
        </is>
      </c>
      <c r="E91" s="267" t="n">
        <v>1.07</v>
      </c>
      <c r="F91" s="359" t="n">
        <v>2.36</v>
      </c>
      <c r="G91" s="268">
        <f>ROUND(E91*F91,2)</f>
        <v/>
      </c>
      <c r="H91" s="269">
        <f>G91/$G$97</f>
        <v/>
      </c>
      <c r="I91" s="268">
        <f>ROUND(F91*Прил.10!$D$12,2)</f>
        <v/>
      </c>
      <c r="J91" s="268">
        <f>ROUND(I91*E91,2)</f>
        <v/>
      </c>
    </row>
    <row r="92" hidden="1" outlineLevel="1" ht="14.25" customFormat="1" customHeight="1" s="255">
      <c r="A92" s="357" t="n">
        <v>75</v>
      </c>
      <c r="B92" s="265" t="inlineStr">
        <is>
          <t>91.09.12-101</t>
        </is>
      </c>
      <c r="C92" s="356" t="inlineStr">
        <is>
          <t>Станки рельсорезные</t>
        </is>
      </c>
      <c r="D92" s="357" t="inlineStr">
        <is>
          <t>маш.час</t>
        </is>
      </c>
      <c r="E92" s="267" t="n">
        <v>0.09</v>
      </c>
      <c r="F92" s="359" t="n">
        <v>20</v>
      </c>
      <c r="G92" s="268">
        <f>ROUND(E92*F92,2)</f>
        <v/>
      </c>
      <c r="H92" s="269">
        <f>G92/$G$97</f>
        <v/>
      </c>
      <c r="I92" s="268">
        <f>ROUND(F92*Прил.10!$D$12,2)</f>
        <v/>
      </c>
      <c r="J92" s="268">
        <f>ROUND(I92*E92,2)</f>
        <v/>
      </c>
    </row>
    <row r="93" hidden="1" outlineLevel="1" ht="25.5" customFormat="1" customHeight="1" s="255">
      <c r="A93" s="357" t="n">
        <v>76</v>
      </c>
      <c r="B93" s="265" t="inlineStr">
        <is>
          <t>91.03.19-092</t>
        </is>
      </c>
      <c r="C93" s="356" t="inlineStr">
        <is>
          <t>Сболчиватели пневматические (без сжатого воздуха)</t>
        </is>
      </c>
      <c r="D93" s="357" t="inlineStr">
        <is>
          <t>маш.час</t>
        </is>
      </c>
      <c r="E93" s="267" t="n">
        <v>0.76</v>
      </c>
      <c r="F93" s="359" t="n">
        <v>2.19</v>
      </c>
      <c r="G93" s="268">
        <f>ROUND(E93*F93,2)</f>
        <v/>
      </c>
      <c r="H93" s="269">
        <f>G93/$G$97</f>
        <v/>
      </c>
      <c r="I93" s="268">
        <f>ROUND(F93*Прил.10!$D$12,2)</f>
        <v/>
      </c>
      <c r="J93" s="268">
        <f>ROUND(I93*E93,2)</f>
        <v/>
      </c>
    </row>
    <row r="94" hidden="1" outlineLevel="1" ht="38.25" customFormat="1" customHeight="1" s="255">
      <c r="A94" s="357" t="n">
        <v>77</v>
      </c>
      <c r="B94" s="265" t="inlineStr">
        <is>
          <t>91.06.06-046</t>
        </is>
      </c>
      <c r="C94" s="356" t="inlineStr">
        <is>
          <t>Подъемники одномачтовые, грузоподъемность до 500 кг, высота подъема 25 м</t>
        </is>
      </c>
      <c r="D94" s="357" t="inlineStr">
        <is>
          <t>маш.час</t>
        </is>
      </c>
      <c r="E94" s="267" t="n">
        <v>0.01</v>
      </c>
      <c r="F94" s="359" t="n">
        <v>27.66</v>
      </c>
      <c r="G94" s="268">
        <f>ROUND(E94*F94,2)</f>
        <v/>
      </c>
      <c r="H94" s="269">
        <f>G94/$G$97</f>
        <v/>
      </c>
      <c r="I94" s="268">
        <f>ROUND(F94*Прил.10!$D$12,2)</f>
        <v/>
      </c>
      <c r="J94" s="268">
        <f>ROUND(I94*E94,2)</f>
        <v/>
      </c>
    </row>
    <row r="95" hidden="1" outlineLevel="1" ht="25.5" customFormat="1" customHeight="1" s="255">
      <c r="A95" s="357" t="n">
        <v>78</v>
      </c>
      <c r="B95" s="265" t="inlineStr">
        <is>
          <t>91.21.03-502</t>
        </is>
      </c>
      <c r="C95" s="356" t="inlineStr">
        <is>
          <t>Аппараты пескоструйные, объем до 19 л, расход воздуха 270-700 л/мин</t>
        </is>
      </c>
      <c r="D95" s="357" t="inlineStr">
        <is>
          <t>маш.час</t>
        </is>
      </c>
      <c r="E95" s="267" t="n">
        <v>0.07000000000000001</v>
      </c>
      <c r="F95" s="359" t="n">
        <v>0.14</v>
      </c>
      <c r="G95" s="268">
        <f>ROUND(E95*F95,2)</f>
        <v/>
      </c>
      <c r="H95" s="269">
        <f>G95/$G$97</f>
        <v/>
      </c>
      <c r="I95" s="268">
        <f>ROUND(F95*Прил.10!$D$12,2)</f>
        <v/>
      </c>
      <c r="J95" s="268">
        <f>ROUND(I95*E95,2)</f>
        <v/>
      </c>
    </row>
    <row r="96" collapsed="1" ht="14.25" customFormat="1" customHeight="1" s="255">
      <c r="A96" s="357" t="n"/>
      <c r="B96" s="357" t="n"/>
      <c r="C96" s="356" t="inlineStr">
        <is>
          <t>Итого прочие машины и механизмы</t>
        </is>
      </c>
      <c r="D96" s="357" t="n"/>
      <c r="E96" s="358" t="n"/>
      <c r="F96" s="268" t="n"/>
      <c r="G96" s="273">
        <f>SUM(G32:G95)</f>
        <v/>
      </c>
      <c r="H96" s="269">
        <f>G96/G97</f>
        <v/>
      </c>
      <c r="I96" s="268" t="n"/>
      <c r="J96" s="273">
        <f>SUM(J32:J95)</f>
        <v/>
      </c>
    </row>
    <row r="97" ht="25.5" customFormat="1" customHeight="1" s="255">
      <c r="A97" s="357" t="n"/>
      <c r="B97" s="357" t="n"/>
      <c r="C97" s="344" t="inlineStr">
        <is>
          <t>Итого по разделу «Машины и механизмы»</t>
        </is>
      </c>
      <c r="D97" s="357" t="n"/>
      <c r="E97" s="358" t="n"/>
      <c r="F97" s="268" t="n"/>
      <c r="G97" s="268">
        <f>G96+G31</f>
        <v/>
      </c>
      <c r="H97" s="275" t="n">
        <v>1</v>
      </c>
      <c r="I97" s="276" t="n"/>
      <c r="J97" s="277">
        <f>J96+J31</f>
        <v/>
      </c>
    </row>
    <row r="98" ht="14.25" customFormat="1" customHeight="1" s="255">
      <c r="A98" s="357" t="n"/>
      <c r="B98" s="344" t="inlineStr">
        <is>
          <t>Оборудование</t>
        </is>
      </c>
      <c r="C98" s="419" t="n"/>
      <c r="D98" s="419" t="n"/>
      <c r="E98" s="419" t="n"/>
      <c r="F98" s="419" t="n"/>
      <c r="G98" s="419" t="n"/>
      <c r="H98" s="420" t="n"/>
      <c r="I98" s="264" t="n"/>
      <c r="J98" s="264" t="n"/>
    </row>
    <row r="99">
      <c r="A99" s="357" t="n"/>
      <c r="B99" s="356" t="inlineStr">
        <is>
          <t>Основное оборудование</t>
        </is>
      </c>
      <c r="C99" s="419" t="n"/>
      <c r="D99" s="419" t="n"/>
      <c r="E99" s="419" t="n"/>
      <c r="F99" s="419" t="n"/>
      <c r="G99" s="419" t="n"/>
      <c r="H99" s="420" t="n"/>
      <c r="I99" s="264" t="n"/>
      <c r="J99" s="264" t="n"/>
    </row>
    <row r="100" ht="90.40000000000001" customHeight="1" s="248">
      <c r="A100" s="357" t="n">
        <v>79</v>
      </c>
      <c r="B100" s="265" t="inlineStr">
        <is>
          <t>Прайс из СД ОП</t>
        </is>
      </c>
      <c r="C100" s="356" t="inlineStr">
        <is>
          <t>Оборудование СОПТ в составе: Шкаф с преобразователем на подставке  ПНЗП-М-100-260-УХЛ4- 2 шт.; -Шкаф сввода, секционирования и распределения  ШВСР - 2 шт.; -Шкаф аккумуляторный с аккумуляторными батареями FIAM 12 FLB 400 (17 эл.) ШАБ-5  - 1 шт.</t>
        </is>
      </c>
      <c r="D100" s="357" t="inlineStr">
        <is>
          <t>комплект</t>
        </is>
      </c>
      <c r="E100" s="267" t="n">
        <v>1</v>
      </c>
      <c r="F100" s="268">
        <f>ROUND(I100/Прил.10!$D$14,2)</f>
        <v/>
      </c>
      <c r="G100" s="268">
        <f>ROUND(E100*F100,2)</f>
        <v/>
      </c>
      <c r="H100" s="269">
        <f>G100/$G$193</f>
        <v/>
      </c>
      <c r="I100" s="268" t="n">
        <v>8352858.41</v>
      </c>
      <c r="J100" s="268">
        <f>ROUND(I100*E100,2)</f>
        <v/>
      </c>
      <c r="M100" s="255" t="n"/>
      <c r="N100" s="255" t="n"/>
    </row>
    <row r="101" ht="25.9" customHeight="1" s="248">
      <c r="A101" s="357" t="n">
        <v>80</v>
      </c>
      <c r="B101" s="265" t="inlineStr">
        <is>
          <t>Прайс из СД ОП</t>
        </is>
      </c>
      <c r="C101" s="356" t="inlineStr">
        <is>
          <t>Щит собственных  нужд ЩСН-0,4кВ (в составе 5 шкафов)</t>
        </is>
      </c>
      <c r="D101" s="357" t="inlineStr">
        <is>
          <t>шт.</t>
        </is>
      </c>
      <c r="E101" s="267" t="n">
        <v>1</v>
      </c>
      <c r="F101" s="268">
        <f>ROUND(I101/Прил.10!$D$14,2)</f>
        <v/>
      </c>
      <c r="G101" s="268">
        <f>ROUND(E101*F101,2)</f>
        <v/>
      </c>
      <c r="H101" s="269">
        <f>G101/$G$193</f>
        <v/>
      </c>
      <c r="I101" s="268" t="n">
        <v>3017378.53</v>
      </c>
      <c r="J101" s="268">
        <f>ROUND(I101*E101,2)</f>
        <v/>
      </c>
      <c r="M101" s="255" t="n"/>
      <c r="N101" s="255" t="n"/>
    </row>
    <row r="102" ht="25.9" customHeight="1" s="248">
      <c r="A102" s="357" t="n">
        <v>81</v>
      </c>
      <c r="B102" s="265" t="inlineStr">
        <is>
          <t>Прайс из СД ОП</t>
        </is>
      </c>
      <c r="C102" s="356" t="inlineStr">
        <is>
          <t xml:space="preserve">Газоанализатор стационарный  ИГАС IR-SF6 </t>
        </is>
      </c>
      <c r="D102" s="357" t="inlineStr">
        <is>
          <t>шт.</t>
        </is>
      </c>
      <c r="E102" s="267" t="n">
        <v>13</v>
      </c>
      <c r="F102" s="268" t="n">
        <v>23364.49</v>
      </c>
      <c r="G102" s="268">
        <f>ROUND(E102*F102,2)</f>
        <v/>
      </c>
      <c r="H102" s="269">
        <f>G102/$G$193</f>
        <v/>
      </c>
      <c r="I102" s="268">
        <f>ROUND(F102*Прил.10!$D$14,2)</f>
        <v/>
      </c>
      <c r="J102" s="268">
        <f>ROUND(I102*E102,2)</f>
        <v/>
      </c>
      <c r="M102" s="255" t="n"/>
      <c r="N102" s="255" t="n"/>
    </row>
    <row r="103" ht="38.85" customHeight="1" s="248">
      <c r="A103" s="357" t="n">
        <v>82</v>
      </c>
      <c r="B103" s="265" t="inlineStr">
        <is>
          <t>Прайс из СД ОП</t>
        </is>
      </c>
      <c r="C103" s="356" t="inlineStr">
        <is>
          <t>Светодиодный светильник, 60 Bm, 220 В, АС, IP65, настенное крепление ВЭЛАН 31-СД.Л.60-Н1-220АС УХЛ1</t>
        </is>
      </c>
      <c r="D103" s="357" t="inlineStr">
        <is>
          <t>шт.</t>
        </is>
      </c>
      <c r="E103" s="267" t="n">
        <v>46</v>
      </c>
      <c r="F103" s="268" t="n">
        <v>6535.05</v>
      </c>
      <c r="G103" s="268">
        <f>ROUND(E103*F103,2)</f>
        <v/>
      </c>
      <c r="H103" s="269">
        <f>G103/$G$193</f>
        <v/>
      </c>
      <c r="I103" s="268">
        <f>ROUND(F103*Прил.10!$D$14,2)</f>
        <v/>
      </c>
      <c r="J103" s="268">
        <f>ROUND(I103*E103,2)</f>
        <v/>
      </c>
      <c r="M103" s="255" t="n"/>
      <c r="N103" s="255" t="n"/>
    </row>
    <row r="104" ht="38.85" customHeight="1" s="248">
      <c r="A104" s="357" t="n">
        <v>83</v>
      </c>
      <c r="B104" s="265" t="inlineStr">
        <is>
          <t>Прайс из СД ОП</t>
        </is>
      </c>
      <c r="C104" s="356" t="inlineStr">
        <is>
          <t>Светодиодный прожектор, 80 Bm, 220 В,  IP65,на скобе  ВЭЛАН 73-СД.Л.80-30-С-220-АС УХЛ1</t>
        </is>
      </c>
      <c r="D104" s="357" t="inlineStr">
        <is>
          <t>шт.</t>
        </is>
      </c>
      <c r="E104" s="267" t="n">
        <v>20</v>
      </c>
      <c r="F104" s="268" t="n">
        <v>13957.94</v>
      </c>
      <c r="G104" s="268">
        <f>ROUND(E104*F104,2)</f>
        <v/>
      </c>
      <c r="H104" s="269">
        <f>G104/$G$193</f>
        <v/>
      </c>
      <c r="I104" s="268">
        <f>ROUND(F104*Прил.10!$D$14,2)</f>
        <v/>
      </c>
      <c r="J104" s="268">
        <f>ROUND(I104*E104,2)</f>
        <v/>
      </c>
      <c r="M104" s="255" t="n"/>
      <c r="N104" s="255" t="n"/>
    </row>
    <row r="105" ht="38.85" customHeight="1" s="248">
      <c r="A105" s="357" t="n">
        <v>84</v>
      </c>
      <c r="B105" s="265" t="inlineStr">
        <is>
          <t>Прайс из СД ОП</t>
        </is>
      </c>
      <c r="C105" s="356" t="inlineStr">
        <is>
          <t>Светодиодный указатель "Выход" со встроенным аккумулятором, 220 В, IP65 ВЭЛ-Т-Н-"Выход"-3/Б-(220АС)А-14-УХЛ1</t>
        </is>
      </c>
      <c r="D105" s="357" t="inlineStr">
        <is>
          <t>шт.</t>
        </is>
      </c>
      <c r="E105" s="267" t="n">
        <v>37</v>
      </c>
      <c r="F105" s="268" t="n">
        <v>5011.68</v>
      </c>
      <c r="G105" s="268">
        <f>ROUND(E105*F105,2)</f>
        <v/>
      </c>
      <c r="H105" s="269">
        <f>G105/$G$193</f>
        <v/>
      </c>
      <c r="I105" s="268">
        <f>ROUND(F105*Прил.10!$D$14,2)</f>
        <v/>
      </c>
      <c r="J105" s="268">
        <f>ROUND(I105*E105,2)</f>
        <v/>
      </c>
      <c r="M105" s="255" t="n"/>
      <c r="N105" s="255" t="n"/>
    </row>
    <row r="106" ht="25.9" customHeight="1" s="248">
      <c r="A106" s="357" t="n">
        <v>85</v>
      </c>
      <c r="B106" s="265" t="inlineStr">
        <is>
          <t>Прайс из СД ОП</t>
        </is>
      </c>
      <c r="C106" s="356" t="inlineStr">
        <is>
          <t xml:space="preserve">Комплект автоматики ТПА-КС по бланк-заказу №В-9932135 </t>
        </is>
      </c>
      <c r="D106" s="357" t="inlineStr">
        <is>
          <t>к-т</t>
        </is>
      </c>
      <c r="E106" s="267" t="n">
        <v>2</v>
      </c>
      <c r="F106" s="268" t="n">
        <v>82287.72</v>
      </c>
      <c r="G106" s="268">
        <f>ROUND(E106*F106,2)</f>
        <v/>
      </c>
      <c r="H106" s="269">
        <f>G106/$G$193</f>
        <v/>
      </c>
      <c r="I106" s="268">
        <f>ROUND(F106*Прил.10!$D$14,2)</f>
        <v/>
      </c>
      <c r="J106" s="268">
        <f>ROUND(I106*E106,2)</f>
        <v/>
      </c>
      <c r="M106" s="255" t="n"/>
      <c r="N106" s="255" t="n"/>
    </row>
    <row r="107" ht="25.9" customHeight="1" s="248">
      <c r="A107" s="357" t="n">
        <v>86</v>
      </c>
      <c r="B107" s="265" t="inlineStr">
        <is>
          <t>Прайс из СД ОП</t>
        </is>
      </c>
      <c r="C107" s="356" t="inlineStr">
        <is>
          <t xml:space="preserve">Насосная установка для пожаротушения GRUNDFOS Hydro MX 1/1 2CR 45-1 </t>
        </is>
      </c>
      <c r="D107" s="357" t="inlineStr">
        <is>
          <t>К-Т</t>
        </is>
      </c>
      <c r="E107" s="267" t="n">
        <v>1</v>
      </c>
      <c r="F107" s="268" t="n">
        <v>148806.43</v>
      </c>
      <c r="G107" s="268">
        <f>ROUND(E107*F107,2)</f>
        <v/>
      </c>
      <c r="H107" s="269">
        <f>G107/$G$193</f>
        <v/>
      </c>
      <c r="I107" s="268">
        <f>ROUND(F107*Прил.10!$D$14,2)</f>
        <v/>
      </c>
      <c r="J107" s="268">
        <f>ROUND(I107*E107,2)</f>
        <v/>
      </c>
      <c r="M107" s="255" t="n"/>
      <c r="N107" s="255" t="n"/>
    </row>
    <row r="108" ht="38.85" customHeight="1" s="248">
      <c r="A108" s="357" t="n">
        <v>87</v>
      </c>
      <c r="B108" s="265" t="inlineStr">
        <is>
          <t>Прайс из СД ОП</t>
        </is>
      </c>
      <c r="C108" s="356" t="inlineStr">
        <is>
          <t>Светодиодный светильник, 36 Bm, 220 В, IP65, настенное крепление ВЭЛ 51-СД.Л-2х18Н У1</t>
        </is>
      </c>
      <c r="D108" s="357" t="inlineStr">
        <is>
          <t>шт.</t>
        </is>
      </c>
      <c r="E108" s="267" t="n">
        <v>27</v>
      </c>
      <c r="F108" s="268" t="n">
        <v>4439.25</v>
      </c>
      <c r="G108" s="268">
        <f>ROUND(E108*F108,2)</f>
        <v/>
      </c>
      <c r="H108" s="269">
        <f>G108/$G$193</f>
        <v/>
      </c>
      <c r="I108" s="268">
        <f>ROUND(F108*Прил.10!$D$14,2)</f>
        <v/>
      </c>
      <c r="J108" s="268">
        <f>ROUND(I108*E108,2)</f>
        <v/>
      </c>
      <c r="M108" s="255" t="n"/>
      <c r="N108" s="255" t="n"/>
    </row>
    <row r="109" ht="38.85" customHeight="1" s="248">
      <c r="A109" s="357" t="n">
        <v>88</v>
      </c>
      <c r="B109" s="265" t="inlineStr">
        <is>
          <t>Прайс из СД ОП</t>
        </is>
      </c>
      <c r="C109" s="356" t="inlineStr">
        <is>
          <t>Светодиодный светильник, 18 Bm, 220 В, IP65, настенное крепление ВЭЛ 51-СД.Л-1х18Н У1</t>
        </is>
      </c>
      <c r="D109" s="357" t="inlineStr">
        <is>
          <t>шт.</t>
        </is>
      </c>
      <c r="E109" s="267" t="n">
        <v>40</v>
      </c>
      <c r="F109" s="268" t="n">
        <v>2789.72</v>
      </c>
      <c r="G109" s="268">
        <f>ROUND(E109*F109,2)</f>
        <v/>
      </c>
      <c r="H109" s="269">
        <f>G109/$G$193</f>
        <v/>
      </c>
      <c r="I109" s="268">
        <f>ROUND(F109*Прил.10!$D$14,2)</f>
        <v/>
      </c>
      <c r="J109" s="268">
        <f>ROUND(I109*E109,2)</f>
        <v/>
      </c>
      <c r="M109" s="255" t="n"/>
      <c r="N109" s="255" t="n"/>
    </row>
    <row r="110" ht="25.9" customHeight="1" s="248">
      <c r="A110" s="357" t="n">
        <v>89</v>
      </c>
      <c r="B110" s="265" t="inlineStr">
        <is>
          <t>Прайс из СД ОП</t>
        </is>
      </c>
      <c r="C110" s="356" t="inlineStr">
        <is>
          <t xml:space="preserve">Комплект автоматики ТПА-КС по бланк-заказу №КС-9930506 </t>
        </is>
      </c>
      <c r="D110" s="357" t="inlineStr">
        <is>
          <t>к-т</t>
        </is>
      </c>
      <c r="E110" s="267" t="n">
        <v>2</v>
      </c>
      <c r="F110" s="268" t="n">
        <v>52052.21</v>
      </c>
      <c r="G110" s="268">
        <f>ROUND(E110*F110,2)</f>
        <v/>
      </c>
      <c r="H110" s="269">
        <f>G110/$G$193</f>
        <v/>
      </c>
      <c r="I110" s="268">
        <f>ROUND(F110*Прил.10!$D$14,2)</f>
        <v/>
      </c>
      <c r="J110" s="268">
        <f>ROUND(I110*E110,2)</f>
        <v/>
      </c>
      <c r="M110" s="255" t="n"/>
      <c r="N110" s="255" t="n"/>
    </row>
    <row r="111" ht="38.85" customHeight="1" s="248">
      <c r="A111" s="357" t="n">
        <v>90</v>
      </c>
      <c r="B111" s="265" t="inlineStr">
        <is>
          <t>Прайс из СД ОП</t>
        </is>
      </c>
      <c r="C111" s="356" t="inlineStr">
        <is>
          <t>Кран мостовой электрический однобалочный подвесной двухпролетный 3,2тн, Lп-24м</t>
        </is>
      </c>
      <c r="D111" s="357" t="inlineStr">
        <is>
          <t>шт</t>
        </is>
      </c>
      <c r="E111" s="267" t="n">
        <v>1</v>
      </c>
      <c r="F111" s="268" t="n">
        <v>100624.7</v>
      </c>
      <c r="G111" s="268">
        <f>ROUND(E111*F111,2)</f>
        <v/>
      </c>
      <c r="H111" s="269">
        <f>G111/$G$193</f>
        <v/>
      </c>
      <c r="I111" s="268">
        <f>ROUND(F111*Прил.10!$D$14,2)</f>
        <v/>
      </c>
      <c r="J111" s="268">
        <f>ROUND(I111*E111,2)</f>
        <v/>
      </c>
      <c r="M111" s="255" t="n"/>
      <c r="N111" s="255" t="n"/>
    </row>
    <row r="112">
      <c r="A112" s="357" t="n">
        <v>91</v>
      </c>
      <c r="B112" s="265" t="inlineStr">
        <is>
          <t>Прайс из СД ОП</t>
        </is>
      </c>
      <c r="C112" s="356" t="inlineStr">
        <is>
          <t>Таль электрическая 3,2тн, H-18м</t>
        </is>
      </c>
      <c r="D112" s="357" t="inlineStr">
        <is>
          <t>шт</t>
        </is>
      </c>
      <c r="E112" s="267" t="n">
        <v>2</v>
      </c>
      <c r="F112" s="268" t="n">
        <v>49202.04</v>
      </c>
      <c r="G112" s="268">
        <f>ROUND(E112*F112,2)</f>
        <v/>
      </c>
      <c r="H112" s="269">
        <f>G112/$G$193</f>
        <v/>
      </c>
      <c r="I112" s="268">
        <f>ROUND(F112*Прил.10!$D$14,2)</f>
        <v/>
      </c>
      <c r="J112" s="268">
        <f>ROUND(I112*E112,2)</f>
        <v/>
      </c>
      <c r="M112" s="255" t="n"/>
      <c r="N112" s="255" t="n"/>
    </row>
    <row r="113" ht="25.9" customHeight="1" s="248">
      <c r="A113" s="357" t="n">
        <v>92</v>
      </c>
      <c r="B113" s="265" t="inlineStr">
        <is>
          <t>Прайс из СД ОП</t>
        </is>
      </c>
      <c r="C113" s="356" t="inlineStr">
        <is>
          <t xml:space="preserve">Сплит-система PKA-RP35HAL/PUHZ-ZRP35VKA </t>
        </is>
      </c>
      <c r="D113" s="357" t="inlineStr">
        <is>
          <t>шт.</t>
        </is>
      </c>
      <c r="E113" s="267" t="n">
        <v>2</v>
      </c>
      <c r="F113" s="268" t="n">
        <v>41838.73</v>
      </c>
      <c r="G113" s="268">
        <f>ROUND(E113*F113,2)</f>
        <v/>
      </c>
      <c r="H113" s="269">
        <f>G113/$G$193</f>
        <v/>
      </c>
      <c r="I113" s="268">
        <f>ROUND(F113*Прил.10!$D$14,2)</f>
        <v/>
      </c>
      <c r="J113" s="268">
        <f>ROUND(I113*E113,2)</f>
        <v/>
      </c>
      <c r="M113" s="255" t="n"/>
      <c r="N113" s="255" t="n"/>
    </row>
    <row r="114" ht="25.9" customHeight="1" s="248">
      <c r="A114" s="357" t="n">
        <v>93</v>
      </c>
      <c r="B114" s="265" t="inlineStr">
        <is>
          <t>Прайс из СД ОП</t>
        </is>
      </c>
      <c r="C114" s="356" t="inlineStr">
        <is>
          <t>Сплит-система PKA-RP60HAL/PUHZ-ZRP35VНA</t>
        </is>
      </c>
      <c r="D114" s="357" t="inlineStr">
        <is>
          <t>шт.</t>
        </is>
      </c>
      <c r="E114" s="267" t="n">
        <v>2</v>
      </c>
      <c r="F114" s="268" t="n">
        <v>41838.73</v>
      </c>
      <c r="G114" s="268">
        <f>ROUND(E114*F114,2)</f>
        <v/>
      </c>
      <c r="H114" s="269">
        <f>G114/$G$193</f>
        <v/>
      </c>
      <c r="I114" s="268">
        <f>ROUND(F114*Прил.10!$D$14,2)</f>
        <v/>
      </c>
      <c r="J114" s="268">
        <f>ROUND(I114*E114,2)</f>
        <v/>
      </c>
      <c r="M114" s="255" t="n"/>
      <c r="N114" s="255" t="n"/>
    </row>
    <row r="115" ht="25.9" customHeight="1" s="248">
      <c r="A115" s="357" t="n">
        <v>94</v>
      </c>
      <c r="B115" s="265" t="inlineStr">
        <is>
          <t>Прайс из СД ОП</t>
        </is>
      </c>
      <c r="C115" s="356" t="inlineStr">
        <is>
          <t>Кран мостовой электрический однобалочный подвесной 3,2тн L-8м</t>
        </is>
      </c>
      <c r="D115" s="357" t="inlineStr">
        <is>
          <t>шт</t>
        </is>
      </c>
      <c r="E115" s="267" t="n">
        <v>2</v>
      </c>
      <c r="F115" s="268" t="n">
        <v>41804.61</v>
      </c>
      <c r="G115" s="268">
        <f>ROUND(E115*F115,2)</f>
        <v/>
      </c>
      <c r="H115" s="269">
        <f>G115/$G$193</f>
        <v/>
      </c>
      <c r="I115" s="268">
        <f>ROUND(F115*Прил.10!$D$14,2)</f>
        <v/>
      </c>
      <c r="J115" s="268">
        <f>ROUND(I115*E115,2)</f>
        <v/>
      </c>
      <c r="M115" s="255" t="n"/>
      <c r="N115" s="255" t="n"/>
    </row>
    <row r="116" ht="38.85" customHeight="1" s="248">
      <c r="A116" s="357" t="n">
        <v>95</v>
      </c>
      <c r="B116" s="265" t="inlineStr">
        <is>
          <t>Прайс из СД ОП</t>
        </is>
      </c>
      <c r="C116" s="356" t="inlineStr">
        <is>
          <t>Светодиодный светильник, 40 Bm, 220 В, АС, IP65, настенное крепление ВЭЛАН 31-СД.Л.40-Н1-220АС УХЛ1</t>
        </is>
      </c>
      <c r="D116" s="357" t="inlineStr">
        <is>
          <t>шт.</t>
        </is>
      </c>
      <c r="E116" s="267" t="n">
        <v>12</v>
      </c>
      <c r="F116" s="268" t="n">
        <v>6011.68</v>
      </c>
      <c r="G116" s="268">
        <f>ROUND(E116*F116,2)</f>
        <v/>
      </c>
      <c r="H116" s="269">
        <f>G116/$G$193</f>
        <v/>
      </c>
      <c r="I116" s="268">
        <f>ROUND(F116*Прил.10!$D$14,2)</f>
        <v/>
      </c>
      <c r="J116" s="268">
        <f>ROUND(I116*E116,2)</f>
        <v/>
      </c>
      <c r="M116" s="255" t="n"/>
      <c r="N116" s="255" t="n"/>
    </row>
    <row r="117" ht="25.9" customHeight="1" s="248">
      <c r="A117" s="357" t="n">
        <v>96</v>
      </c>
      <c r="B117" s="265" t="inlineStr">
        <is>
          <t>Прайс из СД ОП</t>
        </is>
      </c>
      <c r="C117" s="356" t="inlineStr">
        <is>
          <t xml:space="preserve">Комплект автоматики ТПА-КС по бланк-заказу №В-9930598 </t>
        </is>
      </c>
      <c r="D117" s="357" t="inlineStr">
        <is>
          <t>к-т</t>
        </is>
      </c>
      <c r="E117" s="267" t="n">
        <v>1</v>
      </c>
      <c r="F117" s="268" t="n">
        <v>68321.88</v>
      </c>
      <c r="G117" s="268">
        <f>ROUND(E117*F117,2)</f>
        <v/>
      </c>
      <c r="H117" s="269">
        <f>G117/$G$193</f>
        <v/>
      </c>
      <c r="I117" s="268">
        <f>ROUND(F117*Прил.10!$D$14,2)</f>
        <v/>
      </c>
      <c r="J117" s="268">
        <f>ROUND(I117*E117,2)</f>
        <v/>
      </c>
      <c r="M117" s="255" t="n"/>
      <c r="N117" s="255" t="n"/>
    </row>
    <row r="118" ht="25.9" customHeight="1" s="248">
      <c r="A118" s="357" t="n">
        <v>97</v>
      </c>
      <c r="B118" s="265" t="inlineStr">
        <is>
          <t>Прайс из СД ОП</t>
        </is>
      </c>
      <c r="C118" s="356" t="inlineStr">
        <is>
          <t xml:space="preserve">Сплит-система PKA-RP100KAL/PU-P100YHAR3 </t>
        </is>
      </c>
      <c r="D118" s="357" t="inlineStr">
        <is>
          <t>шт.</t>
        </is>
      </c>
      <c r="E118" s="267" t="n">
        <v>2</v>
      </c>
      <c r="F118" s="268" t="n">
        <v>32996.99</v>
      </c>
      <c r="G118" s="268">
        <f>ROUND(E118*F118,2)</f>
        <v/>
      </c>
      <c r="H118" s="269">
        <f>G118/$G$193</f>
        <v/>
      </c>
      <c r="I118" s="268">
        <f>ROUND(F118*Прил.10!$D$14,2)</f>
        <v/>
      </c>
      <c r="J118" s="268">
        <f>ROUND(I118*E118,2)</f>
        <v/>
      </c>
      <c r="M118" s="255" t="n"/>
      <c r="N118" s="255" t="n"/>
    </row>
    <row r="119">
      <c r="A119" s="357" t="n">
        <v>98</v>
      </c>
      <c r="B119" s="265" t="inlineStr">
        <is>
          <t>Прайс из СД ОП</t>
        </is>
      </c>
      <c r="C119" s="356" t="inlineStr">
        <is>
          <t>Шкаф аварийного освещения</t>
        </is>
      </c>
      <c r="D119" s="357" t="inlineStr">
        <is>
          <t>1 шт.</t>
        </is>
      </c>
      <c r="E119" s="267" t="n">
        <v>1</v>
      </c>
      <c r="F119" s="268" t="n">
        <v>65852.8</v>
      </c>
      <c r="G119" s="268">
        <f>ROUND(E119*F119,2)</f>
        <v/>
      </c>
      <c r="H119" s="269">
        <f>G119/$G$193</f>
        <v/>
      </c>
      <c r="I119" s="268">
        <f>ROUND(F119*Прил.10!$D$14,2)</f>
        <v/>
      </c>
      <c r="J119" s="268">
        <f>ROUND(I119*E119,2)</f>
        <v/>
      </c>
      <c r="M119" s="255" t="n"/>
      <c r="N119" s="255" t="n"/>
    </row>
    <row r="120">
      <c r="A120" s="357" t="n">
        <v>99</v>
      </c>
      <c r="B120" s="265" t="inlineStr">
        <is>
          <t>Прайс из СД ОП</t>
        </is>
      </c>
      <c r="C120" s="356" t="inlineStr">
        <is>
          <t>Шкаф аварийного освещения</t>
        </is>
      </c>
      <c r="D120" s="357" t="inlineStr">
        <is>
          <t>1 шт.</t>
        </is>
      </c>
      <c r="E120" s="267" t="n">
        <v>1</v>
      </c>
      <c r="F120" s="268" t="n">
        <v>62815.42</v>
      </c>
      <c r="G120" s="268">
        <f>ROUND(E120*F120,2)</f>
        <v/>
      </c>
      <c r="H120" s="269">
        <f>G120/$G$193</f>
        <v/>
      </c>
      <c r="I120" s="268">
        <f>ROUND(F120*Прил.10!$D$14,2)</f>
        <v/>
      </c>
      <c r="J120" s="268">
        <f>ROUND(I120*E120,2)</f>
        <v/>
      </c>
      <c r="M120" s="255" t="n"/>
      <c r="N120" s="255" t="n"/>
    </row>
    <row r="121" ht="25.9" customHeight="1" s="248">
      <c r="A121" s="357" t="n">
        <v>100</v>
      </c>
      <c r="B121" s="265" t="inlineStr">
        <is>
          <t>Прайс из СД ОП</t>
        </is>
      </c>
      <c r="C121" s="356" t="inlineStr">
        <is>
          <t xml:space="preserve">Комплект автоматики ТПА-КС по бланк-заказу №В-9932136 </t>
        </is>
      </c>
      <c r="D121" s="357" t="inlineStr">
        <is>
          <t>к-т</t>
        </is>
      </c>
      <c r="E121" s="267" t="n">
        <v>1</v>
      </c>
      <c r="F121" s="268" t="n">
        <v>57002.37</v>
      </c>
      <c r="G121" s="268">
        <f>ROUND(E121*F121,2)</f>
        <v/>
      </c>
      <c r="H121" s="269">
        <f>G121/$G$193</f>
        <v/>
      </c>
      <c r="I121" s="268">
        <f>ROUND(F121*Прил.10!$D$14,2)</f>
        <v/>
      </c>
      <c r="J121" s="268">
        <f>ROUND(I121*E121,2)</f>
        <v/>
      </c>
      <c r="M121" s="255" t="n"/>
      <c r="N121" s="255" t="n"/>
    </row>
    <row r="122" ht="38.85" customHeight="1" s="248">
      <c r="A122" s="357" t="n">
        <v>101</v>
      </c>
      <c r="B122" s="265" t="inlineStr">
        <is>
          <t>Прайс из СД ОП</t>
        </is>
      </c>
      <c r="C122" s="356" t="inlineStr">
        <is>
          <t>Светодиодный светильник встраиваемый, 35 Bm, 220 В,  IP20, УХЛ4 OPL/R ECO LED 595 4000K</t>
        </is>
      </c>
      <c r="D122" s="357" t="inlineStr">
        <is>
          <t>шт.</t>
        </is>
      </c>
      <c r="E122" s="267" t="n">
        <v>39</v>
      </c>
      <c r="F122" s="268" t="n">
        <v>1359.1</v>
      </c>
      <c r="G122" s="268">
        <f>ROUND(E122*F122,2)</f>
        <v/>
      </c>
      <c r="H122" s="269">
        <f>G122/$G$193</f>
        <v/>
      </c>
      <c r="I122" s="268">
        <f>ROUND(F122*Прил.10!$D$14,2)</f>
        <v/>
      </c>
      <c r="J122" s="268">
        <f>ROUND(I122*E122,2)</f>
        <v/>
      </c>
      <c r="M122" s="255" t="n"/>
      <c r="N122" s="255" t="n"/>
    </row>
    <row r="123" ht="38.85" customHeight="1" s="248">
      <c r="A123" s="357" t="n">
        <v>102</v>
      </c>
      <c r="B123" s="265" t="inlineStr">
        <is>
          <t>Прайс из СД ОП</t>
        </is>
      </c>
      <c r="C123" s="356" t="inlineStr">
        <is>
          <t>Светодиодный светильник, 20 Bm, 220 В, АС, IP65, настенное крепление ВЭЛАН 31-СД.Л.20-Н1-220АС УХЛ1</t>
        </is>
      </c>
      <c r="D123" s="357" t="inlineStr">
        <is>
          <t>шт.</t>
        </is>
      </c>
      <c r="E123" s="267" t="n">
        <v>8</v>
      </c>
      <c r="F123" s="268" t="n">
        <v>5836.45</v>
      </c>
      <c r="G123" s="268">
        <f>ROUND(E123*F123,2)</f>
        <v/>
      </c>
      <c r="H123" s="269">
        <f>G123/$G$193</f>
        <v/>
      </c>
      <c r="I123" s="268">
        <f>ROUND(F123*Прил.10!$D$14,2)</f>
        <v/>
      </c>
      <c r="J123" s="268">
        <f>ROUND(I123*E123,2)</f>
        <v/>
      </c>
      <c r="M123" s="255" t="n"/>
      <c r="N123" s="255" t="n"/>
    </row>
    <row r="124" ht="25.9" customHeight="1" s="248">
      <c r="A124" s="357" t="n">
        <v>103</v>
      </c>
      <c r="B124" s="265" t="inlineStr">
        <is>
          <t>Прайс из СД ОП</t>
        </is>
      </c>
      <c r="C124" s="356" t="inlineStr">
        <is>
          <t xml:space="preserve">Вентилятор ВРАН9-100-Т80-Н-00700/8-У2-1-ПО-0 </t>
        </is>
      </c>
      <c r="D124" s="357" t="inlineStr">
        <is>
          <t>шт.</t>
        </is>
      </c>
      <c r="E124" s="267" t="n">
        <v>2</v>
      </c>
      <c r="F124" s="268" t="n">
        <v>22430.3</v>
      </c>
      <c r="G124" s="268">
        <f>ROUND(E124*F124,2)</f>
        <v/>
      </c>
      <c r="H124" s="269">
        <f>G124/$G$193</f>
        <v/>
      </c>
      <c r="I124" s="268">
        <f>ROUND(F124*Прил.10!$D$14,2)</f>
        <v/>
      </c>
      <c r="J124" s="268">
        <f>ROUND(I124*E124,2)</f>
        <v/>
      </c>
      <c r="M124" s="255" t="n"/>
      <c r="N124" s="255" t="n"/>
    </row>
    <row r="125">
      <c r="A125" s="357" t="n"/>
      <c r="B125" s="357" t="n"/>
      <c r="C125" s="356" t="inlineStr">
        <is>
          <t>Итого основное оборудование</t>
        </is>
      </c>
      <c r="D125" s="357" t="n"/>
      <c r="E125" s="267" t="n"/>
      <c r="F125" s="359" t="n"/>
      <c r="G125" s="268">
        <f>SUM(G100:G124)</f>
        <v/>
      </c>
      <c r="H125" s="360">
        <f>SUM(H100:H124)</f>
        <v/>
      </c>
      <c r="I125" s="273" t="n"/>
      <c r="J125" s="268">
        <f>SUM(J100:J124)</f>
        <v/>
      </c>
    </row>
    <row r="126" hidden="1" outlineLevel="1" ht="25.9" customHeight="1" s="248">
      <c r="A126" s="357" t="n">
        <v>104</v>
      </c>
      <c r="B126" s="265" t="inlineStr">
        <is>
          <t>Прайс из СД ОП</t>
        </is>
      </c>
      <c r="C126" s="356" t="inlineStr">
        <is>
          <t xml:space="preserve">Вентилятор ВРАН9-100-Т80-Н-01500/6-У2-1-ПО-0 </t>
        </is>
      </c>
      <c r="D126" s="357" t="inlineStr">
        <is>
          <t>шт.</t>
        </is>
      </c>
      <c r="E126" s="267" t="n">
        <v>2</v>
      </c>
      <c r="F126" s="268" t="n">
        <v>22124.98</v>
      </c>
      <c r="G126" s="268">
        <f>ROUND(E126*F126,2)</f>
        <v/>
      </c>
      <c r="H126" s="269">
        <f>G126/$G$193</f>
        <v/>
      </c>
      <c r="I126" s="268">
        <f>ROUND(F126*Прил.10!$D$14,2)</f>
        <v/>
      </c>
      <c r="J126" s="268">
        <f>ROUND(I126*E126,2)</f>
        <v/>
      </c>
      <c r="M126" s="255" t="n"/>
      <c r="N126" s="255" t="n"/>
    </row>
    <row r="127" hidden="1" outlineLevel="1" ht="25.9" customHeight="1" s="248">
      <c r="A127" s="357" t="n">
        <v>105</v>
      </c>
      <c r="B127" s="265" t="inlineStr">
        <is>
          <t>Прайс из СД ОП</t>
        </is>
      </c>
      <c r="C127" s="356" t="inlineStr">
        <is>
          <t xml:space="preserve">Вентилятор ВРАН9-100-Т80-Н-01500/6-У2-1-ПО-0 </t>
        </is>
      </c>
      <c r="D127" s="357" t="inlineStr">
        <is>
          <t>шт.</t>
        </is>
      </c>
      <c r="E127" s="267" t="n">
        <v>2</v>
      </c>
      <c r="F127" s="268" t="n">
        <v>22124.98</v>
      </c>
      <c r="G127" s="268">
        <f>ROUND(E127*F127,2)</f>
        <v/>
      </c>
      <c r="H127" s="269">
        <f>G127/$G$193</f>
        <v/>
      </c>
      <c r="I127" s="268">
        <f>ROUND(F127*Прил.10!$D$14,2)</f>
        <v/>
      </c>
      <c r="J127" s="268">
        <f>ROUND(I127*E127,2)</f>
        <v/>
      </c>
      <c r="M127" s="255" t="n"/>
      <c r="N127" s="255" t="n"/>
    </row>
    <row r="128" hidden="1" outlineLevel="1" ht="25.9" customHeight="1" s="248">
      <c r="A128" s="357" t="n">
        <v>106</v>
      </c>
      <c r="B128" s="265" t="inlineStr">
        <is>
          <t>Прайс из СД ОП</t>
        </is>
      </c>
      <c r="C128" s="356" t="inlineStr">
        <is>
          <t xml:space="preserve">Вентилятор осевой ОСА 301-063/А-45-Н-00037/04-У2-01 </t>
        </is>
      </c>
      <c r="D128" s="357" t="inlineStr">
        <is>
          <t>шт.</t>
        </is>
      </c>
      <c r="E128" s="267" t="n">
        <v>6</v>
      </c>
      <c r="F128" s="268" t="n">
        <v>6329.99</v>
      </c>
      <c r="G128" s="268">
        <f>ROUND(E128*F128,2)</f>
        <v/>
      </c>
      <c r="H128" s="269">
        <f>G128/$G$193</f>
        <v/>
      </c>
      <c r="I128" s="268">
        <f>ROUND(F128*Прил.10!$D$14,2)</f>
        <v/>
      </c>
      <c r="J128" s="268">
        <f>ROUND(I128*E128,2)</f>
        <v/>
      </c>
      <c r="M128" s="255" t="n"/>
      <c r="N128" s="255" t="n"/>
    </row>
    <row r="129" hidden="1" outlineLevel="1" ht="25.9" customHeight="1" s="248">
      <c r="A129" s="357" t="n">
        <v>107</v>
      </c>
      <c r="B129" s="265" t="inlineStr">
        <is>
          <t>Прайс из СД ОП</t>
        </is>
      </c>
      <c r="C129" s="356" t="inlineStr">
        <is>
          <t xml:space="preserve">Комплект автоматики ТПА-КС по бланк-заказу №9932188 </t>
        </is>
      </c>
      <c r="D129" s="357" t="inlineStr">
        <is>
          <t>к-т</t>
        </is>
      </c>
      <c r="E129" s="267" t="n">
        <v>1</v>
      </c>
      <c r="F129" s="268" t="n">
        <v>31235.16</v>
      </c>
      <c r="G129" s="268">
        <f>ROUND(E129*F129,2)</f>
        <v/>
      </c>
      <c r="H129" s="269">
        <f>G129/$G$193</f>
        <v/>
      </c>
      <c r="I129" s="268">
        <f>ROUND(F129*Прил.10!$D$14,2)</f>
        <v/>
      </c>
      <c r="J129" s="268">
        <f>ROUND(I129*E129,2)</f>
        <v/>
      </c>
      <c r="M129" s="255" t="n"/>
      <c r="N129" s="255" t="n"/>
    </row>
    <row r="130" hidden="1" outlineLevel="1" ht="25.9" customHeight="1" s="248">
      <c r="A130" s="357" t="n">
        <v>108</v>
      </c>
      <c r="B130" s="265" t="inlineStr">
        <is>
          <t>Прайс из СД ОП</t>
        </is>
      </c>
      <c r="C130" s="356" t="inlineStr">
        <is>
          <t>Шкаф управления системы электрообогрева ШУ-СО 64.3.3-1/3-05.16</t>
        </is>
      </c>
      <c r="D130" s="357" t="inlineStr">
        <is>
          <t>шт.</t>
        </is>
      </c>
      <c r="E130" s="267" t="n">
        <v>1</v>
      </c>
      <c r="F130" s="268" t="n">
        <v>30888.64</v>
      </c>
      <c r="G130" s="268">
        <f>ROUND(E130*F130,2)</f>
        <v/>
      </c>
      <c r="H130" s="269">
        <f>G130/$G$193</f>
        <v/>
      </c>
      <c r="I130" s="268">
        <f>ROUND(F130*Прил.10!$D$14,2)</f>
        <v/>
      </c>
      <c r="J130" s="268">
        <f>ROUND(I130*E130,2)</f>
        <v/>
      </c>
      <c r="M130" s="255" t="n"/>
      <c r="N130" s="255" t="n"/>
    </row>
    <row r="131" hidden="1" outlineLevel="1" ht="25.9" customHeight="1" s="248">
      <c r="A131" s="357" t="n">
        <v>109</v>
      </c>
      <c r="B131" s="265" t="inlineStr">
        <is>
          <t>Прайс из СД ОП</t>
        </is>
      </c>
      <c r="C131" s="356" t="inlineStr">
        <is>
          <t xml:space="preserve">Электрорадиатор настенный, N=1.5 кВт IRIT Stacio-T 15012 </t>
        </is>
      </c>
      <c r="D131" s="357" t="inlineStr">
        <is>
          <t>шт.</t>
        </is>
      </c>
      <c r="E131" s="267" t="n">
        <v>58</v>
      </c>
      <c r="F131" s="268" t="n">
        <v>525.5</v>
      </c>
      <c r="G131" s="268">
        <f>ROUND(E131*F131,2)</f>
        <v/>
      </c>
      <c r="H131" s="269">
        <f>G131/$G$193</f>
        <v/>
      </c>
      <c r="I131" s="268">
        <f>ROUND(F131*Прил.10!$D$14,2)</f>
        <v/>
      </c>
      <c r="J131" s="268">
        <f>ROUND(I131*E131,2)</f>
        <v/>
      </c>
      <c r="M131" s="255" t="n"/>
      <c r="N131" s="255" t="n"/>
    </row>
    <row r="132" hidden="1" outlineLevel="1" ht="25.9" customHeight="1" s="248">
      <c r="A132" s="357" t="n">
        <v>110</v>
      </c>
      <c r="B132" s="265" t="inlineStr">
        <is>
          <t>Прайс из СД ОП</t>
        </is>
      </c>
      <c r="C132" s="356" t="inlineStr">
        <is>
          <t xml:space="preserve">Щит автоматики в комплекте с оборудованием </t>
        </is>
      </c>
      <c r="D132" s="357" t="inlineStr">
        <is>
          <t>шт.</t>
        </is>
      </c>
      <c r="E132" s="267" t="n">
        <v>1</v>
      </c>
      <c r="F132" s="268" t="n">
        <v>29700.62</v>
      </c>
      <c r="G132" s="268">
        <f>ROUND(E132*F132,2)</f>
        <v/>
      </c>
      <c r="H132" s="269">
        <f>G132/$G$193</f>
        <v/>
      </c>
      <c r="I132" s="268">
        <f>ROUND(F132*Прил.10!$D$14,2)</f>
        <v/>
      </c>
      <c r="J132" s="268">
        <f>ROUND(I132*E132,2)</f>
        <v/>
      </c>
      <c r="M132" s="255" t="n"/>
      <c r="N132" s="255" t="n"/>
    </row>
    <row r="133" hidden="1" outlineLevel="1" ht="38.85" customHeight="1" s="248">
      <c r="A133" s="357" t="n">
        <v>111</v>
      </c>
      <c r="B133" s="265" t="inlineStr">
        <is>
          <t>Прайс из СД ОП</t>
        </is>
      </c>
      <c r="C133" s="356" t="inlineStr">
        <is>
          <t>Светодиодный светильник, 10 Bm, 220 В, АС, IP65, настенное крепление ВЭЛАН 31-СД.Л.10-Н1-220АС УХЛ1</t>
        </is>
      </c>
      <c r="D133" s="357" t="inlineStr">
        <is>
          <t>шт.</t>
        </is>
      </c>
      <c r="E133" s="267" t="n">
        <v>15</v>
      </c>
      <c r="F133" s="268" t="n">
        <v>1957.94</v>
      </c>
      <c r="G133" s="268">
        <f>ROUND(E133*F133,2)</f>
        <v/>
      </c>
      <c r="H133" s="269">
        <f>G133/$G$193</f>
        <v/>
      </c>
      <c r="I133" s="268">
        <f>ROUND(F133*Прил.10!$D$14,2)</f>
        <v/>
      </c>
      <c r="J133" s="268">
        <f>ROUND(I133*E133,2)</f>
        <v/>
      </c>
      <c r="M133" s="255" t="n"/>
      <c r="N133" s="255" t="n"/>
    </row>
    <row r="134" hidden="1" outlineLevel="1" ht="38.85" customHeight="1" s="248">
      <c r="A134" s="357" t="n">
        <v>112</v>
      </c>
      <c r="B134" s="265" t="inlineStr">
        <is>
          <t>Прайс из СД ОП</t>
        </is>
      </c>
      <c r="C134" s="356" t="inlineStr">
        <is>
          <t>Светодиодный светильник накладной, 47 Bm, 220 В,  IP65, УХЛ2 ARCTIC.OPL ECO LED 1200 4000K</t>
        </is>
      </c>
      <c r="D134" s="357" t="inlineStr">
        <is>
          <t>шт.</t>
        </is>
      </c>
      <c r="E134" s="267" t="n">
        <v>25</v>
      </c>
      <c r="F134" s="268" t="n">
        <v>1135.55</v>
      </c>
      <c r="G134" s="268">
        <f>ROUND(E134*F134,2)</f>
        <v/>
      </c>
      <c r="H134" s="269">
        <f>G134/$G$193</f>
        <v/>
      </c>
      <c r="I134" s="268">
        <f>ROUND(F134*Прил.10!$D$14,2)</f>
        <v/>
      </c>
      <c r="J134" s="268">
        <f>ROUND(I134*E134,2)</f>
        <v/>
      </c>
      <c r="M134" s="255" t="n"/>
      <c r="N134" s="255" t="n"/>
    </row>
    <row r="135" hidden="1" outlineLevel="1" ht="25.9" customHeight="1" s="248">
      <c r="A135" s="357" t="n">
        <v>113</v>
      </c>
      <c r="B135" s="265" t="inlineStr">
        <is>
          <t>Прайс из СД ОП</t>
        </is>
      </c>
      <c r="C135" s="356" t="inlineStr">
        <is>
          <t xml:space="preserve">Вентилятор ВРАН6-080-Т80-Н-00400/6-У2-1-ПО-0 </t>
        </is>
      </c>
      <c r="D135" s="357" t="inlineStr">
        <is>
          <t>шт.</t>
        </is>
      </c>
      <c r="E135" s="267" t="n">
        <v>2</v>
      </c>
      <c r="F135" s="268" t="n">
        <v>13125.3</v>
      </c>
      <c r="G135" s="268">
        <f>ROUND(E135*F135,2)</f>
        <v/>
      </c>
      <c r="H135" s="269">
        <f>G135/$G$193</f>
        <v/>
      </c>
      <c r="I135" s="268">
        <f>ROUND(F135*Прил.10!$D$14,2)</f>
        <v/>
      </c>
      <c r="J135" s="268">
        <f>ROUND(I135*E135,2)</f>
        <v/>
      </c>
      <c r="M135" s="255" t="n"/>
      <c r="N135" s="255" t="n"/>
    </row>
    <row r="136" hidden="1" outlineLevel="1" ht="25.9" customHeight="1" s="248">
      <c r="A136" s="357" t="n">
        <v>114</v>
      </c>
      <c r="B136" s="265" t="inlineStr">
        <is>
          <t>Прайс из СД ОП</t>
        </is>
      </c>
      <c r="C136" s="356" t="inlineStr">
        <is>
          <t xml:space="preserve">Вентилятор ВРАН9-080-Т80-Н-00400/6-У2-1-ПО-0 </t>
        </is>
      </c>
      <c r="D136" s="357" t="inlineStr">
        <is>
          <t>шт.</t>
        </is>
      </c>
      <c r="E136" s="267" t="n">
        <v>2</v>
      </c>
      <c r="F136" s="268" t="n">
        <v>13125.3</v>
      </c>
      <c r="G136" s="268">
        <f>ROUND(E136*F136,2)</f>
        <v/>
      </c>
      <c r="H136" s="269">
        <f>G136/$G$193</f>
        <v/>
      </c>
      <c r="I136" s="268">
        <f>ROUND(F136*Прил.10!$D$14,2)</f>
        <v/>
      </c>
      <c r="J136" s="268">
        <f>ROUND(I136*E136,2)</f>
        <v/>
      </c>
      <c r="M136" s="255" t="n"/>
      <c r="N136" s="255" t="n"/>
    </row>
    <row r="137" hidden="1" outlineLevel="1" ht="25.5" customHeight="1" s="248">
      <c r="A137" s="357" t="n">
        <v>115</v>
      </c>
      <c r="B137" s="265" t="inlineStr">
        <is>
          <t>Прайс из СД ОП</t>
        </is>
      </c>
      <c r="C137" s="356" t="inlineStr">
        <is>
          <t xml:space="preserve">Сплит-система MSZ-SF25VE3/MUZ-SF25VE </t>
        </is>
      </c>
      <c r="D137" s="357" t="inlineStr">
        <is>
          <t>шт.</t>
        </is>
      </c>
      <c r="E137" s="267" t="n">
        <v>2</v>
      </c>
      <c r="F137" s="268" t="n">
        <v>11878.27</v>
      </c>
      <c r="G137" s="268">
        <f>ROUND(E137*F137,2)</f>
        <v/>
      </c>
      <c r="H137" s="269">
        <f>G137/$G$193</f>
        <v/>
      </c>
      <c r="I137" s="268">
        <f>ROUND(F137*Прил.10!$D$14,2)</f>
        <v/>
      </c>
      <c r="J137" s="268">
        <f>ROUND(I137*E137,2)</f>
        <v/>
      </c>
      <c r="M137" s="255" t="n"/>
      <c r="N137" s="255" t="n"/>
    </row>
    <row r="138" hidden="1" outlineLevel="1" ht="25.9" customHeight="1" s="248">
      <c r="A138" s="357" t="n">
        <v>116</v>
      </c>
      <c r="B138" s="265" t="inlineStr">
        <is>
          <t>Прайс из СД ОП</t>
        </is>
      </c>
      <c r="C138" s="356" t="inlineStr">
        <is>
          <t xml:space="preserve">Комплект автоматики ТПА-КС по бланк-заказу №КС-9930499 </t>
        </is>
      </c>
      <c r="D138" s="357" t="inlineStr">
        <is>
          <t>к-т</t>
        </is>
      </c>
      <c r="E138" s="267" t="n">
        <v>1</v>
      </c>
      <c r="F138" s="268" t="n">
        <v>21784.57</v>
      </c>
      <c r="G138" s="268">
        <f>ROUND(E138*F138,2)</f>
        <v/>
      </c>
      <c r="H138" s="269">
        <f>G138/$G$193</f>
        <v/>
      </c>
      <c r="I138" s="268">
        <f>ROUND(F138*Прил.10!$D$14,2)</f>
        <v/>
      </c>
      <c r="J138" s="268">
        <f>ROUND(I138*E138,2)</f>
        <v/>
      </c>
      <c r="M138" s="255" t="n"/>
      <c r="N138" s="255" t="n"/>
    </row>
    <row r="139" hidden="1" outlineLevel="1" ht="25.9" customHeight="1" s="248">
      <c r="A139" s="357" t="n">
        <v>117</v>
      </c>
      <c r="B139" s="265" t="inlineStr">
        <is>
          <t>Прайс из СД ОП</t>
        </is>
      </c>
      <c r="C139" s="356" t="inlineStr">
        <is>
          <t xml:space="preserve">Комплект автоматики ТПА-КС по бланк-заказу №КС-9930501 </t>
        </is>
      </c>
      <c r="D139" s="357" t="inlineStr">
        <is>
          <t>к-т</t>
        </is>
      </c>
      <c r="E139" s="267" t="n">
        <v>1</v>
      </c>
      <c r="F139" s="268" t="n">
        <v>21071.76</v>
      </c>
      <c r="G139" s="268">
        <f>ROUND(E139*F139,2)</f>
        <v/>
      </c>
      <c r="H139" s="269">
        <f>G139/$G$193</f>
        <v/>
      </c>
      <c r="I139" s="268">
        <f>ROUND(F139*Прил.10!$D$14,2)</f>
        <v/>
      </c>
      <c r="J139" s="268">
        <f>ROUND(I139*E139,2)</f>
        <v/>
      </c>
      <c r="M139" s="255" t="n"/>
      <c r="N139" s="255" t="n"/>
    </row>
    <row r="140" hidden="1" outlineLevel="1" ht="25.9" customHeight="1" s="248">
      <c r="A140" s="357" t="n">
        <v>118</v>
      </c>
      <c r="B140" s="265" t="inlineStr">
        <is>
          <t>Прайс из СД ОП</t>
        </is>
      </c>
      <c r="C140" s="356" t="inlineStr">
        <is>
          <t>Светодиодный прожектор, 120 Bm, 220 B, IP65 SSU-120 ХЛ1</t>
        </is>
      </c>
      <c r="D140" s="357" t="inlineStr">
        <is>
          <t>шт.</t>
        </is>
      </c>
      <c r="E140" s="267" t="n">
        <v>10</v>
      </c>
      <c r="F140" s="268" t="n">
        <v>2084.98</v>
      </c>
      <c r="G140" s="268">
        <f>ROUND(E140*F140,2)</f>
        <v/>
      </c>
      <c r="H140" s="269">
        <f>G140/$G$193</f>
        <v/>
      </c>
      <c r="I140" s="268">
        <f>ROUND(F140*Прил.10!$D$14,2)</f>
        <v/>
      </c>
      <c r="J140" s="268">
        <f>ROUND(I140*E140,2)</f>
        <v/>
      </c>
      <c r="M140" s="255" t="n"/>
      <c r="N140" s="255" t="n"/>
    </row>
    <row r="141" hidden="1" outlineLevel="1" ht="25.9" customHeight="1" s="248">
      <c r="A141" s="357" t="n">
        <v>119</v>
      </c>
      <c r="B141" s="265" t="inlineStr">
        <is>
          <t>Прайс из СД ОП</t>
        </is>
      </c>
      <c r="C141" s="356" t="inlineStr">
        <is>
          <t xml:space="preserve">Комплект автоматики ТПА-КС по бланк-заказу №КС-9930500 </t>
        </is>
      </c>
      <c r="D141" s="357" t="inlineStr">
        <is>
          <t>к-т</t>
        </is>
      </c>
      <c r="E141" s="267" t="n">
        <v>1</v>
      </c>
      <c r="F141" s="268" t="n">
        <v>20397.91</v>
      </c>
      <c r="G141" s="268">
        <f>ROUND(E141*F141,2)</f>
        <v/>
      </c>
      <c r="H141" s="269">
        <f>G141/$G$193</f>
        <v/>
      </c>
      <c r="I141" s="268">
        <f>ROUND(F141*Прил.10!$D$14,2)</f>
        <v/>
      </c>
      <c r="J141" s="268">
        <f>ROUND(I141*E141,2)</f>
        <v/>
      </c>
      <c r="M141" s="255" t="n"/>
      <c r="N141" s="255" t="n"/>
    </row>
    <row r="142" hidden="1" outlineLevel="1" ht="25.9" customHeight="1" s="248">
      <c r="A142" s="357" t="n">
        <v>120</v>
      </c>
      <c r="B142" s="265" t="inlineStr">
        <is>
          <t>Прайс из СД ОП</t>
        </is>
      </c>
      <c r="C142" s="356" t="inlineStr">
        <is>
          <t xml:space="preserve">Комплект автоматики ТПА-КС по бланк-заказу №КС-9930505 </t>
        </is>
      </c>
      <c r="D142" s="357" t="inlineStr">
        <is>
          <t>к-т</t>
        </is>
      </c>
      <c r="E142" s="267" t="n">
        <v>1</v>
      </c>
      <c r="F142" s="268" t="n">
        <v>18224.3</v>
      </c>
      <c r="G142" s="268">
        <f>ROUND(E142*F142,2)</f>
        <v/>
      </c>
      <c r="H142" s="269">
        <f>G142/$G$193</f>
        <v/>
      </c>
      <c r="I142" s="268">
        <f>ROUND(F142*Прил.10!$D$14,2)</f>
        <v/>
      </c>
      <c r="J142" s="268">
        <f>ROUND(I142*E142,2)</f>
        <v/>
      </c>
      <c r="M142" s="255" t="n"/>
      <c r="N142" s="255" t="n"/>
    </row>
    <row r="143" hidden="1" outlineLevel="1" ht="25.9" customHeight="1" s="248">
      <c r="A143" s="357" t="n">
        <v>121</v>
      </c>
      <c r="B143" s="265" t="inlineStr">
        <is>
          <t>Прайс из СД ОП</t>
        </is>
      </c>
      <c r="C143" s="356" t="inlineStr">
        <is>
          <t xml:space="preserve">Вентилятор канальный осевой Канал-ОСА-П-040-380 </t>
        </is>
      </c>
      <c r="D143" s="357" t="inlineStr">
        <is>
          <t>шт.</t>
        </is>
      </c>
      <c r="E143" s="267" t="n">
        <v>4</v>
      </c>
      <c r="F143" s="268" t="n">
        <v>4480.64</v>
      </c>
      <c r="G143" s="268">
        <f>ROUND(E143*F143,2)</f>
        <v/>
      </c>
      <c r="H143" s="269">
        <f>G143/$G$193</f>
        <v/>
      </c>
      <c r="I143" s="268">
        <f>ROUND(F143*Прил.10!$D$14,2)</f>
        <v/>
      </c>
      <c r="J143" s="268">
        <f>ROUND(I143*E143,2)</f>
        <v/>
      </c>
      <c r="M143" s="255" t="n"/>
      <c r="N143" s="255" t="n"/>
    </row>
    <row r="144" hidden="1" outlineLevel="1" ht="25.9" customHeight="1" s="248">
      <c r="A144" s="357" t="n">
        <v>122</v>
      </c>
      <c r="B144" s="265" t="inlineStr">
        <is>
          <t>Прайс из СД ОП</t>
        </is>
      </c>
      <c r="C144" s="356" t="inlineStr">
        <is>
          <t xml:space="preserve">Комплект автоматики ТПА-КС по бланк-заказу №9932186 </t>
        </is>
      </c>
      <c r="D144" s="357" t="inlineStr">
        <is>
          <t>к-т</t>
        </is>
      </c>
      <c r="E144" s="267" t="n">
        <v>1</v>
      </c>
      <c r="F144" s="268" t="n">
        <v>16921.65</v>
      </c>
      <c r="G144" s="268">
        <f>ROUND(E144*F144,2)</f>
        <v/>
      </c>
      <c r="H144" s="269">
        <f>G144/$G$193</f>
        <v/>
      </c>
      <c r="I144" s="268">
        <f>ROUND(F144*Прил.10!$D$14,2)</f>
        <v/>
      </c>
      <c r="J144" s="268">
        <f>ROUND(I144*E144,2)</f>
        <v/>
      </c>
      <c r="M144" s="255" t="n"/>
      <c r="N144" s="255" t="n"/>
    </row>
    <row r="145" hidden="1" outlineLevel="1" ht="38.85" customHeight="1" s="248">
      <c r="A145" s="357" t="n">
        <v>123</v>
      </c>
      <c r="B145" s="265" t="inlineStr">
        <is>
          <t>Прайс из СД ОП</t>
        </is>
      </c>
      <c r="C145" s="356" t="inlineStr">
        <is>
          <t>Светодиодный светильник накладной, 35 Bm, 220 В,  IP20, УХЛ4 OPL/S ECO LED 1200 4000K</t>
        </is>
      </c>
      <c r="D145" s="357" t="inlineStr">
        <is>
          <t>шт.</t>
        </is>
      </c>
      <c r="E145" s="267" t="n">
        <v>11</v>
      </c>
      <c r="F145" s="268" t="n">
        <v>1461.67</v>
      </c>
      <c r="G145" s="268">
        <f>ROUND(E145*F145,2)</f>
        <v/>
      </c>
      <c r="H145" s="269">
        <f>G145/$G$193</f>
        <v/>
      </c>
      <c r="I145" s="268">
        <f>ROUND(F145*Прил.10!$D$14,2)</f>
        <v/>
      </c>
      <c r="J145" s="268">
        <f>ROUND(I145*E145,2)</f>
        <v/>
      </c>
      <c r="M145" s="255" t="n"/>
      <c r="N145" s="255" t="n"/>
    </row>
    <row r="146" hidden="1" outlineLevel="1" ht="25.9" customHeight="1" s="248">
      <c r="A146" s="357" t="n">
        <v>124</v>
      </c>
      <c r="B146" s="265" t="inlineStr">
        <is>
          <t>Прайс из СД ОП</t>
        </is>
      </c>
      <c r="C146" s="356" t="inlineStr">
        <is>
          <t xml:space="preserve">Вентилятор ВРАН6-071-ДУ400-Н-00750/04-У1-1-П0-0 </t>
        </is>
      </c>
      <c r="D146" s="357" t="inlineStr">
        <is>
          <t>шт.</t>
        </is>
      </c>
      <c r="E146" s="267" t="n">
        <v>1</v>
      </c>
      <c r="F146" s="268" t="n">
        <v>13943.25</v>
      </c>
      <c r="G146" s="268">
        <f>ROUND(E146*F146,2)</f>
        <v/>
      </c>
      <c r="H146" s="269">
        <f>G146/$G$193</f>
        <v/>
      </c>
      <c r="I146" s="268">
        <f>ROUND(F146*Прил.10!$D$14,2)</f>
        <v/>
      </c>
      <c r="J146" s="268">
        <f>ROUND(I146*E146,2)</f>
        <v/>
      </c>
      <c r="M146" s="255" t="n"/>
      <c r="N146" s="255" t="n"/>
    </row>
    <row r="147" hidden="1" outlineLevel="1" ht="25.9" customHeight="1" s="248">
      <c r="A147" s="357" t="n">
        <v>125</v>
      </c>
      <c r="B147" s="265" t="inlineStr">
        <is>
          <t>Прайс из СД ОП</t>
        </is>
      </c>
      <c r="C147" s="356" t="inlineStr">
        <is>
          <t>Таль ручная червячная передвижная 1тн, Hп-6м</t>
        </is>
      </c>
      <c r="D147" s="357" t="inlineStr">
        <is>
          <t>шт</t>
        </is>
      </c>
      <c r="E147" s="267" t="n">
        <v>2</v>
      </c>
      <c r="F147" s="268" t="n">
        <v>6655.12</v>
      </c>
      <c r="G147" s="268">
        <f>ROUND(E147*F147,2)</f>
        <v/>
      </c>
      <c r="H147" s="269">
        <f>G147/$G$193</f>
        <v/>
      </c>
      <c r="I147" s="268">
        <f>ROUND(F147*Прил.10!$D$14,2)</f>
        <v/>
      </c>
      <c r="J147" s="268">
        <f>ROUND(I147*E147,2)</f>
        <v/>
      </c>
      <c r="M147" s="255" t="n"/>
      <c r="N147" s="255" t="n"/>
    </row>
    <row r="148" hidden="1" outlineLevel="1" ht="25.9" customHeight="1" s="248">
      <c r="A148" s="357" t="n">
        <v>126</v>
      </c>
      <c r="B148" s="265" t="inlineStr">
        <is>
          <t>Прайс из СД ОП</t>
        </is>
      </c>
      <c r="C148" s="356" t="inlineStr">
        <is>
          <t xml:space="preserve">Комплект автоматики ТПА-КС по бланк-заказу №ПС-9930599 </t>
        </is>
      </c>
      <c r="D148" s="357" t="inlineStr">
        <is>
          <t>к-т</t>
        </is>
      </c>
      <c r="E148" s="267" t="n">
        <v>1</v>
      </c>
      <c r="F148" s="268" t="n">
        <v>12060.83</v>
      </c>
      <c r="G148" s="268">
        <f>ROUND(E148*F148,2)</f>
        <v/>
      </c>
      <c r="H148" s="269">
        <f>G148/$G$193</f>
        <v/>
      </c>
      <c r="I148" s="268">
        <f>ROUND(F148*Прил.10!$D$14,2)</f>
        <v/>
      </c>
      <c r="J148" s="268">
        <f>ROUND(I148*E148,2)</f>
        <v/>
      </c>
      <c r="M148" s="255" t="n"/>
      <c r="N148" s="255" t="n"/>
    </row>
    <row r="149" hidden="1" outlineLevel="1" ht="25.9" customHeight="1" s="248">
      <c r="A149" s="357" t="n">
        <v>127</v>
      </c>
      <c r="B149" s="265" t="inlineStr">
        <is>
          <t>Прайс из СД ОП</t>
        </is>
      </c>
      <c r="C149" s="356" t="inlineStr">
        <is>
          <t xml:space="preserve">Комплект автоматики ТПА-КС по бланк-заказу №В-9937798 </t>
        </is>
      </c>
      <c r="D149" s="357" t="inlineStr">
        <is>
          <t>к-т</t>
        </is>
      </c>
      <c r="E149" s="267" t="n">
        <v>1</v>
      </c>
      <c r="F149" s="268" t="n">
        <v>9855.85</v>
      </c>
      <c r="G149" s="268">
        <f>ROUND(E149*F149,2)</f>
        <v/>
      </c>
      <c r="H149" s="269">
        <f>G149/$G$193</f>
        <v/>
      </c>
      <c r="I149" s="268">
        <f>ROUND(F149*Прил.10!$D$14,2)</f>
        <v/>
      </c>
      <c r="J149" s="268">
        <f>ROUND(I149*E149,2)</f>
        <v/>
      </c>
      <c r="M149" s="255" t="n"/>
      <c r="N149" s="255" t="n"/>
    </row>
    <row r="150" hidden="1" outlineLevel="1" ht="25.9" customHeight="1" s="248">
      <c r="A150" s="357" t="n">
        <v>128</v>
      </c>
      <c r="B150" s="265" t="inlineStr">
        <is>
          <t>Прайс из СД ОП</t>
        </is>
      </c>
      <c r="C150" s="356" t="inlineStr">
        <is>
          <t xml:space="preserve">Комплект автоматики ТПА-КС по бланк-заказу №В-9937799 </t>
        </is>
      </c>
      <c r="D150" s="357" t="inlineStr">
        <is>
          <t>к-т</t>
        </is>
      </c>
      <c r="E150" s="267" t="n">
        <v>1</v>
      </c>
      <c r="F150" s="268" t="n">
        <v>9143.040000000001</v>
      </c>
      <c r="G150" s="268">
        <f>ROUND(E150*F150,2)</f>
        <v/>
      </c>
      <c r="H150" s="269">
        <f>G150/$G$193</f>
        <v/>
      </c>
      <c r="I150" s="268">
        <f>ROUND(F150*Прил.10!$D$14,2)</f>
        <v/>
      </c>
      <c r="J150" s="268">
        <f>ROUND(I150*E150,2)</f>
        <v/>
      </c>
      <c r="M150" s="255" t="n"/>
      <c r="N150" s="255" t="n"/>
    </row>
    <row r="151" hidden="1" outlineLevel="1" ht="25.9" customHeight="1" s="248">
      <c r="A151" s="357" t="n">
        <v>129</v>
      </c>
      <c r="B151" s="265" t="inlineStr">
        <is>
          <t>Прайс из СД ОП</t>
        </is>
      </c>
      <c r="C151" s="356" t="inlineStr">
        <is>
          <t xml:space="preserve">Комплект автоматики ТПА-КС по бланк-заказу №В-9937801 </t>
        </is>
      </c>
      <c r="D151" s="357" t="inlineStr">
        <is>
          <t>к-т</t>
        </is>
      </c>
      <c r="E151" s="267" t="n">
        <v>1</v>
      </c>
      <c r="F151" s="268" t="n">
        <v>9143.040000000001</v>
      </c>
      <c r="G151" s="268">
        <f>ROUND(E151*F151,2)</f>
        <v/>
      </c>
      <c r="H151" s="269">
        <f>G151/$G$193</f>
        <v/>
      </c>
      <c r="I151" s="268">
        <f>ROUND(F151*Прил.10!$D$14,2)</f>
        <v/>
      </c>
      <c r="J151" s="268">
        <f>ROUND(I151*E151,2)</f>
        <v/>
      </c>
      <c r="M151" s="255" t="n"/>
      <c r="N151" s="255" t="n"/>
    </row>
    <row r="152" hidden="1" outlineLevel="1" ht="25.9" customHeight="1" s="248">
      <c r="A152" s="357" t="n">
        <v>130</v>
      </c>
      <c r="B152" s="265" t="inlineStr">
        <is>
          <t>Прайс из СД ОП</t>
        </is>
      </c>
      <c r="C152" s="356" t="inlineStr">
        <is>
          <t xml:space="preserve">Комплект автоматики ТПА-КС по бланк-заказу №КС-9930502 </t>
        </is>
      </c>
      <c r="D152" s="357" t="inlineStr">
        <is>
          <t>к-т</t>
        </is>
      </c>
      <c r="E152" s="267" t="n">
        <v>1</v>
      </c>
      <c r="F152" s="268" t="n">
        <v>9143.040000000001</v>
      </c>
      <c r="G152" s="268">
        <f>ROUND(E152*F152,2)</f>
        <v/>
      </c>
      <c r="H152" s="269">
        <f>G152/$G$193</f>
        <v/>
      </c>
      <c r="I152" s="268">
        <f>ROUND(F152*Прил.10!$D$14,2)</f>
        <v/>
      </c>
      <c r="J152" s="268">
        <f>ROUND(I152*E152,2)</f>
        <v/>
      </c>
      <c r="M152" s="255" t="n"/>
      <c r="N152" s="255" t="n"/>
    </row>
    <row r="153" hidden="1" outlineLevel="1" ht="25.9" customHeight="1" s="248">
      <c r="A153" s="357" t="n">
        <v>131</v>
      </c>
      <c r="B153" s="265" t="inlineStr">
        <is>
          <t>Прайс из СД ОП</t>
        </is>
      </c>
      <c r="C153" s="356" t="inlineStr">
        <is>
          <t>Комплект автоматики ТПА-КС по бланк-заказу №КС-9930503</t>
        </is>
      </c>
      <c r="D153" s="357" t="inlineStr">
        <is>
          <t>к-т</t>
        </is>
      </c>
      <c r="E153" s="267" t="n">
        <v>1</v>
      </c>
      <c r="F153" s="268" t="n">
        <v>9143.040000000001</v>
      </c>
      <c r="G153" s="268">
        <f>ROUND(E153*F153,2)</f>
        <v/>
      </c>
      <c r="H153" s="269">
        <f>G153/$G$193</f>
        <v/>
      </c>
      <c r="I153" s="268">
        <f>ROUND(F153*Прил.10!$D$14,2)</f>
        <v/>
      </c>
      <c r="J153" s="268">
        <f>ROUND(I153*E153,2)</f>
        <v/>
      </c>
      <c r="M153" s="255" t="n"/>
      <c r="N153" s="255" t="n"/>
    </row>
    <row r="154" hidden="1" outlineLevel="1" ht="25.9" customHeight="1" s="248">
      <c r="A154" s="357" t="n">
        <v>132</v>
      </c>
      <c r="B154" s="265" t="inlineStr">
        <is>
          <t>Прайс из СД ОП</t>
        </is>
      </c>
      <c r="C154" s="356" t="inlineStr">
        <is>
          <t xml:space="preserve">Комплект автоматики ТПА-КС по бланк-заказу №КС-9930504 </t>
        </is>
      </c>
      <c r="D154" s="357" t="inlineStr">
        <is>
          <t>к-т</t>
        </is>
      </c>
      <c r="E154" s="267" t="n">
        <v>1</v>
      </c>
      <c r="F154" s="268" t="n">
        <v>9143.040000000001</v>
      </c>
      <c r="G154" s="268">
        <f>ROUND(E154*F154,2)</f>
        <v/>
      </c>
      <c r="H154" s="269">
        <f>G154/$G$193</f>
        <v/>
      </c>
      <c r="I154" s="268">
        <f>ROUND(F154*Прил.10!$D$14,2)</f>
        <v/>
      </c>
      <c r="J154" s="268">
        <f>ROUND(I154*E154,2)</f>
        <v/>
      </c>
      <c r="M154" s="255" t="n"/>
      <c r="N154" s="255" t="n"/>
    </row>
    <row r="155" hidden="1" outlineLevel="1" ht="77.45" customHeight="1" s="248">
      <c r="A155" s="357" t="n">
        <v>133</v>
      </c>
      <c r="B155" s="265" t="inlineStr">
        <is>
          <t>Прайс из СД ОП</t>
        </is>
      </c>
      <c r="C155" s="356" t="inlineStr">
        <is>
          <t>Приточная установка в комплекте  (Клапан ГЕРМИК-С-350х350-Н-1*LF230-S-1-УХЛ2-1 шт.; Фильтр Канал-ФКК-315-1 шт., Воздухонагреватель Канал ЭКВ-К-315-12-1 шт.; Вентилятор Канал-ВЕНТ-315-1 шт.; Шумоглушитель Канал-ГКК-315-900-1 шт.)</t>
        </is>
      </c>
      <c r="D155" s="357" t="inlineStr">
        <is>
          <t>шт.</t>
        </is>
      </c>
      <c r="E155" s="267" t="n">
        <v>1</v>
      </c>
      <c r="F155" s="268" t="n">
        <v>9013.74</v>
      </c>
      <c r="G155" s="268">
        <f>ROUND(E155*F155,2)</f>
        <v/>
      </c>
      <c r="H155" s="269">
        <f>G155/$G$193</f>
        <v/>
      </c>
      <c r="I155" s="268">
        <f>ROUND(F155*Прил.10!$D$14,2)</f>
        <v/>
      </c>
      <c r="J155" s="268">
        <f>ROUND(I155*E155,2)</f>
        <v/>
      </c>
      <c r="M155" s="255" t="n"/>
      <c r="N155" s="255" t="n"/>
    </row>
    <row r="156" hidden="1" outlineLevel="1" ht="77.45" customHeight="1" s="248">
      <c r="A156" s="357" t="n">
        <v>134</v>
      </c>
      <c r="B156" s="265" t="inlineStr">
        <is>
          <t>Прайс из СД ОП</t>
        </is>
      </c>
      <c r="C156" s="356" t="inlineStr">
        <is>
          <t>Приточная установка в комплекте  (Клапан ГЕРМИК-С-350х350-Н-1*LF230-S-1-УХЛ2-1 шт.; Фильтр Канал-ФКК-315-1 шт., Воздухонагреватель Канал ЭКВ-К-315-15-1 шт.; Вентилятор Канал-ВЕНТ-315-1 шт.; Шумоглушитель Канал-ГКК-315-900-1 шт.)</t>
        </is>
      </c>
      <c r="D156" s="357" t="inlineStr">
        <is>
          <t>шт.</t>
        </is>
      </c>
      <c r="E156" s="267" t="n">
        <v>1</v>
      </c>
      <c r="F156" s="268" t="n">
        <v>9013.74</v>
      </c>
      <c r="G156" s="268">
        <f>ROUND(E156*F156,2)</f>
        <v/>
      </c>
      <c r="H156" s="269">
        <f>G156/$G$193</f>
        <v/>
      </c>
      <c r="I156" s="268">
        <f>ROUND(F156*Прил.10!$D$14,2)</f>
        <v/>
      </c>
      <c r="J156" s="268">
        <f>ROUND(I156*E156,2)</f>
        <v/>
      </c>
      <c r="M156" s="255" t="n"/>
      <c r="N156" s="255" t="n"/>
    </row>
    <row r="157" hidden="1" outlineLevel="1" ht="25.5" customHeight="1" s="248">
      <c r="A157" s="357" t="n">
        <v>135</v>
      </c>
      <c r="B157" s="265" t="inlineStr">
        <is>
          <t>Прайс из СД ОП</t>
        </is>
      </c>
      <c r="C157" s="356" t="inlineStr">
        <is>
          <t>Светодиодный прожектор,80 Bm, 220 B, IP65 SSU-80 ХЛ1</t>
        </is>
      </c>
      <c r="D157" s="357" t="inlineStr">
        <is>
          <t>шт.</t>
        </is>
      </c>
      <c r="E157" s="267" t="n">
        <v>10</v>
      </c>
      <c r="F157" s="268" t="n">
        <v>841.52</v>
      </c>
      <c r="G157" s="268">
        <f>ROUND(E157*F157,2)</f>
        <v/>
      </c>
      <c r="H157" s="269">
        <f>G157/$G$193</f>
        <v/>
      </c>
      <c r="I157" s="268">
        <f>ROUND(F157*Прил.10!$D$14,2)</f>
        <v/>
      </c>
      <c r="J157" s="268">
        <f>ROUND(I157*E157,2)</f>
        <v/>
      </c>
      <c r="M157" s="255" t="n"/>
      <c r="N157" s="255" t="n"/>
    </row>
    <row r="158" hidden="1" outlineLevel="1" ht="25.5" customHeight="1" s="248">
      <c r="A158" s="357" t="n">
        <v>136</v>
      </c>
      <c r="B158" s="265" t="inlineStr">
        <is>
          <t>Прайс из СД ОП</t>
        </is>
      </c>
      <c r="C158" s="356" t="inlineStr">
        <is>
          <t>Шкаф питания и обогрева выключателя ШОВ-4-УХЛ1</t>
        </is>
      </c>
      <c r="D158" s="357" t="inlineStr">
        <is>
          <t>шт.</t>
        </is>
      </c>
      <c r="E158" s="267" t="n">
        <v>2</v>
      </c>
      <c r="F158" s="268" t="n">
        <v>4032.04</v>
      </c>
      <c r="G158" s="268">
        <f>ROUND(E158*F158,2)</f>
        <v/>
      </c>
      <c r="H158" s="269">
        <f>G158/$G$193</f>
        <v/>
      </c>
      <c r="I158" s="268">
        <f>ROUND(F158*Прил.10!$D$14,2)</f>
        <v/>
      </c>
      <c r="J158" s="268">
        <f>ROUND(I158*E158,2)</f>
        <v/>
      </c>
      <c r="M158" s="255" t="n"/>
      <c r="N158" s="255" t="n"/>
    </row>
    <row r="159" hidden="1" outlineLevel="1" ht="25.5" customHeight="1" s="248">
      <c r="A159" s="357" t="n">
        <v>137</v>
      </c>
      <c r="B159" s="265" t="inlineStr">
        <is>
          <t>Прайс из СД ОП</t>
        </is>
      </c>
      <c r="C159" s="356" t="inlineStr">
        <is>
          <t xml:space="preserve">Электрорадиатор настенный, N=1.2 кВт IRIT Stacio-T 1209 </t>
        </is>
      </c>
      <c r="D159" s="357" t="inlineStr">
        <is>
          <t>шт.</t>
        </is>
      </c>
      <c r="E159" s="267" t="n">
        <v>16</v>
      </c>
      <c r="F159" s="268" t="n">
        <v>503.13</v>
      </c>
      <c r="G159" s="268">
        <f>ROUND(E159*F159,2)</f>
        <v/>
      </c>
      <c r="H159" s="269">
        <f>G159/$G$193</f>
        <v/>
      </c>
      <c r="I159" s="268">
        <f>ROUND(F159*Прил.10!$D$14,2)</f>
        <v/>
      </c>
      <c r="J159" s="268">
        <f>ROUND(I159*E159,2)</f>
        <v/>
      </c>
      <c r="M159" s="255" t="n"/>
      <c r="N159" s="255" t="n"/>
    </row>
    <row r="160" hidden="1" outlineLevel="1" ht="76.7" customHeight="1" s="248">
      <c r="A160" s="357" t="n">
        <v>138</v>
      </c>
      <c r="B160" s="265" t="inlineStr">
        <is>
          <t>Прайс из СД ОП</t>
        </is>
      </c>
      <c r="C160" s="356" t="inlineStr">
        <is>
          <t xml:space="preserve">Приточная установка в комплекте  (Клапан ГЕРМИК-С-200х200-Н-1*LF230-S-1-УХЛ2-1 шт.; Фильтр Канал-ФКК-200-1 шт., Воздухонагреватель Канал ЭКВ-К-300-6-1 шт.; Вентилятор Канал-ВЕНТ-200-1 шт.; Шумоглушитель Канал-ГКК-200-900-1 шт.) </t>
        </is>
      </c>
      <c r="D160" s="357" t="inlineStr">
        <is>
          <t>шт.</t>
        </is>
      </c>
      <c r="E160" s="267" t="n">
        <v>1</v>
      </c>
      <c r="F160" s="268" t="n">
        <v>6813.32</v>
      </c>
      <c r="G160" s="268">
        <f>ROUND(E160*F160,2)</f>
        <v/>
      </c>
      <c r="H160" s="269">
        <f>G160/$G$193</f>
        <v/>
      </c>
      <c r="I160" s="268">
        <f>ROUND(F160*Прил.10!$D$14,2)</f>
        <v/>
      </c>
      <c r="J160" s="268">
        <f>ROUND(I160*E160,2)</f>
        <v/>
      </c>
      <c r="M160" s="255" t="n"/>
      <c r="N160" s="255" t="n"/>
    </row>
    <row r="161" hidden="1" outlineLevel="1" ht="25.5" customHeight="1" s="248">
      <c r="A161" s="357" t="n">
        <v>139</v>
      </c>
      <c r="B161" s="265" t="inlineStr">
        <is>
          <t>Прайс из СД ОП</t>
        </is>
      </c>
      <c r="C161" s="356" t="inlineStr">
        <is>
          <t xml:space="preserve">Комплект автоматики ТПА-КС по бланк-заказу №9932187 </t>
        </is>
      </c>
      <c r="D161" s="357" t="inlineStr">
        <is>
          <t>к-т</t>
        </is>
      </c>
      <c r="E161" s="267" t="n">
        <v>1</v>
      </c>
      <c r="F161" s="268" t="n">
        <v>6716.42</v>
      </c>
      <c r="G161" s="268">
        <f>ROUND(E161*F161,2)</f>
        <v/>
      </c>
      <c r="H161" s="269">
        <f>G161/$G$193</f>
        <v/>
      </c>
      <c r="I161" s="268">
        <f>ROUND(F161*Прил.10!$D$14,2)</f>
        <v/>
      </c>
      <c r="J161" s="268">
        <f>ROUND(I161*E161,2)</f>
        <v/>
      </c>
      <c r="M161" s="255" t="n"/>
      <c r="N161" s="255" t="n"/>
    </row>
    <row r="162" hidden="1" outlineLevel="1" ht="63.75" customHeight="1" s="248">
      <c r="A162" s="357" t="n">
        <v>140</v>
      </c>
      <c r="B162" s="265" t="inlineStr">
        <is>
          <t>69.1.02.01-0001</t>
        </is>
      </c>
      <c r="C162" s="356" t="inlineStr">
        <is>
          <t>Задвижки клиновые с выдвижным шпинделем фланцевые для воды, пара и нефтепродуктов, давление 1,6 МПа (16 кгс/см2) типа 30с941нж с электроприводом, диаметр 50 мм</t>
        </is>
      </c>
      <c r="D162" s="357" t="inlineStr">
        <is>
          <t>шт</t>
        </is>
      </c>
      <c r="E162" s="267" t="n">
        <v>1</v>
      </c>
      <c r="F162" s="268" t="n">
        <v>6366.42</v>
      </c>
      <c r="G162" s="268">
        <f>ROUND(E162*F162,2)</f>
        <v/>
      </c>
      <c r="H162" s="269">
        <f>G162/$G$193</f>
        <v/>
      </c>
      <c r="I162" s="268">
        <f>ROUND(F162*Прил.10!$D$14,2)</f>
        <v/>
      </c>
      <c r="J162" s="268">
        <f>ROUND(I162*E162,2)</f>
        <v/>
      </c>
      <c r="M162" s="255" t="n"/>
      <c r="N162" s="255" t="n"/>
    </row>
    <row r="163" hidden="1" outlineLevel="1" ht="38.25" customHeight="1" s="248">
      <c r="A163" s="357" t="n">
        <v>141</v>
      </c>
      <c r="B163" s="265" t="inlineStr">
        <is>
          <t>Прайс из СД ОП</t>
        </is>
      </c>
      <c r="C163" s="356" t="inlineStr">
        <is>
          <t>Светодиодный светильник встраиваемый, 17 Bm, 220 В,  IP20, УХЛ4 OPL/R ECO LED 300 4000K</t>
        </is>
      </c>
      <c r="D163" s="357" t="inlineStr">
        <is>
          <t>шт.</t>
        </is>
      </c>
      <c r="E163" s="267" t="n">
        <v>6</v>
      </c>
      <c r="F163" s="268" t="n">
        <v>929.63</v>
      </c>
      <c r="G163" s="268">
        <f>ROUND(E163*F163,2)</f>
        <v/>
      </c>
      <c r="H163" s="269">
        <f>G163/$G$193</f>
        <v/>
      </c>
      <c r="I163" s="268">
        <f>ROUND(F163*Прил.10!$D$14,2)</f>
        <v/>
      </c>
      <c r="J163" s="268">
        <f>ROUND(I163*E163,2)</f>
        <v/>
      </c>
      <c r="M163" s="255" t="n"/>
      <c r="N163" s="255" t="n"/>
    </row>
    <row r="164" hidden="1" outlineLevel="1" s="248">
      <c r="A164" s="357" t="n">
        <v>142</v>
      </c>
      <c r="B164" s="265" t="inlineStr">
        <is>
          <t>Прайс из СД ОП</t>
        </is>
      </c>
      <c r="C164" s="356" t="inlineStr">
        <is>
          <t>Регулятор оборотов Propeller-01-500</t>
        </is>
      </c>
      <c r="D164" s="357" t="inlineStr">
        <is>
          <t>шт.</t>
        </is>
      </c>
      <c r="E164" s="267" t="n">
        <v>7</v>
      </c>
      <c r="F164" s="268" t="n">
        <v>635.59</v>
      </c>
      <c r="G164" s="268">
        <f>ROUND(E164*F164,2)</f>
        <v/>
      </c>
      <c r="H164" s="269">
        <f>G164/$G$193</f>
        <v/>
      </c>
      <c r="I164" s="268">
        <f>ROUND(F164*Прил.10!$D$14,2)</f>
        <v/>
      </c>
      <c r="J164" s="268">
        <f>ROUND(I164*E164,2)</f>
        <v/>
      </c>
      <c r="M164" s="255" t="n"/>
      <c r="N164" s="255" t="n"/>
    </row>
    <row r="165" hidden="1" outlineLevel="1" ht="25.5" customHeight="1" s="248">
      <c r="A165" s="357" t="n">
        <v>143</v>
      </c>
      <c r="B165" s="265" t="inlineStr">
        <is>
          <t>Прайс из СД ОП</t>
        </is>
      </c>
      <c r="C165" s="356" t="inlineStr">
        <is>
          <t>Ящик с понижающим разделительным трансформатором ЯТПР-0,250/220/12</t>
        </is>
      </c>
      <c r="D165" s="357" t="inlineStr">
        <is>
          <t>шт.</t>
        </is>
      </c>
      <c r="E165" s="267" t="n">
        <v>8</v>
      </c>
      <c r="F165" s="268" t="n">
        <v>534.61</v>
      </c>
      <c r="G165" s="268">
        <f>ROUND(E165*F165,2)</f>
        <v/>
      </c>
      <c r="H165" s="269">
        <f>G165/$G$193</f>
        <v/>
      </c>
      <c r="I165" s="268">
        <f>ROUND(F165*Прил.10!$D$14,2)</f>
        <v/>
      </c>
      <c r="J165" s="268">
        <f>ROUND(I165*E165,2)</f>
        <v/>
      </c>
      <c r="M165" s="255" t="n"/>
      <c r="N165" s="255" t="n"/>
    </row>
    <row r="166" hidden="1" outlineLevel="1" ht="38.25" customHeight="1" s="248">
      <c r="A166" s="357" t="n">
        <v>144</v>
      </c>
      <c r="B166" s="265" t="inlineStr">
        <is>
          <t>Прайс из СД ОП</t>
        </is>
      </c>
      <c r="C166" s="356" t="inlineStr">
        <is>
          <t>Светодиодный светильник накладной, 17 Bm, 220 В,  IP20, УХЛ4 OPL/S ECO LED 300 4000K</t>
        </is>
      </c>
      <c r="D166" s="357" t="inlineStr">
        <is>
          <t>шт.</t>
        </is>
      </c>
      <c r="E166" s="267" t="n">
        <v>5</v>
      </c>
      <c r="F166" s="268" t="n">
        <v>829.84</v>
      </c>
      <c r="G166" s="268">
        <f>ROUND(E166*F166,2)</f>
        <v/>
      </c>
      <c r="H166" s="269">
        <f>G166/$G$193</f>
        <v/>
      </c>
      <c r="I166" s="268">
        <f>ROUND(F166*Прил.10!$D$14,2)</f>
        <v/>
      </c>
      <c r="J166" s="268">
        <f>ROUND(I166*E166,2)</f>
        <v/>
      </c>
      <c r="M166" s="255" t="n"/>
      <c r="N166" s="255" t="n"/>
    </row>
    <row r="167" hidden="1" outlineLevel="1" s="248">
      <c r="A167" s="357" t="n">
        <v>145</v>
      </c>
      <c r="B167" s="265" t="inlineStr">
        <is>
          <t>Прайс из СД ОП</t>
        </is>
      </c>
      <c r="C167" s="356" t="inlineStr">
        <is>
          <t>Коробка соединительная в сборе</t>
        </is>
      </c>
      <c r="D167" s="357" t="inlineStr">
        <is>
          <t>шт.</t>
        </is>
      </c>
      <c r="E167" s="267" t="n">
        <v>4</v>
      </c>
      <c r="F167" s="268" t="n">
        <v>900.92</v>
      </c>
      <c r="G167" s="268">
        <f>ROUND(E167*F167,2)</f>
        <v/>
      </c>
      <c r="H167" s="269">
        <f>G167/$G$193</f>
        <v/>
      </c>
      <c r="I167" s="268">
        <f>ROUND(F167*Прил.10!$D$14,2)</f>
        <v/>
      </c>
      <c r="J167" s="268">
        <f>ROUND(I167*E167,2)</f>
        <v/>
      </c>
      <c r="M167" s="255" t="n"/>
      <c r="N167" s="255" t="n"/>
    </row>
    <row r="168" hidden="1" outlineLevel="1" ht="25.5" customHeight="1" s="248">
      <c r="A168" s="357" t="n">
        <v>146</v>
      </c>
      <c r="B168" s="265" t="inlineStr">
        <is>
          <t>Прайс из СД ОП</t>
        </is>
      </c>
      <c r="C168" s="356" t="inlineStr">
        <is>
          <t xml:space="preserve">Электрорадиатор настенный, N=0.6 кВт IRIT Stacio-T 0606 </t>
        </is>
      </c>
      <c r="D168" s="357" t="inlineStr">
        <is>
          <t>шт.</t>
        </is>
      </c>
      <c r="E168" s="267" t="n">
        <v>7</v>
      </c>
      <c r="F168" s="268" t="n">
        <v>492.83</v>
      </c>
      <c r="G168" s="268">
        <f>ROUND(E168*F168,2)</f>
        <v/>
      </c>
      <c r="H168" s="269">
        <f>G168/$G$193</f>
        <v/>
      </c>
      <c r="I168" s="268">
        <f>ROUND(F168*Прил.10!$D$14,2)</f>
        <v/>
      </c>
      <c r="J168" s="268">
        <f>ROUND(I168*E168,2)</f>
        <v/>
      </c>
      <c r="M168" s="255" t="n"/>
      <c r="N168" s="255" t="n"/>
    </row>
    <row r="169" hidden="1" outlineLevel="1" ht="25.5" customHeight="1" s="248">
      <c r="A169" s="357" t="n">
        <v>147</v>
      </c>
      <c r="B169" s="265" t="inlineStr">
        <is>
          <t>Прайс из СД ОП</t>
        </is>
      </c>
      <c r="C169" s="356" t="inlineStr">
        <is>
          <t>Ящик управления освещением   ЯУО-9601-3474-У4 IP54</t>
        </is>
      </c>
      <c r="D169" s="357" t="inlineStr">
        <is>
          <t>шт.</t>
        </is>
      </c>
      <c r="E169" s="267" t="n">
        <v>1</v>
      </c>
      <c r="F169" s="268" t="n">
        <v>3444.68</v>
      </c>
      <c r="G169" s="268">
        <f>ROUND(E169*F169,2)</f>
        <v/>
      </c>
      <c r="H169" s="269">
        <f>G169/$G$193</f>
        <v/>
      </c>
      <c r="I169" s="268">
        <f>ROUND(F169*Прил.10!$D$14,2)</f>
        <v/>
      </c>
      <c r="J169" s="268">
        <f>ROUND(I169*E169,2)</f>
        <v/>
      </c>
      <c r="M169" s="255" t="n"/>
      <c r="N169" s="255" t="n"/>
    </row>
    <row r="170" hidden="1" outlineLevel="1" ht="25.5" customHeight="1" s="248">
      <c r="A170" s="357" t="n">
        <v>148</v>
      </c>
      <c r="B170" s="265" t="inlineStr">
        <is>
          <t>Прайс из СД ОП</t>
        </is>
      </c>
      <c r="C170" s="356" t="inlineStr">
        <is>
          <t>Светодиодный светильник встраиваемый, 18 Bm, 220 В,  IP54, УХЛ4 ACQUA S18</t>
        </is>
      </c>
      <c r="D170" s="357" t="inlineStr">
        <is>
          <t>шт.</t>
        </is>
      </c>
      <c r="E170" s="267" t="n">
        <v>2</v>
      </c>
      <c r="F170" s="268" t="n">
        <v>1446.62</v>
      </c>
      <c r="G170" s="268">
        <f>ROUND(E170*F170,2)</f>
        <v/>
      </c>
      <c r="H170" s="269">
        <f>G170/$G$193</f>
        <v/>
      </c>
      <c r="I170" s="268">
        <f>ROUND(F170*Прил.10!$D$14,2)</f>
        <v/>
      </c>
      <c r="J170" s="268">
        <f>ROUND(I170*E170,2)</f>
        <v/>
      </c>
      <c r="M170" s="255" t="n"/>
      <c r="N170" s="255" t="n"/>
    </row>
    <row r="171" hidden="1" outlineLevel="1" s="248">
      <c r="A171" s="357" t="n">
        <v>149</v>
      </c>
      <c r="B171" s="265" t="inlineStr">
        <is>
          <t>Прайс из СД ОП</t>
        </is>
      </c>
      <c r="C171" s="356" t="inlineStr">
        <is>
          <t xml:space="preserve">Вентилятор Канал-ВЕНТ-160 </t>
        </is>
      </c>
      <c r="D171" s="357" t="inlineStr">
        <is>
          <t>шт.</t>
        </is>
      </c>
      <c r="E171" s="267" t="n">
        <v>2</v>
      </c>
      <c r="F171" s="268" t="n">
        <v>1154.76</v>
      </c>
      <c r="G171" s="268">
        <f>ROUND(E171*F171,2)</f>
        <v/>
      </c>
      <c r="H171" s="269">
        <f>G171/$G$193</f>
        <v/>
      </c>
      <c r="I171" s="268">
        <f>ROUND(F171*Прил.10!$D$14,2)</f>
        <v/>
      </c>
      <c r="J171" s="268">
        <f>ROUND(I171*E171,2)</f>
        <v/>
      </c>
      <c r="M171" s="255" t="n"/>
      <c r="N171" s="255" t="n"/>
    </row>
    <row r="172" hidden="1" outlineLevel="1" ht="38.25" customHeight="1" s="248">
      <c r="A172" s="357" t="n">
        <v>150</v>
      </c>
      <c r="B172" s="265" t="inlineStr">
        <is>
          <t>Прайс из СД ОП</t>
        </is>
      </c>
      <c r="C172" s="356" t="inlineStr">
        <is>
          <t>Светодиодный светильник встраиваемый, 20 Bm, 220 В,  IP20, УХЛ4 SAFARI DL LED 20 4000K</t>
        </is>
      </c>
      <c r="D172" s="357" t="inlineStr">
        <is>
          <t>шт.</t>
        </is>
      </c>
      <c r="E172" s="267" t="n">
        <v>3</v>
      </c>
      <c r="F172" s="268" t="n">
        <v>769.64</v>
      </c>
      <c r="G172" s="268">
        <f>ROUND(E172*F172,2)</f>
        <v/>
      </c>
      <c r="H172" s="269">
        <f>G172/$G$193</f>
        <v/>
      </c>
      <c r="I172" s="268">
        <f>ROUND(F172*Прил.10!$D$14,2)</f>
        <v/>
      </c>
      <c r="J172" s="268">
        <f>ROUND(I172*E172,2)</f>
        <v/>
      </c>
      <c r="M172" s="255" t="n"/>
      <c r="N172" s="255" t="n"/>
    </row>
    <row r="173" hidden="1" outlineLevel="1" s="248">
      <c r="A173" s="357" t="n">
        <v>151</v>
      </c>
      <c r="B173" s="265" t="inlineStr">
        <is>
          <t>Прайс из СД ОП</t>
        </is>
      </c>
      <c r="C173" s="356" t="inlineStr">
        <is>
          <t xml:space="preserve">Вентилятор Канал-ВЕНТ-315 </t>
        </is>
      </c>
      <c r="D173" s="357" t="inlineStr">
        <is>
          <t>шт.</t>
        </is>
      </c>
      <c r="E173" s="267" t="n">
        <v>1</v>
      </c>
      <c r="F173" s="268" t="n">
        <v>2035.09</v>
      </c>
      <c r="G173" s="268">
        <f>ROUND(E173*F173,2)</f>
        <v/>
      </c>
      <c r="H173" s="269">
        <f>G173/$G$193</f>
        <v/>
      </c>
      <c r="I173" s="268">
        <f>ROUND(F173*Прил.10!$D$14,2)</f>
        <v/>
      </c>
      <c r="J173" s="268">
        <f>ROUND(I173*E173,2)</f>
        <v/>
      </c>
      <c r="M173" s="255" t="n"/>
      <c r="N173" s="255" t="n"/>
    </row>
    <row r="174" hidden="1" outlineLevel="1" ht="51" customHeight="1" s="248">
      <c r="A174" s="357" t="n">
        <v>152</v>
      </c>
      <c r="B174" s="265" t="inlineStr">
        <is>
          <t>63.1.01.03-0010</t>
        </is>
      </c>
      <c r="C174" s="356" t="inlineStr">
        <is>
          <t>Водонагреватели электрические емкостные с терморегулятором и системой защитной автоматики, мощность 6 кВт, объем бака 200 л</t>
        </is>
      </c>
      <c r="D174" s="357" t="inlineStr">
        <is>
          <t>компл</t>
        </is>
      </c>
      <c r="E174" s="267" t="n">
        <v>1</v>
      </c>
      <c r="F174" s="268" t="n">
        <v>1815.54</v>
      </c>
      <c r="G174" s="268">
        <f>ROUND(E174*F174,2)</f>
        <v/>
      </c>
      <c r="H174" s="269">
        <f>G174/$G$193</f>
        <v/>
      </c>
      <c r="I174" s="268">
        <f>ROUND(F174*Прил.10!$D$14,2)</f>
        <v/>
      </c>
      <c r="J174" s="268">
        <f>ROUND(I174*E174,2)</f>
        <v/>
      </c>
      <c r="M174" s="255" t="n"/>
      <c r="N174" s="255" t="n"/>
    </row>
    <row r="175" hidden="1" outlineLevel="1" ht="38.25" customHeight="1" s="248">
      <c r="A175" s="357" t="n">
        <v>153</v>
      </c>
      <c r="B175" s="265" t="inlineStr">
        <is>
          <t>Прайс из СД ОП</t>
        </is>
      </c>
      <c r="C175" s="356" t="inlineStr">
        <is>
          <t>Светодиодный светильник накладной, 35 Bm, 220 В,  IP20, УХЛ4 OPL/S ECO LED 595 4000K</t>
        </is>
      </c>
      <c r="D175" s="357" t="inlineStr">
        <is>
          <t>шт.</t>
        </is>
      </c>
      <c r="E175" s="267" t="n">
        <v>1</v>
      </c>
      <c r="F175" s="268" t="n">
        <v>1430.38</v>
      </c>
      <c r="G175" s="268">
        <f>ROUND(E175*F175,2)</f>
        <v/>
      </c>
      <c r="H175" s="269">
        <f>G175/$G$193</f>
        <v/>
      </c>
      <c r="I175" s="268">
        <f>ROUND(F175*Прил.10!$D$14,2)</f>
        <v/>
      </c>
      <c r="J175" s="268">
        <f>ROUND(I175*E175,2)</f>
        <v/>
      </c>
      <c r="M175" s="255" t="n"/>
      <c r="N175" s="255" t="n"/>
    </row>
    <row r="176" hidden="1" outlineLevel="1" s="248">
      <c r="A176" s="357" t="n">
        <v>154</v>
      </c>
      <c r="B176" s="265" t="inlineStr">
        <is>
          <t>Прайс из СД ОП</t>
        </is>
      </c>
      <c r="C176" s="356" t="inlineStr">
        <is>
          <t>Датчик осадков TSP02-20,0</t>
        </is>
      </c>
      <c r="D176" s="357" t="inlineStr">
        <is>
          <t>шт.</t>
        </is>
      </c>
      <c r="E176" s="267" t="n">
        <v>1</v>
      </c>
      <c r="F176" s="268" t="n">
        <v>1392.56</v>
      </c>
      <c r="G176" s="268">
        <f>ROUND(E176*F176,2)</f>
        <v/>
      </c>
      <c r="H176" s="269">
        <f>G176/$G$193</f>
        <v/>
      </c>
      <c r="I176" s="268">
        <f>ROUND(F176*Прил.10!$D$14,2)</f>
        <v/>
      </c>
      <c r="J176" s="268">
        <f>ROUND(I176*E176,2)</f>
        <v/>
      </c>
      <c r="M176" s="255" t="n"/>
      <c r="N176" s="255" t="n"/>
    </row>
    <row r="177" hidden="1" outlineLevel="1" s="248">
      <c r="A177" s="357" t="n">
        <v>155</v>
      </c>
      <c r="B177" s="265" t="inlineStr">
        <is>
          <t>Прайс из СД ОП</t>
        </is>
      </c>
      <c r="C177" s="356" t="inlineStr">
        <is>
          <t xml:space="preserve">Вентилятор Канал-ВЕНТ-125 </t>
        </is>
      </c>
      <c r="D177" s="357" t="inlineStr">
        <is>
          <t>шт.</t>
        </is>
      </c>
      <c r="E177" s="267" t="n">
        <v>2</v>
      </c>
      <c r="F177" s="268" t="n">
        <v>595.47</v>
      </c>
      <c r="G177" s="268">
        <f>ROUND(E177*F177,2)</f>
        <v/>
      </c>
      <c r="H177" s="269">
        <f>G177/$G$193</f>
        <v/>
      </c>
      <c r="I177" s="268">
        <f>ROUND(F177*Прил.10!$D$14,2)</f>
        <v/>
      </c>
      <c r="J177" s="268">
        <f>ROUND(I177*E177,2)</f>
        <v/>
      </c>
      <c r="M177" s="255" t="n"/>
      <c r="N177" s="255" t="n"/>
    </row>
    <row r="178" hidden="1" outlineLevel="1" s="248">
      <c r="A178" s="357" t="n">
        <v>156</v>
      </c>
      <c r="B178" s="265" t="inlineStr">
        <is>
          <t>Прайс из СД ОП</t>
        </is>
      </c>
      <c r="C178" s="356" t="inlineStr">
        <is>
          <t>Вентилятор Канал-ВЕНТ-100</t>
        </is>
      </c>
      <c r="D178" s="357" t="inlineStr">
        <is>
          <t>шт.</t>
        </is>
      </c>
      <c r="E178" s="267" t="n">
        <v>2</v>
      </c>
      <c r="F178" s="268" t="n">
        <v>594.17</v>
      </c>
      <c r="G178" s="268">
        <f>ROUND(E178*F178,2)</f>
        <v/>
      </c>
      <c r="H178" s="269">
        <f>G178/$G$193</f>
        <v/>
      </c>
      <c r="I178" s="268">
        <f>ROUND(F178*Прил.10!$D$14,2)</f>
        <v/>
      </c>
      <c r="J178" s="268">
        <f>ROUND(I178*E178,2)</f>
        <v/>
      </c>
      <c r="M178" s="255" t="n"/>
      <c r="N178" s="255" t="n"/>
    </row>
    <row r="179" hidden="1" outlineLevel="1" ht="38.25" customHeight="1" s="248">
      <c r="A179" s="357" t="n">
        <v>157</v>
      </c>
      <c r="B179" s="265" t="inlineStr">
        <is>
          <t>Прайс из СД ОП</t>
        </is>
      </c>
      <c r="C179" s="356" t="inlineStr">
        <is>
          <t>Светодиодный светильник встраиваемый, 10 Bm, 220 В,  IP20, УХЛ4 SAFARI DL LED 10 4000K</t>
        </is>
      </c>
      <c r="D179" s="357" t="inlineStr">
        <is>
          <t>шт.</t>
        </is>
      </c>
      <c r="E179" s="267" t="n">
        <v>2</v>
      </c>
      <c r="F179" s="268" t="n">
        <v>585.1</v>
      </c>
      <c r="G179" s="268">
        <f>ROUND(E179*F179,2)</f>
        <v/>
      </c>
      <c r="H179" s="269">
        <f>G179/$G$193</f>
        <v/>
      </c>
      <c r="I179" s="268">
        <f>ROUND(F179*Прил.10!$D$14,2)</f>
        <v/>
      </c>
      <c r="J179" s="268">
        <f>ROUND(I179*E179,2)</f>
        <v/>
      </c>
      <c r="M179" s="255" t="n"/>
      <c r="N179" s="255" t="n"/>
    </row>
    <row r="180" hidden="1" outlineLevel="1" s="248">
      <c r="A180" s="357" t="n">
        <v>158</v>
      </c>
      <c r="B180" s="265" t="inlineStr">
        <is>
          <t>Прайс из СД ОП</t>
        </is>
      </c>
      <c r="C180" s="356" t="inlineStr">
        <is>
          <t>Вентилятор Канал-ВЕНТ-160</t>
        </is>
      </c>
      <c r="D180" s="357" t="inlineStr">
        <is>
          <t>шт.</t>
        </is>
      </c>
      <c r="E180" s="267" t="n">
        <v>1</v>
      </c>
      <c r="F180" s="268" t="n">
        <v>1154.76</v>
      </c>
      <c r="G180" s="268">
        <f>ROUND(E180*F180,2)</f>
        <v/>
      </c>
      <c r="H180" s="269">
        <f>G180/$G$193</f>
        <v/>
      </c>
      <c r="I180" s="268">
        <f>ROUND(F180*Прил.10!$D$14,2)</f>
        <v/>
      </c>
      <c r="J180" s="268">
        <f>ROUND(I180*E180,2)</f>
        <v/>
      </c>
      <c r="M180" s="255" t="n"/>
      <c r="N180" s="255" t="n"/>
    </row>
    <row r="181" hidden="1" outlineLevel="1" ht="25.5" customHeight="1" s="248">
      <c r="A181" s="357" t="n">
        <v>159</v>
      </c>
      <c r="B181" s="265" t="inlineStr">
        <is>
          <t>62.1.02.14-0069</t>
        </is>
      </c>
      <c r="C181" s="356" t="inlineStr">
        <is>
          <t>Ящики управления, тип: Я 5410 1874-3074 УХЛ4</t>
        </is>
      </c>
      <c r="D181" s="357" t="inlineStr">
        <is>
          <t>шт</t>
        </is>
      </c>
      <c r="E181" s="267" t="n">
        <v>1</v>
      </c>
      <c r="F181" s="268" t="n">
        <v>1097.28</v>
      </c>
      <c r="G181" s="268">
        <f>ROUND(E181*F181,2)</f>
        <v/>
      </c>
      <c r="H181" s="269">
        <f>G181/$G$193</f>
        <v/>
      </c>
      <c r="I181" s="268">
        <f>ROUND(F181*Прил.10!$D$14,2)</f>
        <v/>
      </c>
      <c r="J181" s="268">
        <f>ROUND(I181*E181,2)</f>
        <v/>
      </c>
      <c r="M181" s="255" t="n"/>
      <c r="N181" s="255" t="n"/>
    </row>
    <row r="182" hidden="1" outlineLevel="1" ht="38.25" customHeight="1" s="248">
      <c r="A182" s="357" t="n">
        <v>160</v>
      </c>
      <c r="B182" s="265" t="inlineStr">
        <is>
          <t>62.1.02.22-0044</t>
        </is>
      </c>
      <c r="C182" s="356" t="inlineStr">
        <is>
          <t>Ящики силовые с блоком «предохранитель-выключатель» серии ЯБПВ, типа: ЯБПВУ-1 на 100А</t>
        </is>
      </c>
      <c r="D182" s="357" t="inlineStr">
        <is>
          <t>шт</t>
        </is>
      </c>
      <c r="E182" s="267" t="n">
        <v>3</v>
      </c>
      <c r="F182" s="268" t="n">
        <v>351.1</v>
      </c>
      <c r="G182" s="268">
        <f>ROUND(E182*F182,2)</f>
        <v/>
      </c>
      <c r="H182" s="269">
        <f>G182/$G$193</f>
        <v/>
      </c>
      <c r="I182" s="268">
        <f>ROUND(F182*Прил.10!$D$14,2)</f>
        <v/>
      </c>
      <c r="J182" s="268">
        <f>ROUND(I182*E182,2)</f>
        <v/>
      </c>
      <c r="M182" s="255" t="n"/>
      <c r="N182" s="255" t="n"/>
    </row>
    <row r="183" hidden="1" outlineLevel="1" s="248">
      <c r="A183" s="357" t="n">
        <v>161</v>
      </c>
      <c r="B183" s="265" t="inlineStr">
        <is>
          <t>Прайс из СД ОП</t>
        </is>
      </c>
      <c r="C183" s="356" t="inlineStr">
        <is>
          <t xml:space="preserve">Центробежный вентилятор Compact-100 </t>
        </is>
      </c>
      <c r="D183" s="357" t="inlineStr">
        <is>
          <t>шт.</t>
        </is>
      </c>
      <c r="E183" s="267" t="n">
        <v>1</v>
      </c>
      <c r="F183" s="268" t="n">
        <v>1044.87</v>
      </c>
      <c r="G183" s="268">
        <f>ROUND(E183*F183,2)</f>
        <v/>
      </c>
      <c r="H183" s="269">
        <f>G183/$G$193</f>
        <v/>
      </c>
      <c r="I183" s="268">
        <f>ROUND(F183*Прил.10!$D$14,2)</f>
        <v/>
      </c>
      <c r="J183" s="268">
        <f>ROUND(I183*E183,2)</f>
        <v/>
      </c>
      <c r="M183" s="255" t="n"/>
      <c r="N183" s="255" t="n"/>
    </row>
    <row r="184" hidden="1" outlineLevel="1" ht="25.5" customHeight="1" s="248">
      <c r="A184" s="357" t="n">
        <v>162</v>
      </c>
      <c r="B184" s="265" t="inlineStr">
        <is>
          <t>Прайс из СД ОП</t>
        </is>
      </c>
      <c r="C184" s="356" t="inlineStr">
        <is>
          <t xml:space="preserve">Автоматический выключатель трехполюсный, OptiDin BM125-3С125  </t>
        </is>
      </c>
      <c r="D184" s="357" t="inlineStr">
        <is>
          <t>шт.</t>
        </is>
      </c>
      <c r="E184" s="267" t="n">
        <v>1</v>
      </c>
      <c r="F184" s="268" t="n">
        <v>970.22</v>
      </c>
      <c r="G184" s="268">
        <f>ROUND(E184*F184,2)</f>
        <v/>
      </c>
      <c r="H184" s="269">
        <f>G184/$G$193</f>
        <v/>
      </c>
      <c r="I184" s="268">
        <f>ROUND(F184*Прил.10!$D$14,2)</f>
        <v/>
      </c>
      <c r="J184" s="268">
        <f>ROUND(I184*E184,2)</f>
        <v/>
      </c>
      <c r="M184" s="255" t="n"/>
      <c r="N184" s="255" t="n"/>
    </row>
    <row r="185" hidden="1" outlineLevel="1" s="248">
      <c r="A185" s="357" t="n">
        <v>163</v>
      </c>
      <c r="B185" s="265" t="inlineStr">
        <is>
          <t>Прайс из СД ОП</t>
        </is>
      </c>
      <c r="C185" s="356" t="inlineStr">
        <is>
          <t>Регулятор оборотов Propeller-01-500</t>
        </is>
      </c>
      <c r="D185" s="357" t="inlineStr">
        <is>
          <t>шт.</t>
        </is>
      </c>
      <c r="E185" s="267" t="n">
        <v>1</v>
      </c>
      <c r="F185" s="268" t="n">
        <v>635.59</v>
      </c>
      <c r="G185" s="268">
        <f>ROUND(E185*F185,2)</f>
        <v/>
      </c>
      <c r="H185" s="269">
        <f>G185/$G$193</f>
        <v/>
      </c>
      <c r="I185" s="268">
        <f>ROUND(F185*Прил.10!$D$14,2)</f>
        <v/>
      </c>
      <c r="J185" s="268">
        <f>ROUND(I185*E185,2)</f>
        <v/>
      </c>
      <c r="M185" s="255" t="n"/>
      <c r="N185" s="255" t="n"/>
    </row>
    <row r="186" hidden="1" outlineLevel="1" s="248">
      <c r="A186" s="357" t="n">
        <v>164</v>
      </c>
      <c r="B186" s="265" t="inlineStr">
        <is>
          <t>Прайс из СД ОП</t>
        </is>
      </c>
      <c r="C186" s="356" t="inlineStr">
        <is>
          <t xml:space="preserve">Датчик воды TSW01-25,0  </t>
        </is>
      </c>
      <c r="D186" s="357" t="inlineStr">
        <is>
          <t>шт.</t>
        </is>
      </c>
      <c r="E186" s="267" t="n">
        <v>1</v>
      </c>
      <c r="F186" s="268" t="n">
        <v>587.14</v>
      </c>
      <c r="G186" s="268">
        <f>ROUND(E186*F186,2)</f>
        <v/>
      </c>
      <c r="H186" s="269">
        <f>G186/$G$193</f>
        <v/>
      </c>
      <c r="I186" s="268">
        <f>ROUND(F186*Прил.10!$D$14,2)</f>
        <v/>
      </c>
      <c r="J186" s="268">
        <f>ROUND(I186*E186,2)</f>
        <v/>
      </c>
      <c r="M186" s="255" t="n"/>
      <c r="N186" s="255" t="n"/>
    </row>
    <row r="187" hidden="1" outlineLevel="1" ht="25.5" customHeight="1" s="248">
      <c r="A187" s="357" t="n">
        <v>165</v>
      </c>
      <c r="B187" s="265" t="inlineStr">
        <is>
          <t>61.2.04.01-0002</t>
        </is>
      </c>
      <c r="C187" s="356" t="inlineStr">
        <is>
          <t>Арматура светосигнальная АМЕ с лампой накаливания КМ-24В</t>
        </is>
      </c>
      <c r="D187" s="357" t="inlineStr">
        <is>
          <t>10 шт</t>
        </is>
      </c>
      <c r="E187" s="267" t="n">
        <v>2</v>
      </c>
      <c r="F187" s="268" t="n">
        <v>194.2</v>
      </c>
      <c r="G187" s="268">
        <f>ROUND(E187*F187,2)</f>
        <v/>
      </c>
      <c r="H187" s="269">
        <f>G187/$G$193</f>
        <v/>
      </c>
      <c r="I187" s="268">
        <f>ROUND(F187*Прил.10!$D$14,2)</f>
        <v/>
      </c>
      <c r="J187" s="268">
        <f>ROUND(I187*E187,2)</f>
        <v/>
      </c>
      <c r="M187" s="255" t="n"/>
      <c r="N187" s="255" t="n"/>
    </row>
    <row r="188" hidden="1" outlineLevel="1" ht="25.5" customHeight="1" s="248">
      <c r="A188" s="357" t="n">
        <v>166</v>
      </c>
      <c r="B188" s="265" t="inlineStr">
        <is>
          <t>65.1.04.03-0032</t>
        </is>
      </c>
      <c r="C188" s="356" t="inlineStr">
        <is>
          <t>Счетчики холодной воды ВСХ, диаметр 15 мм</t>
        </is>
      </c>
      <c r="D188" s="357" t="inlineStr">
        <is>
          <t>шт</t>
        </is>
      </c>
      <c r="E188" s="267" t="n">
        <v>1</v>
      </c>
      <c r="F188" s="268" t="n">
        <v>221.48</v>
      </c>
      <c r="G188" s="268">
        <f>ROUND(E188*F188,2)</f>
        <v/>
      </c>
      <c r="H188" s="269">
        <f>G188/$G$193</f>
        <v/>
      </c>
      <c r="I188" s="268">
        <f>ROUND(F188*Прил.10!$D$14,2)</f>
        <v/>
      </c>
      <c r="J188" s="268">
        <f>ROUND(I188*E188,2)</f>
        <v/>
      </c>
      <c r="M188" s="255" t="n"/>
      <c r="N188" s="255" t="n"/>
    </row>
    <row r="189" hidden="1" outlineLevel="1" ht="25.5" customHeight="1" s="248">
      <c r="A189" s="357" t="n">
        <v>167</v>
      </c>
      <c r="B189" s="265" t="inlineStr">
        <is>
          <t>62.2.01.04-0019</t>
        </is>
      </c>
      <c r="C189" s="356" t="inlineStr">
        <is>
          <t>Посты управления кнопочные: ПКЕ112-1 У3</t>
        </is>
      </c>
      <c r="D189" s="357" t="inlineStr">
        <is>
          <t>шт</t>
        </is>
      </c>
      <c r="E189" s="267" t="n">
        <v>10</v>
      </c>
      <c r="F189" s="268" t="n">
        <v>13.5</v>
      </c>
      <c r="G189" s="268">
        <f>ROUND(E189*F189,2)</f>
        <v/>
      </c>
      <c r="H189" s="269">
        <f>G189/$G$193</f>
        <v/>
      </c>
      <c r="I189" s="268">
        <f>ROUND(F189*Прил.10!$D$14,2)</f>
        <v/>
      </c>
      <c r="J189" s="268">
        <f>ROUND(I189*E189,2)</f>
        <v/>
      </c>
      <c r="M189" s="255" t="n"/>
      <c r="N189" s="255" t="n"/>
    </row>
    <row r="190" hidden="1" outlineLevel="1" ht="25.5" customHeight="1" s="248">
      <c r="A190" s="357" t="n">
        <v>168</v>
      </c>
      <c r="B190" s="265" t="inlineStr">
        <is>
          <t>Прайс из СД ОП</t>
        </is>
      </c>
      <c r="C190" s="356" t="inlineStr">
        <is>
          <t xml:space="preserve">Автоматический выключатель трехполюсный, OptiDin BM63-3С50  </t>
        </is>
      </c>
      <c r="D190" s="357" t="inlineStr">
        <is>
          <t>шт.</t>
        </is>
      </c>
      <c r="E190" s="267" t="n">
        <v>1</v>
      </c>
      <c r="F190" s="268" t="n">
        <v>77.37</v>
      </c>
      <c r="G190" s="268">
        <f>ROUND(E190*F190,2)</f>
        <v/>
      </c>
      <c r="H190" s="269">
        <f>G190/$G$193</f>
        <v/>
      </c>
      <c r="I190" s="268">
        <f>ROUND(F190*Прил.10!$D$14,2)</f>
        <v/>
      </c>
      <c r="J190" s="268">
        <f>ROUND(I190*E190,2)</f>
        <v/>
      </c>
      <c r="M190" s="255" t="n"/>
      <c r="N190" s="255" t="n"/>
    </row>
    <row r="191" hidden="1" outlineLevel="1" s="248">
      <c r="A191" s="357" t="n">
        <v>169</v>
      </c>
      <c r="B191" s="265" t="inlineStr">
        <is>
          <t>62.2.01.01-0001</t>
        </is>
      </c>
      <c r="C191" s="356" t="inlineStr">
        <is>
          <t>Кнопки управления: КЕ-011</t>
        </is>
      </c>
      <c r="D191" s="357" t="inlineStr">
        <is>
          <t>шт</t>
        </is>
      </c>
      <c r="E191" s="267" t="n">
        <v>3</v>
      </c>
      <c r="F191" s="268" t="n">
        <v>11.09</v>
      </c>
      <c r="G191" s="268">
        <f>ROUND(E191*F191,2)</f>
        <v/>
      </c>
      <c r="H191" s="269">
        <f>G191/$G$193</f>
        <v/>
      </c>
      <c r="I191" s="268">
        <f>ROUND(F191*Прил.10!$D$14,2)</f>
        <v/>
      </c>
      <c r="J191" s="268">
        <f>ROUND(I191*E191,2)</f>
        <v/>
      </c>
      <c r="M191" s="255" t="n"/>
      <c r="N191" s="255" t="n"/>
    </row>
    <row r="192" collapsed="1" s="248">
      <c r="A192" s="357" t="n"/>
      <c r="B192" s="357" t="n"/>
      <c r="C192" s="356" t="inlineStr">
        <is>
          <t>Итого прочее оборудование</t>
        </is>
      </c>
      <c r="D192" s="357" t="n"/>
      <c r="E192" s="267" t="n"/>
      <c r="F192" s="359" t="n"/>
      <c r="G192" s="268">
        <f>SUM(G126:G191)</f>
        <v/>
      </c>
      <c r="H192" s="360">
        <f>SUM(H126:H191)</f>
        <v/>
      </c>
      <c r="I192" s="273" t="n"/>
      <c r="J192" s="268">
        <f>SUM(J126:J191)</f>
        <v/>
      </c>
    </row>
    <row r="193">
      <c r="A193" s="357" t="n"/>
      <c r="B193" s="357" t="n"/>
      <c r="C193" s="344" t="inlineStr">
        <is>
          <t>Итого по разделу «Оборудование»</t>
        </is>
      </c>
      <c r="D193" s="357" t="n"/>
      <c r="E193" s="358" t="n"/>
      <c r="F193" s="359" t="n"/>
      <c r="G193" s="268">
        <f>G192+G125</f>
        <v/>
      </c>
      <c r="H193" s="360">
        <f>H192+H125</f>
        <v/>
      </c>
      <c r="I193" s="273" t="n"/>
      <c r="J193" s="268">
        <f>J192+J125</f>
        <v/>
      </c>
    </row>
    <row r="194" ht="25.5" customHeight="1" s="248">
      <c r="A194" s="357" t="n"/>
      <c r="B194" s="357" t="n"/>
      <c r="C194" s="356" t="inlineStr">
        <is>
          <t>в том числе технологическое оборудование</t>
        </is>
      </c>
      <c r="D194" s="357" t="n"/>
      <c r="E194" s="278" t="n"/>
      <c r="F194" s="359" t="n"/>
      <c r="G194" s="268">
        <f>'Прил.6 Расчет ОБ'!G103</f>
        <v/>
      </c>
      <c r="H194" s="360" t="n"/>
      <c r="I194" s="273" t="n"/>
      <c r="J194" s="268">
        <f>J193</f>
        <v/>
      </c>
      <c r="L194" s="279" t="n"/>
    </row>
    <row r="195" ht="14.25" customFormat="1" customHeight="1" s="255">
      <c r="A195" s="357" t="n"/>
      <c r="B195" s="344" t="inlineStr">
        <is>
          <t>Материалы</t>
        </is>
      </c>
      <c r="C195" s="419" t="n"/>
      <c r="D195" s="419" t="n"/>
      <c r="E195" s="419" t="n"/>
      <c r="F195" s="419" t="n"/>
      <c r="G195" s="419" t="n"/>
      <c r="H195" s="420" t="n"/>
      <c r="I195" s="264" t="n"/>
      <c r="J195" s="264" t="n"/>
    </row>
    <row r="196" ht="14.25" customFormat="1" customHeight="1" s="255">
      <c r="A196" s="352" t="n"/>
      <c r="B196" s="351" t="inlineStr">
        <is>
          <t>Основные материалы</t>
        </is>
      </c>
      <c r="C196" s="425" t="n"/>
      <c r="D196" s="425" t="n"/>
      <c r="E196" s="425" t="n"/>
      <c r="F196" s="425" t="n"/>
      <c r="G196" s="425" t="n"/>
      <c r="H196" s="426" t="n"/>
      <c r="I196" s="280" t="n"/>
      <c r="J196" s="280" t="n"/>
    </row>
    <row r="197" ht="51.6" customFormat="1" customHeight="1" s="255">
      <c r="A197" s="357" t="n">
        <v>170</v>
      </c>
      <c r="B197" s="265" t="inlineStr">
        <is>
          <t>БЦ.113.70</t>
        </is>
      </c>
      <c r="C197" s="356" t="inlineStr">
        <is>
          <t>Сваи забивные железобетонные цельные сплошного квадратного сечения для опор мостов С 8-35Т7, бетон B25 (М350), объем 1,0 м3, расход арматуры 370 кг</t>
        </is>
      </c>
      <c r="D197" s="357" t="inlineStr">
        <is>
          <t>м3</t>
        </is>
      </c>
      <c r="E197" s="267" t="n">
        <v>463.246</v>
      </c>
      <c r="F197" s="359">
        <f>ROUND(I197/Прил.10!D13,2)</f>
        <v/>
      </c>
      <c r="G197" s="268">
        <f>ROUND(E197*F197,2)</f>
        <v/>
      </c>
      <c r="H197" s="269">
        <f>G197/$G$1004</f>
        <v/>
      </c>
      <c r="I197" s="268" t="n">
        <v>76063.23</v>
      </c>
      <c r="J197" s="268">
        <f>ROUND(I197*E197,2)</f>
        <v/>
      </c>
    </row>
    <row r="198" ht="51.6" customFormat="1" customHeight="1" s="255">
      <c r="A198" s="357" t="n">
        <v>171</v>
      </c>
      <c r="B198" s="265" t="inlineStr">
        <is>
          <t>07.2.07.12-0026</t>
        </is>
      </c>
      <c r="C198" s="356" t="inlineStr">
        <is>
          <t>Отдельные конструктивные элементы зданий и сооружений с преобладанием толстолистовой стали, средняя масса сборочной единицы свыше 1 до 3 т</t>
        </is>
      </c>
      <c r="D198" s="357" t="inlineStr">
        <is>
          <t>т</t>
        </is>
      </c>
      <c r="E198" s="267" t="n">
        <v>72.17</v>
      </c>
      <c r="F198" s="359" t="n">
        <v>7887.4</v>
      </c>
      <c r="G198" s="268">
        <f>ROUND(E198*F198,2)</f>
        <v/>
      </c>
      <c r="H198" s="269">
        <f>G198/$G$1004</f>
        <v/>
      </c>
      <c r="I198" s="268">
        <f>ROUND(F198*Прил.10!$D$13,2)</f>
        <v/>
      </c>
      <c r="J198" s="268">
        <f>ROUND(I198*E198,2)</f>
        <v/>
      </c>
    </row>
    <row r="199" ht="38.85" customFormat="1" customHeight="1" s="255">
      <c r="A199" s="357" t="n">
        <v>172</v>
      </c>
      <c r="B199" s="265" t="inlineStr">
        <is>
          <t>07.2.07.12-0031</t>
        </is>
      </c>
      <c r="C199" s="356" t="inlineStr">
        <is>
          <t>Прочие конструкции одноэтажных производственных зданий, масса сборочной единицы до 0,1 т</t>
        </is>
      </c>
      <c r="D199" s="357" t="inlineStr">
        <is>
          <t>т</t>
        </is>
      </c>
      <c r="E199" s="267" t="n">
        <v>71.02284</v>
      </c>
      <c r="F199" s="359" t="n">
        <v>12990.48</v>
      </c>
      <c r="G199" s="268">
        <f>ROUND(E199*F199,2)</f>
        <v/>
      </c>
      <c r="H199" s="269">
        <f>G199/$G$1004</f>
        <v/>
      </c>
      <c r="I199" s="268">
        <f>ROUND(F199*Прил.10!$D$13,2)</f>
        <v/>
      </c>
      <c r="J199" s="268">
        <f>ROUND(I199*E199,2)</f>
        <v/>
      </c>
    </row>
    <row r="200" ht="90.40000000000001" customFormat="1" customHeight="1" s="255">
      <c r="A200" s="357" t="n">
        <v>173</v>
      </c>
      <c r="B200" s="265" t="inlineStr">
        <is>
          <t>07.2.05.05-0085</t>
        </is>
      </c>
      <c r="C200" s="356" t="inlineStr">
        <is>
          <t>Сэндвич-панель трехслойная стеновая "Металл Профиль" с видимым креплением Z-LOCK, с наполнителем из минеральной ваты (НГ) плотностью 110кг/м3, марка МП ТСП-Z, толщина: 250 мм, тип покрытия PRISMA, толщина металлических облицовок 0,5 мм</t>
        </is>
      </c>
      <c r="D200" s="357" t="inlineStr">
        <is>
          <t>м2</t>
        </is>
      </c>
      <c r="E200" s="267" t="n">
        <v>2262.66</v>
      </c>
      <c r="F200" s="359" t="n">
        <v>341.58</v>
      </c>
      <c r="G200" s="268">
        <f>ROUND(E200*F200,2)</f>
        <v/>
      </c>
      <c r="H200" s="269">
        <f>G200/$G$1004</f>
        <v/>
      </c>
      <c r="I200" s="268">
        <f>ROUND(F200*Прил.10!$D$13,2)</f>
        <v/>
      </c>
      <c r="J200" s="268">
        <f>ROUND(I200*E200,2)</f>
        <v/>
      </c>
    </row>
    <row r="201" ht="51.6" customFormat="1" customHeight="1" s="255">
      <c r="A201" s="357" t="n">
        <v>174</v>
      </c>
      <c r="B201" s="265" t="inlineStr">
        <is>
          <t>07.2.07.12-0016</t>
        </is>
      </c>
      <c r="C201" s="356" t="inlineStr">
        <is>
          <t>Элементы конструктивные зданий и сооружений с преобладанием гнутых профилей, средняя масса сборочной единицы 0,5 до 1 т</t>
        </is>
      </c>
      <c r="D201" s="357" t="inlineStr">
        <is>
          <t>т</t>
        </is>
      </c>
      <c r="E201" s="267" t="n">
        <v>56.63</v>
      </c>
      <c r="F201" s="359" t="n">
        <v>8924</v>
      </c>
      <c r="G201" s="268">
        <f>ROUND(E201*F201,2)</f>
        <v/>
      </c>
      <c r="H201" s="269">
        <f>G201/$G$1004</f>
        <v/>
      </c>
      <c r="I201" s="268">
        <f>ROUND(F201*Прил.10!$D$13,2)</f>
        <v/>
      </c>
      <c r="J201" s="268">
        <f>ROUND(I201*E201,2)</f>
        <v/>
      </c>
    </row>
    <row r="202" ht="64.5" customFormat="1" customHeight="1" s="255">
      <c r="A202" s="357" t="n">
        <v>175</v>
      </c>
      <c r="B202" s="265" t="inlineStr">
        <is>
          <t>07.2.07.12-0011</t>
        </is>
      </c>
      <c r="C202" s="356" t="inlineStr">
        <is>
          <t>Элементы конструктивные зданий и сооружений с преобладанием гнутосварных профилей и круглых труб, средняя масса сборочной единицы до 0,1 т</t>
        </is>
      </c>
      <c r="D202" s="357" t="inlineStr">
        <is>
          <t>т</t>
        </is>
      </c>
      <c r="E202" s="267" t="n">
        <v>27.584421</v>
      </c>
      <c r="F202" s="359" t="n">
        <v>11255</v>
      </c>
      <c r="G202" s="268">
        <f>ROUND(E202*F202,2)</f>
        <v/>
      </c>
      <c r="H202" s="269">
        <f>G202/$G$1004</f>
        <v/>
      </c>
      <c r="I202" s="268">
        <f>ROUND(F202*Прил.10!$D$13,2)</f>
        <v/>
      </c>
      <c r="J202" s="268">
        <f>ROUND(I202*E202,2)</f>
        <v/>
      </c>
    </row>
    <row r="203" ht="51.6" customFormat="1" customHeight="1" s="255">
      <c r="A203" s="357" t="n">
        <v>176</v>
      </c>
      <c r="B203" s="265" t="inlineStr">
        <is>
          <t>12.2.05.10-0024</t>
        </is>
      </c>
      <c r="C203" s="356" t="inlineStr">
        <is>
          <t>Плиты огнезащитные ТехноНИКОЛЬ (ТУ 5762-004-74182181-2008) для изоляции конструкций из металла, толщина 20-200 мм</t>
        </is>
      </c>
      <c r="D203" s="357" t="inlineStr">
        <is>
          <t>м3</t>
        </is>
      </c>
      <c r="E203" s="267" t="n">
        <v>173.544</v>
      </c>
      <c r="F203" s="359" t="n">
        <v>1433.6</v>
      </c>
      <c r="G203" s="268">
        <f>ROUND(E203*F203,2)</f>
        <v/>
      </c>
      <c r="H203" s="269">
        <f>G203/$G$1004</f>
        <v/>
      </c>
      <c r="I203" s="268">
        <f>ROUND(F203*Прил.10!$D$13,2)</f>
        <v/>
      </c>
      <c r="J203" s="268">
        <f>ROUND(I203*E203,2)</f>
        <v/>
      </c>
    </row>
    <row r="204" ht="51.6" customFormat="1" customHeight="1" s="255">
      <c r="A204" s="357" t="n">
        <v>177</v>
      </c>
      <c r="B204" s="265" t="inlineStr">
        <is>
          <t>07.2.07.12-0018</t>
        </is>
      </c>
      <c r="C204" s="356" t="inlineStr">
        <is>
          <t>Элементы конструктивные зданий и сооружений с преобладанием гнутых профилей, средняя масса сборочной единицы свыше 0,1 до 0,5 т</t>
        </is>
      </c>
      <c r="D204" s="357" t="inlineStr">
        <is>
          <t>т</t>
        </is>
      </c>
      <c r="E204" s="267" t="n">
        <v>29.6</v>
      </c>
      <c r="F204" s="359" t="n">
        <v>8128</v>
      </c>
      <c r="G204" s="268">
        <f>ROUND(E204*F204,2)</f>
        <v/>
      </c>
      <c r="H204" s="269">
        <f>G204/$G$1004</f>
        <v/>
      </c>
      <c r="I204" s="268">
        <f>ROUND(F204*Прил.10!$D$13,2)</f>
        <v/>
      </c>
      <c r="J204" s="268">
        <f>ROUND(I204*E204,2)</f>
        <v/>
      </c>
    </row>
    <row r="205" ht="25.9" customFormat="1" customHeight="1" s="255">
      <c r="A205" s="357" t="n">
        <v>178</v>
      </c>
      <c r="B205" s="265" t="inlineStr">
        <is>
          <t>07.2.03.06-0111</t>
        </is>
      </c>
      <c r="C205" s="356" t="inlineStr">
        <is>
          <t>Связи по колоннам и стойкам фахверка (диагональные и распорки)</t>
        </is>
      </c>
      <c r="D205" s="357" t="inlineStr">
        <is>
          <t>т</t>
        </is>
      </c>
      <c r="E205" s="267" t="n">
        <v>31.96</v>
      </c>
      <c r="F205" s="359" t="n">
        <v>7007</v>
      </c>
      <c r="G205" s="268">
        <f>ROUND(E205*F205,2)</f>
        <v/>
      </c>
      <c r="H205" s="269">
        <f>G205/$G$1004</f>
        <v/>
      </c>
      <c r="I205" s="268">
        <f>ROUND(F205*Прил.10!$D$13,2)</f>
        <v/>
      </c>
      <c r="J205" s="268">
        <f>ROUND(I205*E205,2)</f>
        <v/>
      </c>
    </row>
    <row r="206" ht="38.85" customFormat="1" customHeight="1" s="255">
      <c r="A206" s="357" t="n">
        <v>179</v>
      </c>
      <c r="B206" s="265" t="inlineStr">
        <is>
          <t>02.3.01.02-0041</t>
        </is>
      </c>
      <c r="C206" s="356" t="inlineStr">
        <is>
          <t>Смесь песчаная для строительных работ (песок природный - 50%, песок обогащенный - 50%)</t>
        </is>
      </c>
      <c r="D206" s="357" t="inlineStr">
        <is>
          <t>м3</t>
        </is>
      </c>
      <c r="E206" s="267" t="n">
        <v>3512.52</v>
      </c>
      <c r="F206" s="359" t="n">
        <v>72</v>
      </c>
      <c r="G206" s="268">
        <f>ROUND(E206*F206,2)</f>
        <v/>
      </c>
      <c r="H206" s="269">
        <f>G206/$G$1004</f>
        <v/>
      </c>
      <c r="I206" s="268">
        <f>ROUND(F206*Прил.10!$D$13,2)</f>
        <v/>
      </c>
      <c r="J206" s="268">
        <f>ROUND(I206*E206,2)</f>
        <v/>
      </c>
    </row>
    <row r="207" ht="25.9" customFormat="1" customHeight="1" s="255">
      <c r="A207" s="357" t="n">
        <v>180</v>
      </c>
      <c r="B207" s="265" t="inlineStr">
        <is>
          <t>06.1.01.05-0035</t>
        </is>
      </c>
      <c r="C207" s="356" t="inlineStr">
        <is>
          <t>Кирпич керамический одинарный, марка 100, размер 250х120х65 мм</t>
        </is>
      </c>
      <c r="D207" s="357" t="inlineStr">
        <is>
          <t>1000 шт</t>
        </is>
      </c>
      <c r="E207" s="267" t="n">
        <v>93.649</v>
      </c>
      <c r="F207" s="359" t="n">
        <v>1752.6</v>
      </c>
      <c r="G207" s="268">
        <f>ROUND(E207*F207,2)</f>
        <v/>
      </c>
      <c r="H207" s="269">
        <f>G207/$G$1004</f>
        <v/>
      </c>
      <c r="I207" s="268">
        <f>ROUND(F207*Прил.10!$D$13,2)</f>
        <v/>
      </c>
      <c r="J207" s="268">
        <f>ROUND(I207*E207,2)</f>
        <v/>
      </c>
    </row>
    <row r="208" ht="25.9" customFormat="1" customHeight="1" s="255">
      <c r="A208" s="357" t="n">
        <v>181</v>
      </c>
      <c r="B208" s="265" t="inlineStr">
        <is>
          <t>06.1.01.05-0037</t>
        </is>
      </c>
      <c r="C208" s="356" t="inlineStr">
        <is>
          <t>Кирпич керамический одинарный, марка 150, размер 250х120х65 мм</t>
        </is>
      </c>
      <c r="D208" s="357" t="inlineStr">
        <is>
          <t>1000 шт</t>
        </is>
      </c>
      <c r="E208" s="267" t="n">
        <v>77.03</v>
      </c>
      <c r="F208" s="359" t="n">
        <v>2027</v>
      </c>
      <c r="G208" s="268">
        <f>ROUND(E208*F208,2)</f>
        <v/>
      </c>
      <c r="H208" s="269">
        <f>G208/$G$1004</f>
        <v/>
      </c>
      <c r="I208" s="268">
        <f>ROUND(F208*Прил.10!$D$13,2)</f>
        <v/>
      </c>
      <c r="J208" s="268">
        <f>ROUND(I208*E208,2)</f>
        <v/>
      </c>
    </row>
    <row r="209" ht="77.45" customFormat="1" customHeight="1" s="255">
      <c r="A209" s="357" t="n">
        <v>182</v>
      </c>
      <c r="B209" s="265" t="inlineStr">
        <is>
          <t>07.2.07.12-0006</t>
        </is>
      </c>
      <c r="C209" s="356" t="inlineStr">
        <is>
          <t>Элементы конструктивные вспомогательного назначения, с преобладанием профильного проката, собираемые из двух и более деталей, с отверстиями и без отверстий, соединяемые на сварке</t>
        </is>
      </c>
      <c r="D209" s="357" t="inlineStr">
        <is>
          <t>т</t>
        </is>
      </c>
      <c r="E209" s="267" t="n">
        <v>15.0794</v>
      </c>
      <c r="F209" s="359" t="n">
        <v>10045</v>
      </c>
      <c r="G209" s="268">
        <f>ROUND(E209*F209,2)</f>
        <v/>
      </c>
      <c r="H209" s="269">
        <f>G209/$G$1004</f>
        <v/>
      </c>
      <c r="I209" s="268">
        <f>ROUND(F209*Прил.10!$D$13,2)</f>
        <v/>
      </c>
      <c r="J209" s="268">
        <f>ROUND(I209*E209,2)</f>
        <v/>
      </c>
    </row>
    <row r="210" ht="13.7" customFormat="1" customHeight="1" s="255">
      <c r="A210" s="357" t="n">
        <v>183</v>
      </c>
      <c r="B210" s="265" t="inlineStr">
        <is>
          <t>14.1.06.04-1004</t>
        </is>
      </c>
      <c r="C210" s="356" t="inlineStr">
        <is>
          <t>Клей монтажный для минераловатных плит</t>
        </is>
      </c>
      <c r="D210" s="357" t="inlineStr">
        <is>
          <t>т</t>
        </is>
      </c>
      <c r="E210" s="267" t="n">
        <v>20.388</v>
      </c>
      <c r="F210" s="359" t="n">
        <v>6456.25</v>
      </c>
      <c r="G210" s="268">
        <f>ROUND(E210*F210,2)</f>
        <v/>
      </c>
      <c r="H210" s="269">
        <f>G210/$G$1004</f>
        <v/>
      </c>
      <c r="I210" s="268">
        <f>ROUND(F210*Прил.10!$D$13,2)</f>
        <v/>
      </c>
      <c r="J210" s="268">
        <f>ROUND(I210*E210,2)</f>
        <v/>
      </c>
    </row>
    <row r="211" ht="38.85" customFormat="1" customHeight="1" s="255">
      <c r="A211" s="357" t="n">
        <v>184</v>
      </c>
      <c r="B211" s="265" t="inlineStr">
        <is>
          <t>12.2.05.05-0048</t>
        </is>
      </c>
      <c r="C211" s="356" t="inlineStr">
        <is>
          <t>Плиты минераловатные на синтетическом связующем Техно (ТУ 5762-043-17925162-2006), марки: ТЕХНОФЛОР ПРОФ</t>
        </is>
      </c>
      <c r="D211" s="357" t="inlineStr">
        <is>
          <t>м3</t>
        </is>
      </c>
      <c r="E211" s="267" t="n">
        <v>173.3</v>
      </c>
      <c r="F211" s="359" t="n">
        <v>1116.25</v>
      </c>
      <c r="G211" s="268">
        <f>ROUND(E211*F211,2)</f>
        <v/>
      </c>
      <c r="H211" s="269">
        <f>G211/$G$1004</f>
        <v/>
      </c>
      <c r="I211" s="268">
        <f>ROUND(F211*Прил.10!$D$13,2)</f>
        <v/>
      </c>
      <c r="J211" s="268">
        <f>ROUND(I211*E211,2)</f>
        <v/>
      </c>
    </row>
    <row r="212" ht="13.7" customFormat="1" customHeight="1" s="255">
      <c r="A212" s="357" t="n">
        <v>185</v>
      </c>
      <c r="B212" s="265" t="inlineStr">
        <is>
          <t>08.4.02.04-0001</t>
        </is>
      </c>
      <c r="C212" s="356" t="inlineStr">
        <is>
          <t>Каркасы металлические</t>
        </is>
      </c>
      <c r="D212" s="357" t="inlineStr">
        <is>
          <t>т</t>
        </is>
      </c>
      <c r="E212" s="267" t="n">
        <v>14.43837</v>
      </c>
      <c r="F212" s="359" t="n">
        <v>8200</v>
      </c>
      <c r="G212" s="268">
        <f>ROUND(E212*F212,2)</f>
        <v/>
      </c>
      <c r="H212" s="269">
        <f>G212/$G$1004</f>
        <v/>
      </c>
      <c r="I212" s="268">
        <f>ROUND(F212*Прил.10!$D$13,2)</f>
        <v/>
      </c>
      <c r="J212" s="268">
        <f>ROUND(I212*E212,2)</f>
        <v/>
      </c>
    </row>
    <row r="213" ht="38.85" customFormat="1" customHeight="1" s="255">
      <c r="A213" s="357" t="n">
        <v>186</v>
      </c>
      <c r="B213" s="265" t="inlineStr">
        <is>
          <t>04.1.02.05-0071</t>
        </is>
      </c>
      <c r="C213" s="356" t="inlineStr">
        <is>
          <t>Смеси бетонные тяжелого бетона (БСТ), крупность заполнителя 40 мм, класс В60 (М800)</t>
        </is>
      </c>
      <c r="D213" s="357" t="inlineStr">
        <is>
          <t>м3</t>
        </is>
      </c>
      <c r="E213" s="267" t="n">
        <v>173.4066</v>
      </c>
      <c r="F213" s="359" t="n">
        <v>1389.98</v>
      </c>
      <c r="G213" s="268">
        <f>ROUND(E213*F213,2)</f>
        <v/>
      </c>
      <c r="H213" s="269">
        <f>G213/$G$1004</f>
        <v/>
      </c>
      <c r="I213" s="268">
        <f>ROUND(F213*Прил.10!$D$13,2)</f>
        <v/>
      </c>
      <c r="J213" s="268">
        <f>ROUND(I213*E213,2)</f>
        <v/>
      </c>
    </row>
    <row r="214" ht="38.85" customFormat="1" customHeight="1" s="255">
      <c r="A214" s="357" t="n">
        <v>187</v>
      </c>
      <c r="B214" s="265" t="inlineStr">
        <is>
          <t>04.1.02.05-0064</t>
        </is>
      </c>
      <c r="C214" s="356" t="inlineStr">
        <is>
          <t>Смеси бетонные тяжелого бетона (БСТ), крупность заполнителя 40 мм, класс В27,5 (М350)</t>
        </is>
      </c>
      <c r="D214" s="357" t="inlineStr">
        <is>
          <t>м3</t>
        </is>
      </c>
      <c r="E214" s="267" t="n">
        <v>146.06</v>
      </c>
      <c r="F214" s="359" t="n">
        <v>763.5599999999999</v>
      </c>
      <c r="G214" s="268">
        <f>ROUND(E214*F214,2)</f>
        <v/>
      </c>
      <c r="H214" s="269">
        <f>G214/$G$1004</f>
        <v/>
      </c>
      <c r="I214" s="268">
        <f>ROUND(F214*Прил.10!$D$13,2)</f>
        <v/>
      </c>
      <c r="J214" s="268">
        <f>ROUND(I214*E214,2)</f>
        <v/>
      </c>
    </row>
    <row r="215" ht="38.85" customFormat="1" customHeight="1" s="255">
      <c r="A215" s="357" t="n">
        <v>188</v>
      </c>
      <c r="B215" s="265" t="inlineStr">
        <is>
          <t>07.2.05.02-0001</t>
        </is>
      </c>
      <c r="C215" s="356" t="inlineStr">
        <is>
          <t>Изделия фасонные (толщина 0,5 мм) для трехслойных стеновых сэндвич-панелей с покрытием полиэстер</t>
        </is>
      </c>
      <c r="D215" s="357" t="inlineStr">
        <is>
          <t>м2</t>
        </is>
      </c>
      <c r="E215" s="267" t="n">
        <v>714</v>
      </c>
      <c r="F215" s="359" t="n">
        <v>138.67</v>
      </c>
      <c r="G215" s="268">
        <f>ROUND(E215*F215,2)</f>
        <v/>
      </c>
      <c r="H215" s="269">
        <f>G215/$G$1004</f>
        <v/>
      </c>
      <c r="I215" s="268">
        <f>ROUND(F215*Прил.10!$D$13,2)</f>
        <v/>
      </c>
      <c r="J215" s="268">
        <f>ROUND(I215*E215,2)</f>
        <v/>
      </c>
    </row>
    <row r="216" ht="13.7" customFormat="1" customHeight="1" s="255">
      <c r="A216" s="357" t="n">
        <v>189</v>
      </c>
      <c r="B216" s="265" t="inlineStr">
        <is>
          <t>12.1.02.10-0124</t>
        </is>
      </c>
      <c r="C216" s="356" t="inlineStr">
        <is>
          <t>Полимерный материал: Logicroof V-RP - 1,5</t>
        </is>
      </c>
      <c r="D216" s="357" t="inlineStr">
        <is>
          <t>м2</t>
        </is>
      </c>
      <c r="E216" s="267" t="n">
        <v>1372</v>
      </c>
      <c r="F216" s="359" t="n">
        <v>71.55</v>
      </c>
      <c r="G216" s="268">
        <f>ROUND(E216*F216,2)</f>
        <v/>
      </c>
      <c r="H216" s="269">
        <f>G216/$G$1004</f>
        <v/>
      </c>
      <c r="I216" s="268">
        <f>ROUND(F216*Прил.10!$D$13,2)</f>
        <v/>
      </c>
      <c r="J216" s="268">
        <f>ROUND(I216*E216,2)</f>
        <v/>
      </c>
    </row>
    <row r="217" ht="38.85" customFormat="1" customHeight="1" s="255">
      <c r="A217" s="357" t="n">
        <v>190</v>
      </c>
      <c r="B217" s="265" t="inlineStr">
        <is>
          <t>04.1.02.05-0044</t>
        </is>
      </c>
      <c r="C217" s="356" t="inlineStr">
        <is>
          <t>Смеси бетонные тяжелого бетона (БСТ), крупность заполнителя 20 мм, класс В20 (М250)</t>
        </is>
      </c>
      <c r="D217" s="357" t="inlineStr">
        <is>
          <t>м3</t>
        </is>
      </c>
      <c r="E217" s="267" t="n">
        <v>140.8408</v>
      </c>
      <c r="F217" s="359" t="n">
        <v>667.83</v>
      </c>
      <c r="G217" s="268">
        <f>ROUND(E217*F217,2)</f>
        <v/>
      </c>
      <c r="H217" s="269">
        <f>G217/$G$1004</f>
        <v/>
      </c>
      <c r="I217" s="268">
        <f>ROUND(F217*Прил.10!$D$13,2)</f>
        <v/>
      </c>
      <c r="J217" s="268">
        <f>ROUND(I217*E217,2)</f>
        <v/>
      </c>
    </row>
    <row r="218" ht="13.7" customFormat="1" customHeight="1" s="255">
      <c r="A218" s="357" t="n">
        <v>191</v>
      </c>
      <c r="B218" s="265" t="inlineStr">
        <is>
          <t>08.3.09.01-0097</t>
        </is>
      </c>
      <c r="C218" s="356" t="inlineStr">
        <is>
          <t>Профнастил оцинкованный Н60-845-0,8</t>
        </is>
      </c>
      <c r="D218" s="357" t="inlineStr">
        <is>
          <t>м2</t>
        </is>
      </c>
      <c r="E218" s="267" t="n">
        <v>1104.66</v>
      </c>
      <c r="F218" s="359" t="n">
        <v>83.31999999999999</v>
      </c>
      <c r="G218" s="268">
        <f>ROUND(E218*F218,2)</f>
        <v/>
      </c>
      <c r="H218" s="269">
        <f>G218/$G$1004</f>
        <v/>
      </c>
      <c r="I218" s="268">
        <f>ROUND(F218*Прил.10!$D$13,2)</f>
        <v/>
      </c>
      <c r="J218" s="268">
        <f>ROUND(I218*E218,2)</f>
        <v/>
      </c>
    </row>
    <row r="219" ht="25.9" customFormat="1" customHeight="1" s="255">
      <c r="A219" s="357" t="n">
        <v>192</v>
      </c>
      <c r="B219" s="265" t="inlineStr">
        <is>
          <t>04.1.02.05-0006</t>
        </is>
      </c>
      <c r="C219" s="356" t="inlineStr">
        <is>
          <t>Смеси бетонные тяжелого бетона (БСТ), класс B15 (М200)</t>
        </is>
      </c>
      <c r="D219" s="357" t="inlineStr">
        <is>
          <t>м3</t>
        </is>
      </c>
      <c r="E219" s="267" t="n">
        <v>152.7827</v>
      </c>
      <c r="F219" s="359" t="n">
        <v>592.76</v>
      </c>
      <c r="G219" s="268">
        <f>ROUND(E219*F219,2)</f>
        <v/>
      </c>
      <c r="H219" s="269">
        <f>G219/$G$1004</f>
        <v/>
      </c>
      <c r="I219" s="268">
        <f>ROUND(F219*Прил.10!$D$13,2)</f>
        <v/>
      </c>
      <c r="J219" s="268">
        <f>ROUND(I219*E219,2)</f>
        <v/>
      </c>
    </row>
    <row r="220" ht="64.5" customFormat="1" customHeight="1" s="255">
      <c r="A220" s="357" t="n">
        <v>193</v>
      </c>
      <c r="B220" s="265" t="inlineStr">
        <is>
          <t>07.2.05.03-0011</t>
        </is>
      </c>
      <c r="C220" s="356" t="inlineStr">
        <is>
          <t>Площадки встроенные одноярусные и многоярусные для обслуживания и установки оборудования со стальным настилом, расход стали на 1 м2 площадки до 50 кг</t>
        </is>
      </c>
      <c r="D220" s="357" t="inlineStr">
        <is>
          <t>т</t>
        </is>
      </c>
      <c r="E220" s="267" t="n">
        <v>8.220000000000001</v>
      </c>
      <c r="F220" s="359" t="n">
        <v>9766.040000000001</v>
      </c>
      <c r="G220" s="268">
        <f>ROUND(E220*F220,2)</f>
        <v/>
      </c>
      <c r="H220" s="269">
        <f>G220/$G$1004</f>
        <v/>
      </c>
      <c r="I220" s="268">
        <f>ROUND(F220*Прил.10!$D$13,2)</f>
        <v/>
      </c>
      <c r="J220" s="268">
        <f>ROUND(I220*E220,2)</f>
        <v/>
      </c>
    </row>
    <row r="221" ht="25.9" customFormat="1" customHeight="1" s="255">
      <c r="A221" s="357" t="n">
        <v>194</v>
      </c>
      <c r="B221" s="265" t="inlineStr">
        <is>
          <t>01.6.03.04-0351</t>
        </is>
      </c>
      <c r="C221" s="356" t="inlineStr">
        <is>
          <t>Покрытие поливинилхлоридное ковровое с печатным рисунком ПО</t>
        </is>
      </c>
      <c r="D221" s="357" t="inlineStr">
        <is>
          <t>м2</t>
        </is>
      </c>
      <c r="E221" s="267" t="n">
        <v>1571.87</v>
      </c>
      <c r="F221" s="359" t="n">
        <v>158.96</v>
      </c>
      <c r="G221" s="268">
        <f>ROUND(E221*F221,2)</f>
        <v/>
      </c>
      <c r="H221" s="269">
        <f>G221/$G$1004</f>
        <v/>
      </c>
      <c r="I221" s="268">
        <f>ROUND(F221*Прил.10!$D$13,2)</f>
        <v/>
      </c>
      <c r="J221" s="268">
        <f>ROUND(I221*E221,2)</f>
        <v/>
      </c>
    </row>
    <row r="222" ht="25.9" customFormat="1" customHeight="1" s="255">
      <c r="A222" s="357" t="n">
        <v>195</v>
      </c>
      <c r="B222" s="265" t="inlineStr">
        <is>
          <t>04.1.02.05-0003</t>
        </is>
      </c>
      <c r="C222" s="356" t="inlineStr">
        <is>
          <t>Смеси бетонные тяжелого бетона (БСТ), класс B7,5 (М100)</t>
        </is>
      </c>
      <c r="D222" s="357" t="inlineStr">
        <is>
          <t>м3</t>
        </is>
      </c>
      <c r="E222" s="267" t="n">
        <v>139.44</v>
      </c>
      <c r="F222" s="359" t="n">
        <v>560</v>
      </c>
      <c r="G222" s="268">
        <f>ROUND(E222*F222,2)</f>
        <v/>
      </c>
      <c r="H222" s="269">
        <f>G222/$G$1004</f>
        <v/>
      </c>
      <c r="I222" s="268">
        <f>ROUND(F222*Прил.10!$D$13,2)</f>
        <v/>
      </c>
      <c r="J222" s="268">
        <f>ROUND(I222*E222,2)</f>
        <v/>
      </c>
    </row>
    <row r="223" ht="25.9" customFormat="1" customHeight="1" s="255">
      <c r="A223" s="357" t="n">
        <v>196</v>
      </c>
      <c r="B223" s="265" t="inlineStr">
        <is>
          <t>08.3.09.01-0008</t>
        </is>
      </c>
      <c r="C223" s="356" t="inlineStr">
        <is>
          <t>Профилированный лист оцинкованный: Н60-845-0,55</t>
        </is>
      </c>
      <c r="D223" s="357" t="inlineStr">
        <is>
          <t>т</t>
        </is>
      </c>
      <c r="E223" s="267" t="n">
        <v>7.715</v>
      </c>
      <c r="F223" s="359" t="n">
        <v>11817.6</v>
      </c>
      <c r="G223" s="268">
        <f>ROUND(E223*F223,2)</f>
        <v/>
      </c>
      <c r="H223" s="269">
        <f>G223/$G$1004</f>
        <v/>
      </c>
      <c r="I223" s="268">
        <f>ROUND(F223*Прил.10!$D$13,2)</f>
        <v/>
      </c>
      <c r="J223" s="268">
        <f>ROUND(I223*E223,2)</f>
        <v/>
      </c>
    </row>
    <row r="224" ht="77.45" customFormat="1" customHeight="1" s="255">
      <c r="A224" s="357" t="n">
        <v>197</v>
      </c>
      <c r="B224" s="265" t="inlineStr">
        <is>
          <t>07.2.07.12-0003</t>
        </is>
      </c>
      <c r="C224" s="356" t="inlineStr">
        <is>
          <t>Элементы конструктивные вспомогательного назначения массой не более 50 кг с преобладанием толстолистовой стали, собираемые из двух и более деталей, с отверстиями и без отверстий, соединяемые на сварке</t>
        </is>
      </c>
      <c r="D224" s="357" t="inlineStr">
        <is>
          <t>т</t>
        </is>
      </c>
      <c r="E224" s="267" t="n">
        <v>6.4015</v>
      </c>
      <c r="F224" s="359" t="n">
        <v>11255</v>
      </c>
      <c r="G224" s="268">
        <f>ROUND(E224*F224,2)</f>
        <v/>
      </c>
      <c r="H224" s="269">
        <f>G224/$G$1004</f>
        <v/>
      </c>
      <c r="I224" s="268">
        <f>ROUND(F224*Прил.10!$D$13,2)</f>
        <v/>
      </c>
      <c r="J224" s="268">
        <f>ROUND(I224*E224,2)</f>
        <v/>
      </c>
    </row>
    <row r="225" ht="38.85" customFormat="1" customHeight="1" s="255">
      <c r="A225" s="357" t="n">
        <v>198</v>
      </c>
      <c r="B225" s="265" t="inlineStr">
        <is>
          <t>12.2.05.05-0037</t>
        </is>
      </c>
      <c r="C225" s="356" t="inlineStr">
        <is>
          <t>Плиты минераловатные на синтетическом связующем Техно (ТУ 5762-043-17925162-2006), марки: ТЕХНОРУФ В70</t>
        </is>
      </c>
      <c r="D225" s="357" t="inlineStr">
        <is>
          <t>м3</t>
        </is>
      </c>
      <c r="E225" s="267" t="n">
        <v>57.77</v>
      </c>
      <c r="F225" s="359" t="n">
        <v>1238.64</v>
      </c>
      <c r="G225" s="268">
        <f>ROUND(E225*F225,2)</f>
        <v/>
      </c>
      <c r="H225" s="269">
        <f>G225/$G$1004</f>
        <v/>
      </c>
      <c r="I225" s="268">
        <f>ROUND(F225*Прил.10!$D$13,2)</f>
        <v/>
      </c>
      <c r="J225" s="268">
        <f>ROUND(I225*E225,2)</f>
        <v/>
      </c>
    </row>
    <row r="226" ht="38.85" customFormat="1" customHeight="1" s="255">
      <c r="A226" s="357" t="n">
        <v>199</v>
      </c>
      <c r="B226" s="265" t="inlineStr">
        <is>
          <t>19.4.02.01-0086</t>
        </is>
      </c>
      <c r="C226" s="356" t="inlineStr">
        <is>
          <t>Глушители шума прямоугольного сечения пластинчатые ГП 7-3 с обтекателем, сечение обечайки 1600x1500 мм</t>
        </is>
      </c>
      <c r="D226" s="357" t="inlineStr">
        <is>
          <t>шт</t>
        </is>
      </c>
      <c r="E226" s="267" t="n">
        <v>8</v>
      </c>
      <c r="F226" s="359" t="n">
        <v>11517.12</v>
      </c>
      <c r="G226" s="268">
        <f>ROUND(E226*F226,2)</f>
        <v/>
      </c>
      <c r="H226" s="269">
        <f>G226/$G$1004</f>
        <v/>
      </c>
      <c r="I226" s="268">
        <f>ROUND(F226*Прил.10!$D$13,2)</f>
        <v/>
      </c>
      <c r="J226" s="268">
        <f>ROUND(I226*E226,2)</f>
        <v/>
      </c>
    </row>
    <row r="227" ht="38.85" customFormat="1" customHeight="1" s="255">
      <c r="A227" s="357" t="n">
        <v>200</v>
      </c>
      <c r="B227" s="265" t="inlineStr">
        <is>
          <t>08.4.03.03-0032</t>
        </is>
      </c>
      <c r="C227" s="356" t="inlineStr">
        <is>
          <t>Сталь арматурная, горячекатаная, периодического профиля, класс А-III, диаметр 12 мм</t>
        </is>
      </c>
      <c r="D227" s="357" t="inlineStr">
        <is>
          <t>т</t>
        </is>
      </c>
      <c r="E227" s="267" t="n">
        <v>8.480370000000001</v>
      </c>
      <c r="F227" s="359" t="n">
        <v>7997.23</v>
      </c>
      <c r="G227" s="268">
        <f>ROUND(E227*F227,2)</f>
        <v/>
      </c>
      <c r="H227" s="269">
        <f>G227/$G$1004</f>
        <v/>
      </c>
      <c r="I227" s="268">
        <f>ROUND(F227*Прил.10!$D$13,2)</f>
        <v/>
      </c>
      <c r="J227" s="268">
        <f>ROUND(I227*E227,2)</f>
        <v/>
      </c>
    </row>
    <row r="228" ht="25.9" customFormat="1" customHeight="1" s="255">
      <c r="A228" s="357" t="n">
        <v>201</v>
      </c>
      <c r="B228" s="265" t="inlineStr">
        <is>
          <t>14.3.02.05-0107</t>
        </is>
      </c>
      <c r="C228" s="356" t="inlineStr">
        <is>
          <t>Краска силикатная фасадная CT-Fassadenfinisch 130</t>
        </is>
      </c>
      <c r="D228" s="357" t="inlineStr">
        <is>
          <t>л</t>
        </is>
      </c>
      <c r="E228" s="267" t="n">
        <v>1019</v>
      </c>
      <c r="F228" s="359" t="n">
        <v>115.66</v>
      </c>
      <c r="G228" s="268">
        <f>ROUND(E228*F228,2)</f>
        <v/>
      </c>
      <c r="H228" s="269">
        <f>G228/$G$1004</f>
        <v/>
      </c>
      <c r="I228" s="268">
        <f>ROUND(F228*Прил.10!$D$13,2)</f>
        <v/>
      </c>
      <c r="J228" s="268">
        <f>ROUND(I228*E228,2)</f>
        <v/>
      </c>
    </row>
    <row r="229" ht="25.9" customFormat="1" customHeight="1" s="255">
      <c r="A229" s="357" t="n">
        <v>202</v>
      </c>
      <c r="B229" s="265" t="inlineStr">
        <is>
          <t>25.2.01.08-0002</t>
        </is>
      </c>
      <c r="C229" s="356" t="inlineStr">
        <is>
          <t>Клемма заземления в комплекте с клыковой шайбой</t>
        </is>
      </c>
      <c r="D229" s="357" t="inlineStr">
        <is>
          <t>шт</t>
        </is>
      </c>
      <c r="E229" s="267" t="n">
        <v>850</v>
      </c>
      <c r="F229" s="359" t="n">
        <v>110.4</v>
      </c>
      <c r="G229" s="268">
        <f>ROUND(E229*F229,2)</f>
        <v/>
      </c>
      <c r="H229" s="269">
        <f>G229/$G$1004</f>
        <v/>
      </c>
      <c r="I229" s="268">
        <f>ROUND(F229*Прил.10!$D$13,2)</f>
        <v/>
      </c>
      <c r="J229" s="268">
        <f>ROUND(I229*E229,2)</f>
        <v/>
      </c>
    </row>
    <row r="230" ht="38.85" customFormat="1" customHeight="1" s="255">
      <c r="A230" s="357" t="n">
        <v>203</v>
      </c>
      <c r="B230" s="265" t="inlineStr">
        <is>
          <t>04.1.02.05-0028</t>
        </is>
      </c>
      <c r="C230" s="356" t="inlineStr">
        <is>
          <t>Смеси бетонные тяжелого бетона (БСТ), крупность заполнителя 10 мм, класс B22,5 (М300)</t>
        </is>
      </c>
      <c r="D230" s="357" t="inlineStr">
        <is>
          <t>м3</t>
        </is>
      </c>
      <c r="E230" s="267" t="n">
        <v>80.16</v>
      </c>
      <c r="F230" s="359" t="n">
        <v>738.5599999999999</v>
      </c>
      <c r="G230" s="268">
        <f>ROUND(E230*F230,2)</f>
        <v/>
      </c>
      <c r="H230" s="269">
        <f>G230/$G$1004</f>
        <v/>
      </c>
      <c r="I230" s="268">
        <f>ROUND(F230*Прил.10!$D$13,2)</f>
        <v/>
      </c>
      <c r="J230" s="268">
        <f>ROUND(I230*E230,2)</f>
        <v/>
      </c>
    </row>
    <row r="231" ht="38.85" customFormat="1" customHeight="1" s="255">
      <c r="A231" s="357" t="n">
        <v>204</v>
      </c>
      <c r="B231" s="265" t="inlineStr">
        <is>
          <t>07.1.01.01-0023</t>
        </is>
      </c>
      <c r="C231" s="356" t="inlineStr">
        <is>
          <t>Дверь противопожарная металлическая остекленная двупольная ДПМО-02/30, размером 1500х2100 мм</t>
        </is>
      </c>
      <c r="D231" s="357" t="inlineStr">
        <is>
          <t>шт</t>
        </is>
      </c>
      <c r="E231" s="267" t="n">
        <v>10</v>
      </c>
      <c r="F231" s="359" t="n">
        <v>5825.55</v>
      </c>
      <c r="G231" s="268">
        <f>ROUND(E231*F231,2)</f>
        <v/>
      </c>
      <c r="H231" s="269">
        <f>G231/$G$1004</f>
        <v/>
      </c>
      <c r="I231" s="268">
        <f>ROUND(F231*Прил.10!$D$13,2)</f>
        <v/>
      </c>
      <c r="J231" s="268">
        <f>ROUND(I231*E231,2)</f>
        <v/>
      </c>
    </row>
    <row r="232" ht="38.85" customFormat="1" customHeight="1" s="255">
      <c r="A232" s="357" t="n">
        <v>205</v>
      </c>
      <c r="B232" s="265" t="inlineStr">
        <is>
          <t>04.3.02.09-1513</t>
        </is>
      </c>
      <c r="C232" s="356" t="inlineStr">
        <is>
          <t>Штукатурка минеральная декоративная CERESIT CT 35 "короед", зерно 2,5 мм (цветная)</t>
        </is>
      </c>
      <c r="D232" s="357" t="inlineStr">
        <is>
          <t>кг</t>
        </is>
      </c>
      <c r="E232" s="267" t="n">
        <v>10194</v>
      </c>
      <c r="F232" s="359" t="n">
        <v>5.68</v>
      </c>
      <c r="G232" s="268">
        <f>ROUND(E232*F232,2)</f>
        <v/>
      </c>
      <c r="H232" s="269">
        <f>G232/$G$1004</f>
        <v/>
      </c>
      <c r="I232" s="268">
        <f>ROUND(F232*Прил.10!$D$13,2)</f>
        <v/>
      </c>
      <c r="J232" s="268">
        <f>ROUND(I232*E232,2)</f>
        <v/>
      </c>
    </row>
    <row r="233" ht="51.6" customFormat="1" customHeight="1" s="255">
      <c r="A233" s="357" t="n">
        <v>206</v>
      </c>
      <c r="B233" s="265" t="inlineStr">
        <is>
          <t>11.3.02.01-0016</t>
        </is>
      </c>
      <c r="C233" s="356" t="inlineStr">
        <is>
          <t>Блок оконный из ПВХ профиля двустворчатый, с глухой и поворотно-откидной створкой, двухкамерным стеклопакетом (32 мм), площадью до 2 м2</t>
        </is>
      </c>
      <c r="D233" s="357" t="inlineStr">
        <is>
          <t>м2</t>
        </is>
      </c>
      <c r="E233" s="267" t="n">
        <v>18</v>
      </c>
      <c r="F233" s="359" t="n">
        <v>3174.78</v>
      </c>
      <c r="G233" s="268">
        <f>ROUND(E233*F233,2)</f>
        <v/>
      </c>
      <c r="H233" s="269">
        <f>G233/$G$1004</f>
        <v/>
      </c>
      <c r="I233" s="268">
        <f>ROUND(F233*Прил.10!$D$13,2)</f>
        <v/>
      </c>
      <c r="J233" s="268">
        <f>ROUND(I233*E233,2)</f>
        <v/>
      </c>
    </row>
    <row r="234" ht="13.7" customFormat="1" customHeight="1" s="255">
      <c r="A234" s="357" t="n">
        <v>207</v>
      </c>
      <c r="B234" s="265" t="inlineStr">
        <is>
          <t>08.3.07.01-0043</t>
        </is>
      </c>
      <c r="C234" s="356" t="inlineStr">
        <is>
          <t>Сталь полосовая: 40х5 мм, марка Ст3сп</t>
        </is>
      </c>
      <c r="D234" s="357" t="inlineStr">
        <is>
          <t>т</t>
        </is>
      </c>
      <c r="E234" s="267" t="n">
        <v>8.823399999999999</v>
      </c>
      <c r="F234" s="359" t="n">
        <v>6159.22</v>
      </c>
      <c r="G234" s="268">
        <f>ROUND(E234*F234,2)</f>
        <v/>
      </c>
      <c r="H234" s="269">
        <f>G234/$G$1004</f>
        <v/>
      </c>
      <c r="I234" s="268">
        <f>ROUND(F234*Прил.10!$D$13,2)</f>
        <v/>
      </c>
      <c r="J234" s="268">
        <f>ROUND(I234*E234,2)</f>
        <v/>
      </c>
    </row>
    <row r="235" ht="25.9" customFormat="1" customHeight="1" s="255">
      <c r="A235" s="357" t="n">
        <v>208</v>
      </c>
      <c r="B235" s="265" t="inlineStr">
        <is>
          <t>14.3.02.01-0219</t>
        </is>
      </c>
      <c r="C235" s="356" t="inlineStr">
        <is>
          <t>Краска универсальная, акриловая для внутренних и наружных работ</t>
        </is>
      </c>
      <c r="D235" s="357" t="inlineStr">
        <is>
          <t>т</t>
        </is>
      </c>
      <c r="E235" s="267" t="n">
        <v>3.1155</v>
      </c>
      <c r="F235" s="359" t="n">
        <v>15481</v>
      </c>
      <c r="G235" s="268">
        <f>ROUND(E235*F235,2)</f>
        <v/>
      </c>
      <c r="H235" s="269">
        <f>G235/$G$1004</f>
        <v/>
      </c>
      <c r="I235" s="268">
        <f>ROUND(F235*Прил.10!$D$13,2)</f>
        <v/>
      </c>
      <c r="J235" s="268">
        <f>ROUND(I235*E235,2)</f>
        <v/>
      </c>
    </row>
    <row r="236" ht="38.85" customFormat="1" customHeight="1" s="255">
      <c r="A236" s="357" t="n">
        <v>209</v>
      </c>
      <c r="B236" s="265" t="inlineStr">
        <is>
          <t>12.2.05.09-0008</t>
        </is>
      </c>
      <c r="C236" s="356" t="inlineStr">
        <is>
          <t>Пенополистирол экструдированный ТЕХНОНИКОЛЬ XPS CARBON 30-280 Стандарт</t>
        </is>
      </c>
      <c r="D236" s="357" t="inlineStr">
        <is>
          <t>м3</t>
        </is>
      </c>
      <c r="E236" s="267" t="n">
        <v>29.861</v>
      </c>
      <c r="F236" s="359" t="n">
        <v>1497.04</v>
      </c>
      <c r="G236" s="268">
        <f>ROUND(E236*F236,2)</f>
        <v/>
      </c>
      <c r="H236" s="269">
        <f>G236/$G$1004</f>
        <v/>
      </c>
      <c r="I236" s="268">
        <f>ROUND(F236*Прил.10!$D$13,2)</f>
        <v/>
      </c>
      <c r="J236" s="268">
        <f>ROUND(I236*E236,2)</f>
        <v/>
      </c>
    </row>
    <row r="237" ht="25.9" customFormat="1" customHeight="1" s="255">
      <c r="A237" s="357" t="n">
        <v>210</v>
      </c>
      <c r="B237" s="265" t="inlineStr">
        <is>
          <t>14.4.02.09-0301</t>
        </is>
      </c>
      <c r="C237" s="356" t="inlineStr">
        <is>
          <t>Композиция антикоррозионная цинкнаполненная</t>
        </is>
      </c>
      <c r="D237" s="357" t="inlineStr">
        <is>
          <t>кг</t>
        </is>
      </c>
      <c r="E237" s="267" t="n">
        <v>182.88</v>
      </c>
      <c r="F237" s="359" t="n">
        <v>238.48</v>
      </c>
      <c r="G237" s="268">
        <f>ROUND(E237*F237,2)</f>
        <v/>
      </c>
      <c r="H237" s="269">
        <f>G237/$G$1004</f>
        <v/>
      </c>
      <c r="I237" s="268">
        <f>ROUND(F237*Прил.10!$D$13,2)</f>
        <v/>
      </c>
      <c r="J237" s="268">
        <f>ROUND(I237*E237,2)</f>
        <v/>
      </c>
    </row>
    <row r="238" ht="38.85" customFormat="1" customHeight="1" s="255">
      <c r="A238" s="357" t="n">
        <v>211</v>
      </c>
      <c r="B238" s="265" t="inlineStr">
        <is>
          <t>19.1.01.03-0079</t>
        </is>
      </c>
      <c r="C238" s="356" t="inlineStr">
        <is>
          <t>Воздуховоды из оцинкованной стали толщиной: 0,7 мм, периметром от 1700 до 4000 мм</t>
        </is>
      </c>
      <c r="D238" s="357" t="inlineStr">
        <is>
          <t>м2</t>
        </is>
      </c>
      <c r="E238" s="267" t="n">
        <v>383.2</v>
      </c>
      <c r="F238" s="359" t="n">
        <v>109.09</v>
      </c>
      <c r="G238" s="268">
        <f>ROUND(E238*F238,2)</f>
        <v/>
      </c>
      <c r="H238" s="269">
        <f>G238/$G$1004</f>
        <v/>
      </c>
      <c r="I238" s="268">
        <f>ROUND(F238*Прил.10!$D$13,2)</f>
        <v/>
      </c>
      <c r="J238" s="268">
        <f>ROUND(I238*E238,2)</f>
        <v/>
      </c>
    </row>
    <row r="239" ht="77.45" customFormat="1" customHeight="1" s="255">
      <c r="A239" s="357" t="n">
        <v>212</v>
      </c>
      <c r="B239" s="265" t="inlineStr">
        <is>
          <t>07.2.05.05-0010</t>
        </is>
      </c>
      <c r="C239" s="356" t="inlineStr">
        <is>
          <t>Сэндвич-панель трехслойная кровельная "Металл Профиль" с наполнителем из минеральной ваты (НГ) плотностью 110кг/м3, марка МП ТСП-K, толщина: 100 мм, тип покрытия полиэстер, толщина металлических облицовок 0,5 мм (Россия)</t>
        </is>
      </c>
      <c r="D239" s="357" t="inlineStr">
        <is>
          <t>м2</t>
        </is>
      </c>
      <c r="E239" s="267" t="n">
        <v>181.4</v>
      </c>
      <c r="F239" s="359" t="n">
        <v>226.28</v>
      </c>
      <c r="G239" s="268">
        <f>ROUND(E239*F239,2)</f>
        <v/>
      </c>
      <c r="H239" s="269">
        <f>G239/$G$1004</f>
        <v/>
      </c>
      <c r="I239" s="268">
        <f>ROUND(F239*Прил.10!$D$13,2)</f>
        <v/>
      </c>
      <c r="J239" s="268">
        <f>ROUND(I239*E239,2)</f>
        <v/>
      </c>
    </row>
    <row r="240" ht="38.85" customFormat="1" customHeight="1" s="255">
      <c r="A240" s="357" t="n">
        <v>213</v>
      </c>
      <c r="B240" s="265" t="inlineStr">
        <is>
          <t>19.3.01.13-0053</t>
        </is>
      </c>
      <c r="C240" s="356" t="inlineStr">
        <is>
          <t>Клапаны противопожарные с пружинным приводом в комбинации с тепловым замком, тип КПС-1 (60), размер 800х800 мм</t>
        </is>
      </c>
      <c r="D240" s="357" t="inlineStr">
        <is>
          <t>шт</t>
        </is>
      </c>
      <c r="E240" s="267" t="n">
        <v>20</v>
      </c>
      <c r="F240" s="359" t="n">
        <v>1983.76</v>
      </c>
      <c r="G240" s="268">
        <f>ROUND(E240*F240,2)</f>
        <v/>
      </c>
      <c r="H240" s="269">
        <f>G240/$G$1004</f>
        <v/>
      </c>
      <c r="I240" s="268">
        <f>ROUND(F240*Прил.10!$D$13,2)</f>
        <v/>
      </c>
      <c r="J240" s="268">
        <f>ROUND(I240*E240,2)</f>
        <v/>
      </c>
    </row>
    <row r="241" ht="13.7" customFormat="1" customHeight="1" s="255">
      <c r="A241" s="357" t="n">
        <v>214</v>
      </c>
      <c r="B241" s="265" t="inlineStr">
        <is>
          <t>12.1.02.03-0179</t>
        </is>
      </c>
      <c r="C241" s="356" t="inlineStr">
        <is>
          <t>Техноэласт: Термо ЭПП</t>
        </is>
      </c>
      <c r="D241" s="357" t="inlineStr">
        <is>
          <t>м2</t>
        </is>
      </c>
      <c r="E241" s="267" t="n">
        <v>1536.065</v>
      </c>
      <c r="F241" s="359" t="n">
        <v>24.94</v>
      </c>
      <c r="G241" s="268">
        <f>ROUND(E241*F241,2)</f>
        <v/>
      </c>
      <c r="H241" s="269">
        <f>G241/$G$1004</f>
        <v/>
      </c>
      <c r="I241" s="268">
        <f>ROUND(F241*Прил.10!$D$13,2)</f>
        <v/>
      </c>
      <c r="J241" s="268">
        <f>ROUND(I241*E241,2)</f>
        <v/>
      </c>
    </row>
    <row r="242" ht="38.85" customFormat="1" customHeight="1" s="255">
      <c r="A242" s="357" t="n">
        <v>215</v>
      </c>
      <c r="B242" s="265" t="inlineStr">
        <is>
          <t>21.1.06.05-0001</t>
        </is>
      </c>
      <c r="C242" s="356" t="inlineStr">
        <is>
          <t>Кабель нагревательный одножильный экранированный, мощность 245 Вт, длина 9,5 м</t>
        </is>
      </c>
      <c r="D242" s="357" t="inlineStr">
        <is>
          <t>компл</t>
        </is>
      </c>
      <c r="E242" s="267" t="n">
        <v>86</v>
      </c>
      <c r="F242" s="359" t="n">
        <v>440.24</v>
      </c>
      <c r="G242" s="268">
        <f>ROUND(E242*F242,2)</f>
        <v/>
      </c>
      <c r="H242" s="269">
        <f>G242/$G$1004</f>
        <v/>
      </c>
      <c r="I242" s="268">
        <f>ROUND(F242*Прил.10!$D$13,2)</f>
        <v/>
      </c>
      <c r="J242" s="268">
        <f>ROUND(I242*E242,2)</f>
        <v/>
      </c>
    </row>
    <row r="243" ht="38.85" customFormat="1" customHeight="1" s="255">
      <c r="A243" s="357" t="n">
        <v>216</v>
      </c>
      <c r="B243" s="265" t="inlineStr">
        <is>
          <t>19.1.01.03-0081</t>
        </is>
      </c>
      <c r="C243" s="356" t="inlineStr">
        <is>
          <t>Воздуховоды из оцинкованной стали толщиной: 0,9 мм, периметром от 4200 до 5200 мм</t>
        </is>
      </c>
      <c r="D243" s="357" t="inlineStr">
        <is>
          <t>м2</t>
        </is>
      </c>
      <c r="E243" s="267" t="n">
        <v>299.2</v>
      </c>
      <c r="F243" s="359" t="n">
        <v>117.94</v>
      </c>
      <c r="G243" s="268">
        <f>ROUND(E243*F243,2)</f>
        <v/>
      </c>
      <c r="H243" s="269">
        <f>G243/$G$1004</f>
        <v/>
      </c>
      <c r="I243" s="268">
        <f>ROUND(F243*Прил.10!$D$13,2)</f>
        <v/>
      </c>
      <c r="J243" s="268">
        <f>ROUND(I243*E243,2)</f>
        <v/>
      </c>
    </row>
    <row r="244" ht="51.6" customFormat="1" customHeight="1" s="255">
      <c r="A244" s="357" t="n">
        <v>217</v>
      </c>
      <c r="B244" s="265" t="inlineStr">
        <is>
          <t>05.1.05.10-0043</t>
        </is>
      </c>
      <c r="C244" s="356" t="inlineStr">
        <is>
          <t>Сваи железобетонные квадратного сечения сплошные, бетон B25 (М350), расход арматуры от 140,1 до 150 кг на м3 бетона, в плотном теле</t>
        </is>
      </c>
      <c r="D244" s="357" t="inlineStr">
        <is>
          <t>м3</t>
        </is>
      </c>
      <c r="E244" s="267" t="n">
        <v>15.99</v>
      </c>
      <c r="F244" s="359" t="n">
        <v>2131.37</v>
      </c>
      <c r="G244" s="268">
        <f>ROUND(E244*F244,2)</f>
        <v/>
      </c>
      <c r="H244" s="269">
        <f>G244/$G$1004</f>
        <v/>
      </c>
      <c r="I244" s="268">
        <f>ROUND(F244*Прил.10!$D$13,2)</f>
        <v/>
      </c>
      <c r="J244" s="268">
        <f>ROUND(I244*E244,2)</f>
        <v/>
      </c>
    </row>
    <row r="245" ht="14.25" customFormat="1" customHeight="1" s="255">
      <c r="A245" s="357" t="n"/>
      <c r="B245" s="281" t="n"/>
      <c r="C245" s="282" t="inlineStr">
        <is>
          <t>Итого основные материалы</t>
        </is>
      </c>
      <c r="D245" s="368" t="n"/>
      <c r="E245" s="284" t="n"/>
      <c r="F245" s="277" t="n"/>
      <c r="G245" s="277">
        <f>SUM(G197:G244)</f>
        <v/>
      </c>
      <c r="H245" s="269">
        <f>G245/$G$1004</f>
        <v/>
      </c>
      <c r="I245" s="268" t="n"/>
      <c r="J245" s="277">
        <f>SUM(J197:J244)</f>
        <v/>
      </c>
    </row>
    <row r="246" hidden="1" outlineLevel="1" ht="13.7" customFormat="1" customHeight="1" s="255">
      <c r="A246" s="357" t="n">
        <v>218</v>
      </c>
      <c r="B246" s="265" t="inlineStr">
        <is>
          <t>01.8.01.06-0006</t>
        </is>
      </c>
      <c r="C246" s="356" t="inlineStr">
        <is>
          <t>Сетка стеклянная строительная СС-1</t>
        </is>
      </c>
      <c r="D246" s="357" t="inlineStr">
        <is>
          <t>м2</t>
        </is>
      </c>
      <c r="E246" s="267" t="n">
        <v>3906</v>
      </c>
      <c r="F246" s="359" t="n">
        <v>8.460000000000001</v>
      </c>
      <c r="G246" s="268">
        <f>ROUND(E246*F246,2)</f>
        <v/>
      </c>
      <c r="H246" s="269">
        <f>G246/$G$1004</f>
        <v/>
      </c>
      <c r="I246" s="268">
        <f>ROUND(F246*Прил.10!$D$13,2)</f>
        <v/>
      </c>
      <c r="J246" s="268">
        <f>ROUND(I246*E246,2)</f>
        <v/>
      </c>
    </row>
    <row r="247" hidden="1" outlineLevel="1" ht="25.9" customFormat="1" customHeight="1" s="255">
      <c r="A247" s="357" t="n">
        <v>219</v>
      </c>
      <c r="B247" s="265" t="inlineStr">
        <is>
          <t>04.3.01.12-0111</t>
        </is>
      </c>
      <c r="C247" s="356" t="inlineStr">
        <is>
          <t>Раствор готовый отделочный тяжелый, цементно-известковый, состав 1:1:6</t>
        </is>
      </c>
      <c r="D247" s="357" t="inlineStr">
        <is>
          <t>м3</t>
        </is>
      </c>
      <c r="E247" s="267" t="n">
        <v>62.54</v>
      </c>
      <c r="F247" s="359" t="n">
        <v>517.91</v>
      </c>
      <c r="G247" s="268">
        <f>ROUND(E247*F247,2)</f>
        <v/>
      </c>
      <c r="H247" s="269">
        <f>G247/$G$1004</f>
        <v/>
      </c>
      <c r="I247" s="268">
        <f>ROUND(F247*Прил.10!$D$13,2)</f>
        <v/>
      </c>
      <c r="J247" s="268">
        <f>ROUND(I247*E247,2)</f>
        <v/>
      </c>
    </row>
    <row r="248" hidden="1" outlineLevel="1" ht="25.9" customFormat="1" customHeight="1" s="255">
      <c r="A248" s="357" t="n">
        <v>220</v>
      </c>
      <c r="B248" s="265" t="inlineStr">
        <is>
          <t>21.1.06.10-0374</t>
        </is>
      </c>
      <c r="C248" s="356" t="inlineStr">
        <is>
          <t>Кабель силовой с медными жилами ВВГнг(A)-LS 3х1,5ок-1000</t>
        </is>
      </c>
      <c r="D248" s="357" t="inlineStr">
        <is>
          <t>1000 м</t>
        </is>
      </c>
      <c r="E248" s="267" t="n">
        <v>2.7846</v>
      </c>
      <c r="F248" s="359" t="n">
        <v>10960.87</v>
      </c>
      <c r="G248" s="268">
        <f>ROUND(E248*F248,2)</f>
        <v/>
      </c>
      <c r="H248" s="269">
        <f>G248/$G$1004</f>
        <v/>
      </c>
      <c r="I248" s="268">
        <f>ROUND(F248*Прил.10!$D$13,2)</f>
        <v/>
      </c>
      <c r="J248" s="268">
        <f>ROUND(I248*E248,2)</f>
        <v/>
      </c>
    </row>
    <row r="249" hidden="1" outlineLevel="1" ht="51.6" customFormat="1" customHeight="1" s="255">
      <c r="A249" s="357" t="n">
        <v>221</v>
      </c>
      <c r="B249" s="265" t="inlineStr">
        <is>
          <t>12.2.05.10-0001</t>
        </is>
      </c>
      <c r="C249" s="356" t="inlineStr">
        <is>
          <t>Плиты из минеральной ваты, для вентилируемых фасадов, на основе базальтового волокна, толщина от 50 до 125 мм</t>
        </is>
      </c>
      <c r="D249" s="357" t="inlineStr">
        <is>
          <t>м3</t>
        </is>
      </c>
      <c r="E249" s="267" t="n">
        <v>41.93535</v>
      </c>
      <c r="F249" s="359" t="n">
        <v>717.98</v>
      </c>
      <c r="G249" s="268">
        <f>ROUND(E249*F249,2)</f>
        <v/>
      </c>
      <c r="H249" s="269">
        <f>G249/$G$1004</f>
        <v/>
      </c>
      <c r="I249" s="268">
        <f>ROUND(F249*Прил.10!$D$13,2)</f>
        <v/>
      </c>
      <c r="J249" s="268">
        <f>ROUND(I249*E249,2)</f>
        <v/>
      </c>
    </row>
    <row r="250" hidden="1" outlineLevel="1" ht="25.9" customFormat="1" customHeight="1" s="255">
      <c r="A250" s="357" t="n">
        <v>222</v>
      </c>
      <c r="B250" s="265" t="inlineStr">
        <is>
          <t>04.3.01.12-0003</t>
        </is>
      </c>
      <c r="C250" s="356" t="inlineStr">
        <is>
          <t>Раствор кладочный, цементно-известковый, М50</t>
        </is>
      </c>
      <c r="D250" s="357" t="inlineStr">
        <is>
          <t>м3</t>
        </is>
      </c>
      <c r="E250" s="267" t="n">
        <v>57.67</v>
      </c>
      <c r="F250" s="359" t="n">
        <v>519.8</v>
      </c>
      <c r="G250" s="268">
        <f>ROUND(E250*F250,2)</f>
        <v/>
      </c>
      <c r="H250" s="269">
        <f>G250/$G$1004</f>
        <v/>
      </c>
      <c r="I250" s="268">
        <f>ROUND(F250*Прил.10!$D$13,2)</f>
        <v/>
      </c>
      <c r="J250" s="268">
        <f>ROUND(I250*E250,2)</f>
        <v/>
      </c>
    </row>
    <row r="251" hidden="1" outlineLevel="1" ht="25.9" customFormat="1" customHeight="1" s="255">
      <c r="A251" s="357" t="n">
        <v>223</v>
      </c>
      <c r="B251" s="265" t="inlineStr">
        <is>
          <t>08.4.01.01-0022</t>
        </is>
      </c>
      <c r="C251" s="356" t="inlineStr">
        <is>
          <t>Детали анкерные с резьбой из прямых или гнутых круглых стержней</t>
        </is>
      </c>
      <c r="D251" s="357" t="inlineStr">
        <is>
          <t>т</t>
        </is>
      </c>
      <c r="E251" s="267" t="n">
        <v>2.815</v>
      </c>
      <c r="F251" s="359" t="n">
        <v>10100</v>
      </c>
      <c r="G251" s="268">
        <f>ROUND(E251*F251,2)</f>
        <v/>
      </c>
      <c r="H251" s="269">
        <f>G251/$G$1004</f>
        <v/>
      </c>
      <c r="I251" s="268">
        <f>ROUND(F251*Прил.10!$D$13,2)</f>
        <v/>
      </c>
      <c r="J251" s="268">
        <f>ROUND(I251*E251,2)</f>
        <v/>
      </c>
    </row>
    <row r="252" hidden="1" outlineLevel="1" ht="25.9" customFormat="1" customHeight="1" s="255">
      <c r="A252" s="357" t="n">
        <v>224</v>
      </c>
      <c r="B252" s="265" t="inlineStr">
        <is>
          <t>01.6.01.02-0006</t>
        </is>
      </c>
      <c r="C252" s="356" t="inlineStr">
        <is>
          <t>Листы гипсокартонные ГКЛ, толщина 12,5 мм</t>
        </is>
      </c>
      <c r="D252" s="357" t="inlineStr">
        <is>
          <t>м2</t>
        </is>
      </c>
      <c r="E252" s="267" t="n">
        <v>1881.4</v>
      </c>
      <c r="F252" s="359" t="n">
        <v>15</v>
      </c>
      <c r="G252" s="268">
        <f>ROUND(E252*F252,2)</f>
        <v/>
      </c>
      <c r="H252" s="269">
        <f>G252/$G$1004</f>
        <v/>
      </c>
      <c r="I252" s="268">
        <f>ROUND(F252*Прил.10!$D$13,2)</f>
        <v/>
      </c>
      <c r="J252" s="268">
        <f>ROUND(I252*E252,2)</f>
        <v/>
      </c>
    </row>
    <row r="253" hidden="1" outlineLevel="1" ht="51.6" customFormat="1" customHeight="1" s="255">
      <c r="A253" s="357" t="n">
        <v>225</v>
      </c>
      <c r="B253" s="265" t="inlineStr">
        <is>
          <t>05.2.02.01-0049</t>
        </is>
      </c>
      <c r="C253" s="356" t="inlineStr">
        <is>
          <t>Блоки бетонные для стен подвалов полнотелые ФБС12-6-6-Т, бетон B7,5 (М100, объем 0,398 м3, расход арматуры 1,46 кг</t>
        </is>
      </c>
      <c r="D253" s="357" t="inlineStr">
        <is>
          <t>шт</t>
        </is>
      </c>
      <c r="E253" s="267" t="n">
        <v>114</v>
      </c>
      <c r="F253" s="359" t="n">
        <v>238.8</v>
      </c>
      <c r="G253" s="268">
        <f>ROUND(E253*F253,2)</f>
        <v/>
      </c>
      <c r="H253" s="269">
        <f>G253/$G$1004</f>
        <v/>
      </c>
      <c r="I253" s="268">
        <f>ROUND(F253*Прил.10!$D$13,2)</f>
        <v/>
      </c>
      <c r="J253" s="268">
        <f>ROUND(I253*E253,2)</f>
        <v/>
      </c>
    </row>
    <row r="254" hidden="1" outlineLevel="1" ht="51.6" customFormat="1" customHeight="1" s="255">
      <c r="A254" s="357" t="n">
        <v>226</v>
      </c>
      <c r="B254" s="265" t="inlineStr">
        <is>
          <t>07.2.05.02-0042</t>
        </is>
      </c>
      <c r="C254" s="356" t="inlineStr">
        <is>
          <t>Панели металлические трехслойные стеновые с утеплителем из пенополиуретана. Способ изготовления стендовый 1ПТС1016.61.6-СО.8</t>
        </is>
      </c>
      <c r="D254" s="357" t="inlineStr">
        <is>
          <t>м2</t>
        </is>
      </c>
      <c r="E254" s="267" t="n">
        <v>61.916</v>
      </c>
      <c r="F254" s="359" t="n">
        <v>432.98</v>
      </c>
      <c r="G254" s="268">
        <f>ROUND(E254*F254,2)</f>
        <v/>
      </c>
      <c r="H254" s="269">
        <f>G254/$G$1004</f>
        <v/>
      </c>
      <c r="I254" s="268">
        <f>ROUND(F254*Прил.10!$D$13,2)</f>
        <v/>
      </c>
      <c r="J254" s="268">
        <f>ROUND(I254*E254,2)</f>
        <v/>
      </c>
    </row>
    <row r="255" hidden="1" outlineLevel="1" ht="25.9" customFormat="1" customHeight="1" s="255">
      <c r="A255" s="357" t="n">
        <v>227</v>
      </c>
      <c r="B255" s="265" t="inlineStr">
        <is>
          <t>19.3.01.06-0216</t>
        </is>
      </c>
      <c r="C255" s="356" t="inlineStr">
        <is>
          <t>Клапаны воздушные утепленные с ручным приводом КВУ, размер 2400х1000 мм</t>
        </is>
      </c>
      <c r="D255" s="357" t="inlineStr">
        <is>
          <t>шт</t>
        </is>
      </c>
      <c r="E255" s="267" t="n">
        <v>6</v>
      </c>
      <c r="F255" s="359" t="n">
        <v>4449.85</v>
      </c>
      <c r="G255" s="268">
        <f>ROUND(E255*F255,2)</f>
        <v/>
      </c>
      <c r="H255" s="269">
        <f>G255/$G$1004</f>
        <v/>
      </c>
      <c r="I255" s="268">
        <f>ROUND(F255*Прил.10!$D$13,2)</f>
        <v/>
      </c>
      <c r="J255" s="268">
        <f>ROUND(I255*E255,2)</f>
        <v/>
      </c>
    </row>
    <row r="256" hidden="1" outlineLevel="1" ht="13.7" customFormat="1" customHeight="1" s="255">
      <c r="A256" s="357" t="n">
        <v>228</v>
      </c>
      <c r="B256" s="265" t="inlineStr">
        <is>
          <t>14.3.01.02-0104</t>
        </is>
      </c>
      <c r="C256" s="356" t="inlineStr">
        <is>
          <t>Грунтовка колерующая CERESIT CT 16</t>
        </is>
      </c>
      <c r="D256" s="357" t="inlineStr">
        <is>
          <t>л</t>
        </is>
      </c>
      <c r="E256" s="267" t="n">
        <v>1360</v>
      </c>
      <c r="F256" s="359" t="n">
        <v>18.96</v>
      </c>
      <c r="G256" s="268">
        <f>ROUND(E256*F256,2)</f>
        <v/>
      </c>
      <c r="H256" s="269">
        <f>G256/$G$1004</f>
        <v/>
      </c>
      <c r="I256" s="268">
        <f>ROUND(F256*Прил.10!$D$13,2)</f>
        <v/>
      </c>
      <c r="J256" s="268">
        <f>ROUND(I256*E256,2)</f>
        <v/>
      </c>
    </row>
    <row r="257" hidden="1" outlineLevel="1" ht="77.45" customFormat="1" customHeight="1" s="255">
      <c r="A257" s="357" t="n">
        <v>229</v>
      </c>
      <c r="B257" s="265" t="inlineStr">
        <is>
          <t>08.4.01.02-0013</t>
        </is>
      </c>
      <c r="C257" s="356" t="inlineStr">
        <is>
          <t>Детали закладные и накладные, изготовленные с применением сварки, гнутья, сверления (пробивки) отверстий (при наличии одной из этих операций или всего перечня в любых сочетаниях), поставляемые отдельно</t>
        </is>
      </c>
      <c r="D257" s="357" t="inlineStr">
        <is>
          <t>т</t>
        </is>
      </c>
      <c r="E257" s="267" t="n">
        <v>3.7405</v>
      </c>
      <c r="F257" s="359" t="n">
        <v>6800</v>
      </c>
      <c r="G257" s="268">
        <f>ROUND(E257*F257,2)</f>
        <v/>
      </c>
      <c r="H257" s="269">
        <f>G257/$G$1004</f>
        <v/>
      </c>
      <c r="I257" s="268">
        <f>ROUND(F257*Прил.10!$D$13,2)</f>
        <v/>
      </c>
      <c r="J257" s="268">
        <f>ROUND(I257*E257,2)</f>
        <v/>
      </c>
    </row>
    <row r="258" hidden="1" outlineLevel="1" ht="25.9" customFormat="1" customHeight="1" s="255">
      <c r="A258" s="357" t="n">
        <v>230</v>
      </c>
      <c r="B258" s="265" t="inlineStr">
        <is>
          <t>04.3.01.12-0005</t>
        </is>
      </c>
      <c r="C258" s="356" t="inlineStr">
        <is>
          <t>Раствор кладочный, цементно-известковый, М100</t>
        </is>
      </c>
      <c r="D258" s="357" t="inlineStr">
        <is>
          <t>м3</t>
        </is>
      </c>
      <c r="E258" s="267" t="n">
        <v>45.632</v>
      </c>
      <c r="F258" s="359" t="n">
        <v>529.41</v>
      </c>
      <c r="G258" s="268">
        <f>ROUND(E258*F258,2)</f>
        <v/>
      </c>
      <c r="H258" s="269">
        <f>G258/$G$1004</f>
        <v/>
      </c>
      <c r="I258" s="268">
        <f>ROUND(F258*Прил.10!$D$13,2)</f>
        <v/>
      </c>
      <c r="J258" s="268">
        <f>ROUND(I258*E258,2)</f>
        <v/>
      </c>
    </row>
    <row r="259" hidden="1" outlineLevel="1" ht="38.85" customFormat="1" customHeight="1" s="255">
      <c r="A259" s="357" t="n">
        <v>231</v>
      </c>
      <c r="B259" s="265" t="inlineStr">
        <is>
          <t>08.1.02.17-0097</t>
        </is>
      </c>
      <c r="C259" s="356" t="inlineStr">
        <is>
          <t>Сетка сварная из арматурной проволоки без покрытия, диаметр проволоки 5,0 мм, размер ячейки 100х100 мм</t>
        </is>
      </c>
      <c r="D259" s="357" t="inlineStr">
        <is>
          <t>м2</t>
        </is>
      </c>
      <c r="E259" s="267" t="n">
        <v>997.5</v>
      </c>
      <c r="F259" s="359" t="n">
        <v>23.76</v>
      </c>
      <c r="G259" s="268">
        <f>ROUND(E259*F259,2)</f>
        <v/>
      </c>
      <c r="H259" s="269">
        <f>G259/$G$1004</f>
        <v/>
      </c>
      <c r="I259" s="268">
        <f>ROUND(F259*Прил.10!$D$13,2)</f>
        <v/>
      </c>
      <c r="J259" s="268">
        <f>ROUND(I259*E259,2)</f>
        <v/>
      </c>
    </row>
    <row r="260" hidden="1" outlineLevel="1" ht="38.85" customFormat="1" customHeight="1" s="255">
      <c r="A260" s="357" t="n">
        <v>232</v>
      </c>
      <c r="B260" s="265" t="inlineStr">
        <is>
          <t>11.3.02.01-0004</t>
        </is>
      </c>
      <c r="C260" s="356" t="inlineStr">
        <is>
          <t>Блок оконный пластиковый: двустворчатый, глухой с двухкамерным стеклопакетом (32 мм), площадью до 2 м2</t>
        </is>
      </c>
      <c r="D260" s="357" t="inlineStr">
        <is>
          <t>м2</t>
        </is>
      </c>
      <c r="E260" s="267" t="n">
        <v>10.8</v>
      </c>
      <c r="F260" s="359" t="n">
        <v>2193.46</v>
      </c>
      <c r="G260" s="268">
        <f>ROUND(E260*F260,2)</f>
        <v/>
      </c>
      <c r="H260" s="269">
        <f>G260/$G$1004</f>
        <v/>
      </c>
      <c r="I260" s="268">
        <f>ROUND(F260*Прил.10!$D$13,2)</f>
        <v/>
      </c>
      <c r="J260" s="268">
        <f>ROUND(I260*E260,2)</f>
        <v/>
      </c>
    </row>
    <row r="261" hidden="1" outlineLevel="1" ht="25.9" customFormat="1" customHeight="1" s="255">
      <c r="A261" s="357" t="n">
        <v>233</v>
      </c>
      <c r="B261" s="265" t="inlineStr">
        <is>
          <t>04.1.02.05-0007</t>
        </is>
      </c>
      <c r="C261" s="356" t="inlineStr">
        <is>
          <t>Смеси бетонные тяжелого бетона (БСТ), класс B20 (М250)</t>
        </is>
      </c>
      <c r="D261" s="357" t="inlineStr">
        <is>
          <t>м3</t>
        </is>
      </c>
      <c r="E261" s="267" t="n">
        <v>32.947</v>
      </c>
      <c r="F261" s="359" t="n">
        <v>665</v>
      </c>
      <c r="G261" s="268">
        <f>ROUND(E261*F261,2)</f>
        <v/>
      </c>
      <c r="H261" s="269">
        <f>G261/$G$1004</f>
        <v/>
      </c>
      <c r="I261" s="268">
        <f>ROUND(F261*Прил.10!$D$13,2)</f>
        <v/>
      </c>
      <c r="J261" s="268">
        <f>ROUND(I261*E261,2)</f>
        <v/>
      </c>
    </row>
    <row r="262" hidden="1" outlineLevel="1" ht="25.9" customFormat="1" customHeight="1" s="255">
      <c r="A262" s="357" t="n">
        <v>234</v>
      </c>
      <c r="B262" s="265" t="inlineStr">
        <is>
          <t>14.1.06.04-0016</t>
        </is>
      </c>
      <c r="C262" s="356" t="inlineStr">
        <is>
          <t>Клей плиточный «Боларс Элит» (Клей Кнауф Флекс)</t>
        </is>
      </c>
      <c r="D262" s="357" t="inlineStr">
        <is>
          <t>кг</t>
        </is>
      </c>
      <c r="E262" s="267" t="n">
        <v>4083.9</v>
      </c>
      <c r="F262" s="359" t="n">
        <v>5.03</v>
      </c>
      <c r="G262" s="268">
        <f>ROUND(E262*F262,2)</f>
        <v/>
      </c>
      <c r="H262" s="269">
        <f>G262/$G$1004</f>
        <v/>
      </c>
      <c r="I262" s="268">
        <f>ROUND(F262*Прил.10!$D$13,2)</f>
        <v/>
      </c>
      <c r="J262" s="268">
        <f>ROUND(I262*E262,2)</f>
        <v/>
      </c>
    </row>
    <row r="263" hidden="1" outlineLevel="1" ht="25.9" customFormat="1" customHeight="1" s="255">
      <c r="A263" s="357" t="n">
        <v>235</v>
      </c>
      <c r="B263" s="265" t="inlineStr">
        <is>
          <t>19.3.01.06-0207</t>
        </is>
      </c>
      <c r="C263" s="356" t="inlineStr">
        <is>
          <t>Клапаны воздушные утепленные под электропривод КВУ, размер 2400х1400 мм</t>
        </is>
      </c>
      <c r="D263" s="357" t="inlineStr">
        <is>
          <t>шт</t>
        </is>
      </c>
      <c r="E263" s="267" t="n">
        <v>4</v>
      </c>
      <c r="F263" s="359" t="n">
        <v>5053.96</v>
      </c>
      <c r="G263" s="268">
        <f>ROUND(E263*F263,2)</f>
        <v/>
      </c>
      <c r="H263" s="269">
        <f>G263/$G$1004</f>
        <v/>
      </c>
      <c r="I263" s="268">
        <f>ROUND(F263*Прил.10!$D$13,2)</f>
        <v/>
      </c>
      <c r="J263" s="268">
        <f>ROUND(I263*E263,2)</f>
        <v/>
      </c>
    </row>
    <row r="264" hidden="1" outlineLevel="1" ht="51.6" customFormat="1" customHeight="1" s="255">
      <c r="A264" s="357" t="n">
        <v>236</v>
      </c>
      <c r="B264" s="265" t="inlineStr">
        <is>
          <t>07.2.07.12-0019</t>
        </is>
      </c>
      <c r="C264" s="356" t="inlineStr">
        <is>
          <t>Элементы конструктивные зданий и сооружений с преобладанием горячекатаных профилей, средняя масса сборочной единицы до 0,1 т</t>
        </is>
      </c>
      <c r="D264" s="357" t="inlineStr">
        <is>
          <t>т</t>
        </is>
      </c>
      <c r="E264" s="267" t="n">
        <v>2.4859</v>
      </c>
      <c r="F264" s="359" t="n">
        <v>8060</v>
      </c>
      <c r="G264" s="268">
        <f>ROUND(E264*F264,2)</f>
        <v/>
      </c>
      <c r="H264" s="269">
        <f>G264/$G$1004</f>
        <v/>
      </c>
      <c r="I264" s="268">
        <f>ROUND(F264*Прил.10!$D$13,2)</f>
        <v/>
      </c>
      <c r="J264" s="268">
        <f>ROUND(I264*E264,2)</f>
        <v/>
      </c>
    </row>
    <row r="265" hidden="1" outlineLevel="1" ht="13.7" customFormat="1" customHeight="1" s="255">
      <c r="A265" s="357" t="n">
        <v>237</v>
      </c>
      <c r="B265" s="265" t="inlineStr">
        <is>
          <t>14.1.06.04-0001</t>
        </is>
      </c>
      <c r="C265" s="356" t="inlineStr">
        <is>
          <t>Клей для приклеивания минеральной ваты</t>
        </is>
      </c>
      <c r="D265" s="357" t="inlineStr">
        <is>
          <t>кг</t>
        </is>
      </c>
      <c r="E265" s="267" t="n">
        <v>3230.6</v>
      </c>
      <c r="F265" s="359" t="n">
        <v>6.2</v>
      </c>
      <c r="G265" s="268">
        <f>ROUND(E265*F265,2)</f>
        <v/>
      </c>
      <c r="H265" s="269">
        <f>G265/$G$1004</f>
        <v/>
      </c>
      <c r="I265" s="268">
        <f>ROUND(F265*Прил.10!$D$13,2)</f>
        <v/>
      </c>
      <c r="J265" s="268">
        <f>ROUND(I265*E265,2)</f>
        <v/>
      </c>
    </row>
    <row r="266" hidden="1" outlineLevel="1" ht="13.7" customFormat="1" customHeight="1" s="255">
      <c r="A266" s="357" t="n">
        <v>238</v>
      </c>
      <c r="B266" s="265" t="inlineStr">
        <is>
          <t>14.5.09.11-0102</t>
        </is>
      </c>
      <c r="C266" s="356" t="inlineStr">
        <is>
          <t>Уайт-спирит</t>
        </is>
      </c>
      <c r="D266" s="357" t="inlineStr">
        <is>
          <t>кг</t>
        </is>
      </c>
      <c r="E266" s="267" t="n">
        <v>2915.169</v>
      </c>
      <c r="F266" s="359" t="n">
        <v>6.67</v>
      </c>
      <c r="G266" s="268">
        <f>ROUND(E266*F266,2)</f>
        <v/>
      </c>
      <c r="H266" s="269">
        <f>G266/$G$1004</f>
        <v/>
      </c>
      <c r="I266" s="268">
        <f>ROUND(F266*Прил.10!$D$13,2)</f>
        <v/>
      </c>
      <c r="J266" s="268">
        <f>ROUND(I266*E266,2)</f>
        <v/>
      </c>
    </row>
    <row r="267" hidden="1" outlineLevel="1" ht="51.6" customFormat="1" customHeight="1" s="255">
      <c r="A267" s="357" t="n">
        <v>239</v>
      </c>
      <c r="B267" s="265" t="inlineStr">
        <is>
          <t>14.4.01.09-0405</t>
        </is>
      </c>
      <c r="C267" s="356" t="inlineStr">
        <is>
          <t>Грунтовка эпоксидная, антикоррозионная, универсальная, для защиты от агрессивного воздействия окружающей среды</t>
        </is>
      </c>
      <c r="D267" s="357" t="inlineStr">
        <is>
          <t>т</t>
        </is>
      </c>
      <c r="E267" s="267" t="n">
        <v>0.471552</v>
      </c>
      <c r="F267" s="359" t="n">
        <v>40329.7</v>
      </c>
      <c r="G267" s="268">
        <f>ROUND(E267*F267,2)</f>
        <v/>
      </c>
      <c r="H267" s="269">
        <f>G267/$G$1004</f>
        <v/>
      </c>
      <c r="I267" s="268">
        <f>ROUND(F267*Прил.10!$D$13,2)</f>
        <v/>
      </c>
      <c r="J267" s="268">
        <f>ROUND(I267*E267,2)</f>
        <v/>
      </c>
    </row>
    <row r="268" hidden="1" outlineLevel="1" ht="25.9" customFormat="1" customHeight="1" s="255">
      <c r="A268" s="357" t="n">
        <v>240</v>
      </c>
      <c r="B268" s="265" t="inlineStr">
        <is>
          <t>19.3.01.06-0213</t>
        </is>
      </c>
      <c r="C268" s="356" t="inlineStr">
        <is>
          <t>Клапаны воздушные утепленные с ручным приводом КВУ, размер 1600х1000 мм</t>
        </is>
      </c>
      <c r="D268" s="357" t="inlineStr">
        <is>
          <t>шт</t>
        </is>
      </c>
      <c r="E268" s="267" t="n">
        <v>6</v>
      </c>
      <c r="F268" s="359" t="n">
        <v>3094.04</v>
      </c>
      <c r="G268" s="268">
        <f>ROUND(E268*F268,2)</f>
        <v/>
      </c>
      <c r="H268" s="269">
        <f>G268/$G$1004</f>
        <v/>
      </c>
      <c r="I268" s="268">
        <f>ROUND(F268*Прил.10!$D$13,2)</f>
        <v/>
      </c>
      <c r="J268" s="268">
        <f>ROUND(I268*E268,2)</f>
        <v/>
      </c>
    </row>
    <row r="269" hidden="1" outlineLevel="1" ht="25.9" customFormat="1" customHeight="1" s="255">
      <c r="A269" s="357" t="n">
        <v>241</v>
      </c>
      <c r="B269" s="265" t="inlineStr">
        <is>
          <t>19.1.01.03-0075</t>
        </is>
      </c>
      <c r="C269" s="356" t="inlineStr">
        <is>
          <t>Воздуховоды из оцинкованной стали, толщина 0,7 мм, диаметр до 800 мм</t>
        </is>
      </c>
      <c r="D269" s="357" t="inlineStr">
        <is>
          <t>м2</t>
        </is>
      </c>
      <c r="E269" s="267" t="n">
        <v>213.336</v>
      </c>
      <c r="F269" s="359" t="n">
        <v>84.25</v>
      </c>
      <c r="G269" s="268">
        <f>ROUND(E269*F269,2)</f>
        <v/>
      </c>
      <c r="H269" s="269">
        <f>G269/$G$1004</f>
        <v/>
      </c>
      <c r="I269" s="268">
        <f>ROUND(F269*Прил.10!$D$13,2)</f>
        <v/>
      </c>
      <c r="J269" s="268">
        <f>ROUND(I269*E269,2)</f>
        <v/>
      </c>
    </row>
    <row r="270" hidden="1" outlineLevel="1" ht="25.9" customFormat="1" customHeight="1" s="255">
      <c r="A270" s="357" t="n">
        <v>242</v>
      </c>
      <c r="B270" s="265" t="inlineStr">
        <is>
          <t>25.1.05.05-0063</t>
        </is>
      </c>
      <c r="C270" s="356" t="inlineStr">
        <is>
          <t>Рельсы железнодорожные Р-50, широкой колеи, 2 группа, марка стали М74</t>
        </is>
      </c>
      <c r="D270" s="357" t="inlineStr">
        <is>
          <t>м</t>
        </is>
      </c>
      <c r="E270" s="267" t="n">
        <v>72</v>
      </c>
      <c r="F270" s="359" t="n">
        <v>236.5</v>
      </c>
      <c r="G270" s="268">
        <f>ROUND(E270*F270,2)</f>
        <v/>
      </c>
      <c r="H270" s="269">
        <f>G270/$G$1004</f>
        <v/>
      </c>
      <c r="I270" s="268">
        <f>ROUND(F270*Прил.10!$D$13,2)</f>
        <v/>
      </c>
      <c r="J270" s="268">
        <f>ROUND(I270*E270,2)</f>
        <v/>
      </c>
    </row>
    <row r="271" hidden="1" outlineLevel="1" ht="38.85" customFormat="1" customHeight="1" s="255">
      <c r="A271" s="357" t="n">
        <v>243</v>
      </c>
      <c r="B271" s="265" t="inlineStr">
        <is>
          <t>04.1.02.05-0044</t>
        </is>
      </c>
      <c r="C271" s="356" t="inlineStr">
        <is>
          <t>Смеси бетонные тяжелого бетона (БСТ), крупность заполнителя 20 мм, класс B20 (М250)</t>
        </is>
      </c>
      <c r="D271" s="357" t="inlineStr">
        <is>
          <t>м3</t>
        </is>
      </c>
      <c r="E271" s="267" t="n">
        <v>24.77</v>
      </c>
      <c r="F271" s="359" t="n">
        <v>667.83</v>
      </c>
      <c r="G271" s="268">
        <f>ROUND(E271*F271,2)</f>
        <v/>
      </c>
      <c r="H271" s="269">
        <f>G271/$G$1004</f>
        <v/>
      </c>
      <c r="I271" s="268">
        <f>ROUND(F271*Прил.10!$D$13,2)</f>
        <v/>
      </c>
      <c r="J271" s="268">
        <f>ROUND(I271*E271,2)</f>
        <v/>
      </c>
    </row>
    <row r="272" hidden="1" outlineLevel="1" ht="64.5" customFormat="1" customHeight="1" s="255">
      <c r="A272" s="357" t="n">
        <v>244</v>
      </c>
      <c r="B272" s="265" t="inlineStr">
        <is>
          <t>18.1.10.01-1034</t>
        </is>
      </c>
      <c r="C272" s="356" t="inlineStr">
        <is>
          <t>Вентиль запорный из углеродистой стали, номинальное давление 4,0 МПа (40 кгс/см2), номинальный диаметр 15 мм, с графитовым уплотнением, присоединение к трубопроводу фланцевое</t>
        </is>
      </c>
      <c r="D272" s="357" t="inlineStr">
        <is>
          <t>шт</t>
        </is>
      </c>
      <c r="E272" s="267" t="n">
        <v>22</v>
      </c>
      <c r="F272" s="359" t="n">
        <v>741.6799999999999</v>
      </c>
      <c r="G272" s="268">
        <f>ROUND(E272*F272,2)</f>
        <v/>
      </c>
      <c r="H272" s="269">
        <f>G272/$G$1004</f>
        <v/>
      </c>
      <c r="I272" s="268">
        <f>ROUND(F272*Прил.10!$D$13,2)</f>
        <v/>
      </c>
      <c r="J272" s="268">
        <f>ROUND(I272*E272,2)</f>
        <v/>
      </c>
    </row>
    <row r="273" hidden="1" outlineLevel="1" ht="25.9" customFormat="1" customHeight="1" s="255">
      <c r="A273" s="357" t="n">
        <v>245</v>
      </c>
      <c r="B273" s="265" t="inlineStr">
        <is>
          <t>08.3.05.05-0058</t>
        </is>
      </c>
      <c r="C273" s="356" t="inlineStr">
        <is>
          <t>Сталь листовая оцинкованная, толщина 1,0 мм</t>
        </is>
      </c>
      <c r="D273" s="357" t="inlineStr">
        <is>
          <t>т</t>
        </is>
      </c>
      <c r="E273" s="267" t="n">
        <v>1.55</v>
      </c>
      <c r="F273" s="359" t="n">
        <v>10500</v>
      </c>
      <c r="G273" s="268">
        <f>ROUND(E273*F273,2)</f>
        <v/>
      </c>
      <c r="H273" s="269">
        <f>G273/$G$1004</f>
        <v/>
      </c>
      <c r="I273" s="268">
        <f>ROUND(F273*Прил.10!$D$13,2)</f>
        <v/>
      </c>
      <c r="J273" s="268">
        <f>ROUND(I273*E273,2)</f>
        <v/>
      </c>
    </row>
    <row r="274" hidden="1" outlineLevel="1" ht="38.85" customFormat="1" customHeight="1" s="255">
      <c r="A274" s="357" t="n">
        <v>246</v>
      </c>
      <c r="B274" s="265" t="inlineStr">
        <is>
          <t>07.1.01.01-0013</t>
        </is>
      </c>
      <c r="C274" s="356" t="inlineStr">
        <is>
          <t>Дверь противопожарная металлическая однопольная ДПМ-01/30, размером 900х2100 мм</t>
        </is>
      </c>
      <c r="D274" s="357" t="inlineStr">
        <is>
          <t>шт</t>
        </is>
      </c>
      <c r="E274" s="267" t="n">
        <v>6</v>
      </c>
      <c r="F274" s="359" t="n">
        <v>2640.46</v>
      </c>
      <c r="G274" s="268">
        <f>ROUND(E274*F274,2)</f>
        <v/>
      </c>
      <c r="H274" s="269">
        <f>G274/$G$1004</f>
        <v/>
      </c>
      <c r="I274" s="268">
        <f>ROUND(F274*Прил.10!$D$13,2)</f>
        <v/>
      </c>
      <c r="J274" s="268">
        <f>ROUND(I274*E274,2)</f>
        <v/>
      </c>
    </row>
    <row r="275" hidden="1" outlineLevel="1" ht="38.85" customFormat="1" customHeight="1" s="255">
      <c r="A275" s="357" t="n">
        <v>247</v>
      </c>
      <c r="B275" s="265" t="inlineStr">
        <is>
          <t>07.1.01.01-0004</t>
        </is>
      </c>
      <c r="C275" s="356" t="inlineStr">
        <is>
          <t>Дверь противопожарная металлическая двупольная ДПМ-02/30, размером 1500х2100 мм</t>
        </is>
      </c>
      <c r="D275" s="357" t="inlineStr">
        <is>
          <t>шт</t>
        </is>
      </c>
      <c r="E275" s="267" t="n">
        <v>3</v>
      </c>
      <c r="F275" s="359" t="n">
        <v>5274.66</v>
      </c>
      <c r="G275" s="268">
        <f>ROUND(E275*F275,2)</f>
        <v/>
      </c>
      <c r="H275" s="269">
        <f>G275/$G$1004</f>
        <v/>
      </c>
      <c r="I275" s="268">
        <f>ROUND(F275*Прил.10!$D$13,2)</f>
        <v/>
      </c>
      <c r="J275" s="268">
        <f>ROUND(I275*E275,2)</f>
        <v/>
      </c>
    </row>
    <row r="276" hidden="1" outlineLevel="1" ht="64.5" customFormat="1" customHeight="1" s="255">
      <c r="A276" s="357" t="n">
        <v>248</v>
      </c>
      <c r="B276" s="265" t="inlineStr">
        <is>
          <t>19.1.01.11-0001</t>
        </is>
      </c>
      <c r="C276" s="356" t="inlineStr">
        <is>
          <t>Крепления для воздуховодов оцинкованные (подвески СТД, подвески регулируемые СТД, тяги, хомуты, кронштейны, траверсы, ленты, шпильки, профили)</t>
        </is>
      </c>
      <c r="D276" s="357" t="inlineStr">
        <is>
          <t>т</t>
        </is>
      </c>
      <c r="E276" s="267" t="n">
        <v>1.2377</v>
      </c>
      <c r="F276" s="359" t="n">
        <v>12676.79</v>
      </c>
      <c r="G276" s="268">
        <f>ROUND(E276*F276,2)</f>
        <v/>
      </c>
      <c r="H276" s="269">
        <f>G276/$G$1004</f>
        <v/>
      </c>
      <c r="I276" s="268">
        <f>ROUND(F276*Прил.10!$D$13,2)</f>
        <v/>
      </c>
      <c r="J276" s="268">
        <f>ROUND(I276*E276,2)</f>
        <v/>
      </c>
    </row>
    <row r="277" hidden="1" outlineLevel="1" ht="25.9" customFormat="1" customHeight="1" s="255">
      <c r="A277" s="357" t="n">
        <v>249</v>
      </c>
      <c r="B277" s="265" t="inlineStr">
        <is>
          <t>08.1.06.04-0031</t>
        </is>
      </c>
      <c r="C277" s="356" t="inlineStr">
        <is>
          <t>Полотна ворот глухие металлические из листового металла по каркасу из уголков</t>
        </is>
      </c>
      <c r="D277" s="357" t="inlineStr">
        <is>
          <t>т</t>
        </is>
      </c>
      <c r="E277" s="267" t="n">
        <v>0.956602</v>
      </c>
      <c r="F277" s="359" t="n">
        <v>16344.58</v>
      </c>
      <c r="G277" s="268">
        <f>ROUND(E277*F277,2)</f>
        <v/>
      </c>
      <c r="H277" s="269">
        <f>G277/$G$1004</f>
        <v/>
      </c>
      <c r="I277" s="268">
        <f>ROUND(F277*Прил.10!$D$13,2)</f>
        <v/>
      </c>
      <c r="J277" s="268">
        <f>ROUND(I277*E277,2)</f>
        <v/>
      </c>
    </row>
    <row r="278" hidden="1" outlineLevel="1" ht="14.25" customFormat="1" customHeight="1" s="255">
      <c r="A278" s="357" t="n">
        <v>250</v>
      </c>
      <c r="B278" s="265" t="inlineStr">
        <is>
          <t>20.2.08.05-0021</t>
        </is>
      </c>
      <c r="C278" s="356" t="inlineStr">
        <is>
          <t>Профиль монтажный перфорированный</t>
        </is>
      </c>
      <c r="D278" s="357" t="inlineStr">
        <is>
          <t>шт</t>
        </is>
      </c>
      <c r="E278" s="267" t="n">
        <v>202</v>
      </c>
      <c r="F278" s="359" t="n">
        <v>76.84</v>
      </c>
      <c r="G278" s="268">
        <f>ROUND(E278*F278,2)</f>
        <v/>
      </c>
      <c r="H278" s="269">
        <f>G278/$G$1004</f>
        <v/>
      </c>
      <c r="I278" s="268">
        <f>ROUND(F278*Прил.10!$D$13,2)</f>
        <v/>
      </c>
      <c r="J278" s="268">
        <f>ROUND(I278*E278,2)</f>
        <v/>
      </c>
    </row>
    <row r="279" hidden="1" outlineLevel="1" ht="51" customFormat="1" customHeight="1" s="255">
      <c r="A279" s="357" t="n">
        <v>251</v>
      </c>
      <c r="B279" s="265" t="inlineStr">
        <is>
          <t>05.2.02.01-0048</t>
        </is>
      </c>
      <c r="C279" s="356" t="inlineStr">
        <is>
          <t>Блоки бетонные для стен подвалов полнотелые ФБС12-6-3-Т, бетон B7,5 (М100, объем 0,191 м3, расход арматуры 0,74 кг</t>
        </is>
      </c>
      <c r="D279" s="357" t="inlineStr">
        <is>
          <t>шт</t>
        </is>
      </c>
      <c r="E279" s="267" t="n">
        <v>127</v>
      </c>
      <c r="F279" s="359" t="n">
        <v>118.42</v>
      </c>
      <c r="G279" s="268">
        <f>ROUND(E279*F279,2)</f>
        <v/>
      </c>
      <c r="H279" s="269">
        <f>G279/$G$1004</f>
        <v/>
      </c>
      <c r="I279" s="268">
        <f>ROUND(F279*Прил.10!$D$13,2)</f>
        <v/>
      </c>
      <c r="J279" s="268">
        <f>ROUND(I279*E279,2)</f>
        <v/>
      </c>
    </row>
    <row r="280" hidden="1" outlineLevel="1" ht="38.25" customFormat="1" customHeight="1" s="255">
      <c r="A280" s="357" t="n">
        <v>252</v>
      </c>
      <c r="B280" s="265" t="inlineStr">
        <is>
          <t>04.1.02.05-0043</t>
        </is>
      </c>
      <c r="C280" s="356" t="inlineStr">
        <is>
          <t>Смеси бетонные тяжелого бетона (БСТ), крупность заполнителя 20 мм, класс В15 (М200)</t>
        </is>
      </c>
      <c r="D280" s="357" t="inlineStr">
        <is>
          <t>м3</t>
        </is>
      </c>
      <c r="E280" s="267" t="n">
        <v>22.46</v>
      </c>
      <c r="F280" s="359" t="n">
        <v>665</v>
      </c>
      <c r="G280" s="268">
        <f>ROUND(E280*F280,2)</f>
        <v/>
      </c>
      <c r="H280" s="269">
        <f>G280/$G$1004</f>
        <v/>
      </c>
      <c r="I280" s="268">
        <f>ROUND(F280*Прил.10!$D$13,2)</f>
        <v/>
      </c>
      <c r="J280" s="268">
        <f>ROUND(I280*E280,2)</f>
        <v/>
      </c>
    </row>
    <row r="281" hidden="1" outlineLevel="1" ht="25.5" customFormat="1" customHeight="1" s="255">
      <c r="A281" s="357" t="n">
        <v>253</v>
      </c>
      <c r="B281" s="265" t="inlineStr">
        <is>
          <t>19.3.01.06-0165</t>
        </is>
      </c>
      <c r="C281" s="356" t="inlineStr">
        <is>
          <t>Клапаны воздушные под ручной или электропривод ВК, размер 900х600 мм</t>
        </is>
      </c>
      <c r="D281" s="357" t="inlineStr">
        <is>
          <t>шт</t>
        </is>
      </c>
      <c r="E281" s="267" t="n">
        <v>10</v>
      </c>
      <c r="F281" s="359" t="n">
        <v>1477.05</v>
      </c>
      <c r="G281" s="268">
        <f>ROUND(E281*F281,2)</f>
        <v/>
      </c>
      <c r="H281" s="269">
        <f>G281/$G$1004</f>
        <v/>
      </c>
      <c r="I281" s="268">
        <f>ROUND(F281*Прил.10!$D$13,2)</f>
        <v/>
      </c>
      <c r="J281" s="268">
        <f>ROUND(I281*E281,2)</f>
        <v/>
      </c>
    </row>
    <row r="282" hidden="1" outlineLevel="1" ht="25.5" customFormat="1" customHeight="1" s="255">
      <c r="A282" s="357" t="n">
        <v>254</v>
      </c>
      <c r="B282" s="265" t="inlineStr">
        <is>
          <t>08.4.02.05-0003</t>
        </is>
      </c>
      <c r="C282" s="356" t="inlineStr">
        <is>
          <t>Сетка сварная с ячейкой 10 из арматурной стали: А-I и А-II диаметром 10 мм</t>
        </is>
      </c>
      <c r="D282" s="357" t="inlineStr">
        <is>
          <t>т</t>
        </is>
      </c>
      <c r="E282" s="267" t="n">
        <v>1.9914</v>
      </c>
      <c r="F282" s="359" t="n">
        <v>7200</v>
      </c>
      <c r="G282" s="268">
        <f>ROUND(E282*F282,2)</f>
        <v/>
      </c>
      <c r="H282" s="269">
        <f>G282/$G$1004</f>
        <v/>
      </c>
      <c r="I282" s="268">
        <f>ROUND(F282*Прил.10!$D$13,2)</f>
        <v/>
      </c>
      <c r="J282" s="268">
        <f>ROUND(I282*E282,2)</f>
        <v/>
      </c>
    </row>
    <row r="283" hidden="1" outlineLevel="1" ht="14.25" customFormat="1" customHeight="1" s="255">
      <c r="A283" s="357" t="n">
        <v>255</v>
      </c>
      <c r="B283" s="265" t="inlineStr">
        <is>
          <t>08.3.11.01-0052</t>
        </is>
      </c>
      <c r="C283" s="356" t="inlineStr">
        <is>
          <t>Швеллеры № 12, марка стали Ст3пс</t>
        </is>
      </c>
      <c r="D283" s="357" t="inlineStr">
        <is>
          <t>т</t>
        </is>
      </c>
      <c r="E283" s="267" t="n">
        <v>2.90992</v>
      </c>
      <c r="F283" s="359" t="n">
        <v>4900</v>
      </c>
      <c r="G283" s="268">
        <f>ROUND(E283*F283,2)</f>
        <v/>
      </c>
      <c r="H283" s="269">
        <f>G283/$G$1004</f>
        <v/>
      </c>
      <c r="I283" s="268">
        <f>ROUND(F283*Прил.10!$D$13,2)</f>
        <v/>
      </c>
      <c r="J283" s="268">
        <f>ROUND(I283*E283,2)</f>
        <v/>
      </c>
    </row>
    <row r="284" hidden="1" outlineLevel="1" ht="38.25" customFormat="1" customHeight="1" s="255">
      <c r="A284" s="357" t="n">
        <v>256</v>
      </c>
      <c r="B284" s="265" t="inlineStr">
        <is>
          <t>08.4.03.03-0034</t>
        </is>
      </c>
      <c r="C284" s="356" t="inlineStr">
        <is>
          <t>Сталь арматурная, горячекатаная, периодического профиля, класс А-III, диаметр 16-18 мм</t>
        </is>
      </c>
      <c r="D284" s="357" t="inlineStr">
        <is>
          <t>т</t>
        </is>
      </c>
      <c r="E284" s="267" t="n">
        <v>1.74048</v>
      </c>
      <c r="F284" s="359" t="n">
        <v>7956.21</v>
      </c>
      <c r="G284" s="268">
        <f>ROUND(E284*F284,2)</f>
        <v/>
      </c>
      <c r="H284" s="269">
        <f>G284/$G$1004</f>
        <v/>
      </c>
      <c r="I284" s="268">
        <f>ROUND(F284*Прил.10!$D$13,2)</f>
        <v/>
      </c>
      <c r="J284" s="268">
        <f>ROUND(I284*E284,2)</f>
        <v/>
      </c>
    </row>
    <row r="285" hidden="1" outlineLevel="1" ht="14.25" customFormat="1" customHeight="1" s="255">
      <c r="A285" s="357" t="n">
        <v>257</v>
      </c>
      <c r="B285" s="265" t="inlineStr">
        <is>
          <t>14.4.01.01-0003</t>
        </is>
      </c>
      <c r="C285" s="356" t="inlineStr">
        <is>
          <t>Грунтовка ГФ-021</t>
        </is>
      </c>
      <c r="D285" s="357" t="inlineStr">
        <is>
          <t>т</t>
        </is>
      </c>
      <c r="E285" s="267" t="n">
        <v>0.8826000000000001</v>
      </c>
      <c r="F285" s="359" t="n">
        <v>15620</v>
      </c>
      <c r="G285" s="268">
        <f>ROUND(E285*F285,2)</f>
        <v/>
      </c>
      <c r="H285" s="269">
        <f>G285/$G$1004</f>
        <v/>
      </c>
      <c r="I285" s="268">
        <f>ROUND(F285*Прил.10!$D$13,2)</f>
        <v/>
      </c>
      <c r="J285" s="268">
        <f>ROUND(I285*E285,2)</f>
        <v/>
      </c>
    </row>
    <row r="286" hidden="1" outlineLevel="1" ht="38.25" customFormat="1" customHeight="1" s="255">
      <c r="A286" s="357" t="n">
        <v>258</v>
      </c>
      <c r="B286" s="265" t="inlineStr">
        <is>
          <t>01.7.15.14-0121</t>
        </is>
      </c>
      <c r="C286" s="356" t="inlineStr">
        <is>
          <t>Шурупы для крепления утеплителя и гидроизоляции к профилированному листу 4,8х60 мм</t>
        </is>
      </c>
      <c r="D286" s="357" t="inlineStr">
        <is>
          <t>100 шт</t>
        </is>
      </c>
      <c r="E286" s="267" t="n">
        <v>93.36</v>
      </c>
      <c r="F286" s="359" t="n">
        <v>147</v>
      </c>
      <c r="G286" s="268">
        <f>ROUND(E286*F286,2)</f>
        <v/>
      </c>
      <c r="H286" s="269">
        <f>G286/$G$1004</f>
        <v/>
      </c>
      <c r="I286" s="268">
        <f>ROUND(F286*Прил.10!$D$13,2)</f>
        <v/>
      </c>
      <c r="J286" s="268">
        <f>ROUND(I286*E286,2)</f>
        <v/>
      </c>
    </row>
    <row r="287" hidden="1" outlineLevel="1" ht="14.25" customFormat="1" customHeight="1" s="255">
      <c r="A287" s="357" t="n">
        <v>259</v>
      </c>
      <c r="B287" s="265" t="inlineStr">
        <is>
          <t>Прайс из СД ОП</t>
        </is>
      </c>
      <c r="C287" s="356" t="inlineStr">
        <is>
          <t xml:space="preserve">Решетка АМР 800х600 </t>
        </is>
      </c>
      <c r="D287" s="357" t="inlineStr">
        <is>
          <t>шт.</t>
        </is>
      </c>
      <c r="E287" s="267" t="n">
        <v>20</v>
      </c>
      <c r="F287" s="359" t="n">
        <v>678.2</v>
      </c>
      <c r="G287" s="268">
        <f>ROUND(E287*F287,2)</f>
        <v/>
      </c>
      <c r="H287" s="269">
        <f>G287/$G$1004</f>
        <v/>
      </c>
      <c r="I287" s="268">
        <f>ROUND(F287*Прил.10!$D$13,2)</f>
        <v/>
      </c>
      <c r="J287" s="268">
        <f>ROUND(I287*E287,2)</f>
        <v/>
      </c>
    </row>
    <row r="288" hidden="1" outlineLevel="1" ht="14.25" customFormat="1" customHeight="1" s="255">
      <c r="A288" s="357" t="n">
        <v>260</v>
      </c>
      <c r="B288" s="265" t="inlineStr">
        <is>
          <t>14.2.01.05-0003</t>
        </is>
      </c>
      <c r="C288" s="356" t="inlineStr">
        <is>
          <t>Композиция цинконаполненная</t>
        </is>
      </c>
      <c r="D288" s="357" t="inlineStr">
        <is>
          <t>кг</t>
        </is>
      </c>
      <c r="E288" s="267" t="n">
        <v>117.59154</v>
      </c>
      <c r="F288" s="359" t="n">
        <v>114.42</v>
      </c>
      <c r="G288" s="268">
        <f>ROUND(E288*F288,2)</f>
        <v/>
      </c>
      <c r="H288" s="269">
        <f>G288/$G$1004</f>
        <v/>
      </c>
      <c r="I288" s="268">
        <f>ROUND(F288*Прил.10!$D$13,2)</f>
        <v/>
      </c>
      <c r="J288" s="268">
        <f>ROUND(I288*E288,2)</f>
        <v/>
      </c>
    </row>
    <row r="289" hidden="1" outlineLevel="1" ht="25.5" customFormat="1" customHeight="1" s="255">
      <c r="A289" s="357" t="n">
        <v>261</v>
      </c>
      <c r="B289" s="265" t="inlineStr">
        <is>
          <t>21.1.06.09-0177</t>
        </is>
      </c>
      <c r="C289" s="356" t="inlineStr">
        <is>
          <t>Кабель силовой с медными жилами ВВГнг(A)-LS 5х4-660</t>
        </is>
      </c>
      <c r="D289" s="357" t="inlineStr">
        <is>
          <t>1000 м</t>
        </is>
      </c>
      <c r="E289" s="267" t="n">
        <v>0.7446</v>
      </c>
      <c r="F289" s="359" t="n">
        <v>18047.85</v>
      </c>
      <c r="G289" s="268">
        <f>ROUND(E289*F289,2)</f>
        <v/>
      </c>
      <c r="H289" s="269">
        <f>G289/$G$1004</f>
        <v/>
      </c>
      <c r="I289" s="268">
        <f>ROUND(F289*Прил.10!$D$13,2)</f>
        <v/>
      </c>
      <c r="J289" s="268">
        <f>ROUND(I289*E289,2)</f>
        <v/>
      </c>
    </row>
    <row r="290" hidden="1" outlineLevel="1" ht="51" customFormat="1" customHeight="1" s="255">
      <c r="A290" s="357" t="n">
        <v>262</v>
      </c>
      <c r="B290" s="265" t="inlineStr">
        <is>
          <t>11.3.01.05-0003</t>
        </is>
      </c>
      <c r="C290" s="356" t="inlineStr">
        <is>
          <t>Блоки дверные внутренние: светлые (со светопрозрачным заполнением верхней части и глухим заполнением нижней части полотна) (ГОСТ 30970-2002)</t>
        </is>
      </c>
      <c r="D290" s="357" t="inlineStr">
        <is>
          <t>м2</t>
        </is>
      </c>
      <c r="E290" s="267" t="n">
        <v>9.260999999999999</v>
      </c>
      <c r="F290" s="359" t="n">
        <v>1428.35</v>
      </c>
      <c r="G290" s="268">
        <f>ROUND(E290*F290,2)</f>
        <v/>
      </c>
      <c r="H290" s="269">
        <f>G290/$G$1004</f>
        <v/>
      </c>
      <c r="I290" s="268">
        <f>ROUND(F290*Прил.10!$D$13,2)</f>
        <v/>
      </c>
      <c r="J290" s="268">
        <f>ROUND(I290*E290,2)</f>
        <v/>
      </c>
    </row>
    <row r="291" hidden="1" outlineLevel="1" ht="14.25" customFormat="1" customHeight="1" s="255">
      <c r="A291" s="357" t="n">
        <v>263</v>
      </c>
      <c r="B291" s="265" t="inlineStr">
        <is>
          <t>01.7.11.07-0032</t>
        </is>
      </c>
      <c r="C291" s="356" t="inlineStr">
        <is>
          <t>Электроды сварочные Э42, диаметр 4 мм</t>
        </is>
      </c>
      <c r="D291" s="357" t="inlineStr">
        <is>
          <t>т</t>
        </is>
      </c>
      <c r="E291" s="267" t="n">
        <v>1.2412</v>
      </c>
      <c r="F291" s="359" t="n">
        <v>10315.01</v>
      </c>
      <c r="G291" s="268">
        <f>ROUND(E291*F291,2)</f>
        <v/>
      </c>
      <c r="H291" s="269">
        <f>G291/$G$1004</f>
        <v/>
      </c>
      <c r="I291" s="268">
        <f>ROUND(F291*Прил.10!$D$13,2)</f>
        <v/>
      </c>
      <c r="J291" s="268">
        <f>ROUND(I291*E291,2)</f>
        <v/>
      </c>
    </row>
    <row r="292" hidden="1" outlineLevel="1" ht="14.25" customFormat="1" customHeight="1" s="255">
      <c r="A292" s="357" t="n">
        <v>264</v>
      </c>
      <c r="B292" s="265" t="inlineStr">
        <is>
          <t>01.6.04.02-0011</t>
        </is>
      </c>
      <c r="C292" s="356" t="inlineStr">
        <is>
          <t>Панели потолочные с комплектующими</t>
        </is>
      </c>
      <c r="D292" s="357" t="inlineStr">
        <is>
          <t>м2</t>
        </is>
      </c>
      <c r="E292" s="267" t="n">
        <v>246.64</v>
      </c>
      <c r="F292" s="359" t="n">
        <v>51.8</v>
      </c>
      <c r="G292" s="268">
        <f>ROUND(E292*F292,2)</f>
        <v/>
      </c>
      <c r="H292" s="269">
        <f>G292/$G$1004</f>
        <v/>
      </c>
      <c r="I292" s="268">
        <f>ROUND(F292*Прил.10!$D$13,2)</f>
        <v/>
      </c>
      <c r="J292" s="268">
        <f>ROUND(I292*E292,2)</f>
        <v/>
      </c>
    </row>
    <row r="293" hidden="1" outlineLevel="1" ht="14.25" customFormat="1" customHeight="1" s="255">
      <c r="A293" s="357" t="n">
        <v>265</v>
      </c>
      <c r="B293" s="265" t="inlineStr">
        <is>
          <t>Прайс из СД ОП</t>
        </is>
      </c>
      <c r="C293" s="356" t="inlineStr">
        <is>
          <t xml:space="preserve">Решетка декоративная Р100-1200х2000-С </t>
        </is>
      </c>
      <c r="D293" s="357" t="inlineStr">
        <is>
          <t>шт.</t>
        </is>
      </c>
      <c r="E293" s="267" t="n">
        <v>6</v>
      </c>
      <c r="F293" s="359" t="n">
        <v>2080.89</v>
      </c>
      <c r="G293" s="268">
        <f>ROUND(E293*F293,2)</f>
        <v/>
      </c>
      <c r="H293" s="269">
        <f>G293/$G$1004</f>
        <v/>
      </c>
      <c r="I293" s="268">
        <f>ROUND(F293*Прил.10!$D$13,2)</f>
        <v/>
      </c>
      <c r="J293" s="268">
        <f>ROUND(I293*E293,2)</f>
        <v/>
      </c>
    </row>
    <row r="294" hidden="1" outlineLevel="1" ht="14.25" customFormat="1" customHeight="1" s="255">
      <c r="A294" s="357" t="n">
        <v>266</v>
      </c>
      <c r="B294" s="265" t="inlineStr">
        <is>
          <t>01.7.11.07-0036</t>
        </is>
      </c>
      <c r="C294" s="356" t="inlineStr">
        <is>
          <t>Электроды сварочные Э46, диаметр 4 мм</t>
        </is>
      </c>
      <c r="D294" s="357" t="inlineStr">
        <is>
          <t>кг</t>
        </is>
      </c>
      <c r="E294" s="267" t="n">
        <v>1160.536</v>
      </c>
      <c r="F294" s="359" t="n">
        <v>10.75</v>
      </c>
      <c r="G294" s="268">
        <f>ROUND(E294*F294,2)</f>
        <v/>
      </c>
      <c r="H294" s="269">
        <f>G294/$G$1004</f>
        <v/>
      </c>
      <c r="I294" s="268">
        <f>ROUND(F294*Прил.10!$D$13,2)</f>
        <v/>
      </c>
      <c r="J294" s="268">
        <f>ROUND(I294*E294,2)</f>
        <v/>
      </c>
    </row>
    <row r="295" hidden="1" outlineLevel="1" ht="14.25" customFormat="1" customHeight="1" s="255">
      <c r="A295" s="357" t="n">
        <v>267</v>
      </c>
      <c r="B295" s="265" t="inlineStr">
        <is>
          <t>01.7.15.03-0042</t>
        </is>
      </c>
      <c r="C295" s="356" t="inlineStr">
        <is>
          <t>Болты с гайками и шайбами строительные</t>
        </is>
      </c>
      <c r="D295" s="357" t="inlineStr">
        <is>
          <t>кг</t>
        </is>
      </c>
      <c r="E295" s="267" t="n">
        <v>1376.9406</v>
      </c>
      <c r="F295" s="359" t="n">
        <v>9.039999999999999</v>
      </c>
      <c r="G295" s="268">
        <f>ROUND(E295*F295,2)</f>
        <v/>
      </c>
      <c r="H295" s="269">
        <f>G295/$G$1004</f>
        <v/>
      </c>
      <c r="I295" s="268">
        <f>ROUND(F295*Прил.10!$D$13,2)</f>
        <v/>
      </c>
      <c r="J295" s="268">
        <f>ROUND(I295*E295,2)</f>
        <v/>
      </c>
    </row>
    <row r="296" hidden="1" outlineLevel="1" ht="14.25" customFormat="1" customHeight="1" s="255">
      <c r="A296" s="357" t="n">
        <v>268</v>
      </c>
      <c r="B296" s="265" t="inlineStr">
        <is>
          <t>14.4.04.08-0003</t>
        </is>
      </c>
      <c r="C296" s="356" t="inlineStr">
        <is>
          <t>Эмаль ПФ-115, серая</t>
        </is>
      </c>
      <c r="D296" s="357" t="inlineStr">
        <is>
          <t>т</t>
        </is>
      </c>
      <c r="E296" s="267" t="n">
        <v>0.861</v>
      </c>
      <c r="F296" s="359" t="n">
        <v>14312.87</v>
      </c>
      <c r="G296" s="268">
        <f>ROUND(E296*F296,2)</f>
        <v/>
      </c>
      <c r="H296" s="269">
        <f>G296/$G$1004</f>
        <v/>
      </c>
      <c r="I296" s="268">
        <f>ROUND(F296*Прил.10!$D$13,2)</f>
        <v/>
      </c>
      <c r="J296" s="268">
        <f>ROUND(I296*E296,2)</f>
        <v/>
      </c>
    </row>
    <row r="297" hidden="1" outlineLevel="1" ht="51" customFormat="1" customHeight="1" s="255">
      <c r="A297" s="357" t="n">
        <v>269</v>
      </c>
      <c r="B297" s="265" t="inlineStr">
        <is>
          <t>04.1.01.01-0024</t>
        </is>
      </c>
      <c r="C297" s="356" t="inlineStr">
        <is>
          <t>Смеси бетонные легкого бетона (БСЛ) на пористых заполнителях, средняя плотность D1000 кг/м3, крупность заполнителя 10 мм, класс B7,5 (М100)</t>
        </is>
      </c>
      <c r="D297" s="357" t="inlineStr">
        <is>
          <t>м3</t>
        </is>
      </c>
      <c r="E297" s="267" t="n">
        <v>16.76656</v>
      </c>
      <c r="F297" s="359" t="n">
        <v>729.6</v>
      </c>
      <c r="G297" s="268">
        <f>ROUND(E297*F297,2)</f>
        <v/>
      </c>
      <c r="H297" s="269">
        <f>G297/$G$1004</f>
        <v/>
      </c>
      <c r="I297" s="268">
        <f>ROUND(F297*Прил.10!$D$13,2)</f>
        <v/>
      </c>
      <c r="J297" s="268">
        <f>ROUND(I297*E297,2)</f>
        <v/>
      </c>
    </row>
    <row r="298" hidden="1" outlineLevel="1" ht="38.25" customFormat="1" customHeight="1" s="255">
      <c r="A298" s="357" t="n">
        <v>270</v>
      </c>
      <c r="B298" s="265" t="inlineStr">
        <is>
          <t>12.1.01.05-0014</t>
        </is>
      </c>
      <c r="C298" s="356" t="inlineStr">
        <is>
          <t>Кронштейн желоба металлический для водосточных систем, покрытие полиэстер, диаметр 185 мм, длина 350 мм</t>
        </is>
      </c>
      <c r="D298" s="357" t="inlineStr">
        <is>
          <t>шт</t>
        </is>
      </c>
      <c r="E298" s="267" t="n">
        <v>211</v>
      </c>
      <c r="F298" s="359" t="n">
        <v>57.82</v>
      </c>
      <c r="G298" s="268">
        <f>ROUND(E298*F298,2)</f>
        <v/>
      </c>
      <c r="H298" s="269">
        <f>G298/$G$1004</f>
        <v/>
      </c>
      <c r="I298" s="268">
        <f>ROUND(F298*Прил.10!$D$13,2)</f>
        <v/>
      </c>
      <c r="J298" s="268">
        <f>ROUND(I298*E298,2)</f>
        <v/>
      </c>
    </row>
    <row r="299" hidden="1" outlineLevel="1" ht="38.25" customFormat="1" customHeight="1" s="255">
      <c r="A299" s="357" t="n">
        <v>271</v>
      </c>
      <c r="B299" s="265" t="inlineStr">
        <is>
          <t>10.2.02.02-0054</t>
        </is>
      </c>
      <c r="C299" s="356" t="inlineStr">
        <is>
          <t>Ленты медные общего назначения марок М2 и М3 твердые, нормальной точности, шириной: 20-50 мм, толщиной 0,50 мм</t>
        </is>
      </c>
      <c r="D299" s="357" t="inlineStr">
        <is>
          <t>т</t>
        </is>
      </c>
      <c r="E299" s="267" t="n">
        <v>0.168</v>
      </c>
      <c r="F299" s="359" t="n">
        <v>72495.14999999999</v>
      </c>
      <c r="G299" s="268">
        <f>ROUND(E299*F299,2)</f>
        <v/>
      </c>
      <c r="H299" s="269">
        <f>G299/$G$1004</f>
        <v/>
      </c>
      <c r="I299" s="268">
        <f>ROUND(F299*Прил.10!$D$13,2)</f>
        <v/>
      </c>
      <c r="J299" s="268">
        <f>ROUND(I299*E299,2)</f>
        <v/>
      </c>
    </row>
    <row r="300" hidden="1" outlineLevel="1" ht="25.5" customFormat="1" customHeight="1" s="255">
      <c r="A300" s="357" t="n">
        <v>272</v>
      </c>
      <c r="B300" s="265" t="inlineStr">
        <is>
          <t>Прайс из СД ОП</t>
        </is>
      </c>
      <c r="C300" s="356" t="inlineStr">
        <is>
          <t>Зажим подключения экрана  KLBUE 4-13.5</t>
        </is>
      </c>
      <c r="D300" s="357" t="inlineStr">
        <is>
          <t>шт.</t>
        </is>
      </c>
      <c r="E300" s="267" t="n">
        <v>3100</v>
      </c>
      <c r="F300" s="359" t="n">
        <v>3.85</v>
      </c>
      <c r="G300" s="268">
        <f>ROUND(E300*F300,2)</f>
        <v/>
      </c>
      <c r="H300" s="269">
        <f>G300/$G$1004</f>
        <v/>
      </c>
      <c r="I300" s="268">
        <f>ROUND(F300*Прил.10!$D$13,2)</f>
        <v/>
      </c>
      <c r="J300" s="268">
        <f>ROUND(I300*E300,2)</f>
        <v/>
      </c>
    </row>
    <row r="301" hidden="1" outlineLevel="1" ht="38.25" customFormat="1" customHeight="1" s="255">
      <c r="A301" s="357" t="n">
        <v>273</v>
      </c>
      <c r="B301" s="265" t="inlineStr">
        <is>
          <t>12.1.01.05-0068</t>
        </is>
      </c>
      <c r="C301" s="356" t="inlineStr">
        <is>
          <t>Труба металлическая для водосточных систем, покрытие полиэстер, диаметр 150 мм, длина 3000 мм</t>
        </is>
      </c>
      <c r="D301" s="357" t="inlineStr">
        <is>
          <t>шт</t>
        </is>
      </c>
      <c r="E301" s="267" t="n">
        <v>33.333333</v>
      </c>
      <c r="F301" s="359" t="n">
        <v>357.8</v>
      </c>
      <c r="G301" s="268">
        <f>ROUND(E301*F301,2)</f>
        <v/>
      </c>
      <c r="H301" s="269">
        <f>G301/$G$1004</f>
        <v/>
      </c>
      <c r="I301" s="268">
        <f>ROUND(F301*Прил.10!$D$13,2)</f>
        <v/>
      </c>
      <c r="J301" s="268">
        <f>ROUND(I301*E301,2)</f>
        <v/>
      </c>
    </row>
    <row r="302" hidden="1" outlineLevel="1" ht="38.25" customFormat="1" customHeight="1" s="255">
      <c r="A302" s="357" t="n">
        <v>274</v>
      </c>
      <c r="B302" s="265" t="inlineStr">
        <is>
          <t>05.1.06.05-0003</t>
        </is>
      </c>
      <c r="C302" s="356" t="inlineStr">
        <is>
          <t>Плиты перекрытия плоские из бетона В15 (М200), объемом: от 0,2 до 1,0 м3 с расходом арматуры 40 кг/м3</t>
        </is>
      </c>
      <c r="D302" s="357" t="inlineStr">
        <is>
          <t>м3</t>
        </is>
      </c>
      <c r="E302" s="267" t="n">
        <v>7.944</v>
      </c>
      <c r="F302" s="359" t="n">
        <v>1474.65</v>
      </c>
      <c r="G302" s="268">
        <f>ROUND(E302*F302,2)</f>
        <v/>
      </c>
      <c r="H302" s="269">
        <f>G302/$G$1004</f>
        <v/>
      </c>
      <c r="I302" s="268">
        <f>ROUND(F302*Прил.10!$D$13,2)</f>
        <v/>
      </c>
      <c r="J302" s="268">
        <f>ROUND(I302*E302,2)</f>
        <v/>
      </c>
    </row>
    <row r="303" hidden="1" outlineLevel="1" ht="63.75" customFormat="1" customHeight="1" s="255">
      <c r="A303" s="357" t="n">
        <v>275</v>
      </c>
      <c r="B303" s="265" t="inlineStr">
        <is>
          <t>20.5.02.06-0023</t>
        </is>
      </c>
      <c r="C303" s="356" t="inlineStr">
        <is>
          <t>Коробки типа КЗНС-16, для соединения и разветвления электрических цепей с сальниковыми вводами, стальные, степень защиты IP65, количество зажимов 16, размер 272х234х82 мм</t>
        </is>
      </c>
      <c r="D303" s="357" t="inlineStr">
        <is>
          <t>10 шт</t>
        </is>
      </c>
      <c r="E303" s="267" t="n">
        <v>2.4</v>
      </c>
      <c r="F303" s="359" t="n">
        <v>4747.3</v>
      </c>
      <c r="G303" s="268">
        <f>ROUND(E303*F303,2)</f>
        <v/>
      </c>
      <c r="H303" s="269">
        <f>G303/$G$1004</f>
        <v/>
      </c>
      <c r="I303" s="268">
        <f>ROUND(F303*Прил.10!$D$13,2)</f>
        <v/>
      </c>
      <c r="J303" s="268">
        <f>ROUND(I303*E303,2)</f>
        <v/>
      </c>
    </row>
    <row r="304" hidden="1" outlineLevel="1" ht="38.25" customFormat="1" customHeight="1" s="255">
      <c r="A304" s="357" t="n">
        <v>276</v>
      </c>
      <c r="B304" s="265" t="inlineStr">
        <is>
          <t>08.4.03.03-0030</t>
        </is>
      </c>
      <c r="C304" s="356" t="inlineStr">
        <is>
          <t>Сталь арматурная, горячекатаная, периодического профиля, класс А-III, диаметр 8 мм</t>
        </is>
      </c>
      <c r="D304" s="357" t="inlineStr">
        <is>
          <t>т</t>
        </is>
      </c>
      <c r="E304" s="267" t="n">
        <v>1.38557</v>
      </c>
      <c r="F304" s="359" t="n">
        <v>8102.64</v>
      </c>
      <c r="G304" s="268">
        <f>ROUND(E304*F304,2)</f>
        <v/>
      </c>
      <c r="H304" s="269">
        <f>G304/$G$1004</f>
        <v/>
      </c>
      <c r="I304" s="268">
        <f>ROUND(F304*Прил.10!$D$13,2)</f>
        <v/>
      </c>
      <c r="J304" s="268">
        <f>ROUND(I304*E304,2)</f>
        <v/>
      </c>
    </row>
    <row r="305" hidden="1" outlineLevel="1" ht="14.25" customFormat="1" customHeight="1" s="255">
      <c r="A305" s="357" t="n">
        <v>277</v>
      </c>
      <c r="B305" s="265" t="inlineStr">
        <is>
          <t>14.5.11.01-0001</t>
        </is>
      </c>
      <c r="C305" s="356" t="inlineStr">
        <is>
          <t>Шпатлевка клеевая</t>
        </is>
      </c>
      <c r="D305" s="357" t="inlineStr">
        <is>
          <t>т</t>
        </is>
      </c>
      <c r="E305" s="267" t="n">
        <v>2.6055</v>
      </c>
      <c r="F305" s="359" t="n">
        <v>4294</v>
      </c>
      <c r="G305" s="268">
        <f>ROUND(E305*F305,2)</f>
        <v/>
      </c>
      <c r="H305" s="269">
        <f>G305/$G$1004</f>
        <v/>
      </c>
      <c r="I305" s="268">
        <f>ROUND(F305*Прил.10!$D$13,2)</f>
        <v/>
      </c>
      <c r="J305" s="268">
        <f>ROUND(I305*E305,2)</f>
        <v/>
      </c>
    </row>
    <row r="306" hidden="1" outlineLevel="1" ht="25.5" customFormat="1" customHeight="1" s="255">
      <c r="A306" s="357" t="n">
        <v>278</v>
      </c>
      <c r="B306" s="265" t="inlineStr">
        <is>
          <t>Прайс из СД ОП</t>
        </is>
      </c>
      <c r="C306" s="356" t="inlineStr">
        <is>
          <t xml:space="preserve">Клапан воздушный ГЕРМИК-С-500х500-Н-1*LF230-S-1-УХЛ2 </t>
        </is>
      </c>
      <c r="D306" s="357" t="inlineStr">
        <is>
          <t>шт.</t>
        </is>
      </c>
      <c r="E306" s="267" t="n">
        <v>4</v>
      </c>
      <c r="F306" s="359" t="n">
        <v>2741.81</v>
      </c>
      <c r="G306" s="268">
        <f>ROUND(E306*F306,2)</f>
        <v/>
      </c>
      <c r="H306" s="269">
        <f>G306/$G$1004</f>
        <v/>
      </c>
      <c r="I306" s="268">
        <f>ROUND(F306*Прил.10!$D$13,2)</f>
        <v/>
      </c>
      <c r="J306" s="268">
        <f>ROUND(I306*E306,2)</f>
        <v/>
      </c>
    </row>
    <row r="307" hidden="1" outlineLevel="1" ht="38.25" customFormat="1" customHeight="1" s="255">
      <c r="A307" s="357" t="n">
        <v>279</v>
      </c>
      <c r="B307" s="265" t="inlineStr">
        <is>
          <t>08.4.03.03-0033</t>
        </is>
      </c>
      <c r="C307" s="356" t="inlineStr">
        <is>
          <t>Сталь арматурная, горячекатаная, периодического профиля, класс А-III, диаметр 14 мм</t>
        </is>
      </c>
      <c r="D307" s="357" t="inlineStr">
        <is>
          <t>т</t>
        </is>
      </c>
      <c r="E307" s="267" t="n">
        <v>1.282</v>
      </c>
      <c r="F307" s="359" t="n">
        <v>7997.23</v>
      </c>
      <c r="G307" s="268">
        <f>ROUND(E307*F307,2)</f>
        <v/>
      </c>
      <c r="H307" s="269">
        <f>G307/$G$1004</f>
        <v/>
      </c>
      <c r="I307" s="268">
        <f>ROUND(F307*Прил.10!$D$13,2)</f>
        <v/>
      </c>
      <c r="J307" s="268">
        <f>ROUND(I307*E307,2)</f>
        <v/>
      </c>
    </row>
    <row r="308" hidden="1" outlineLevel="1" ht="25.5" customFormat="1" customHeight="1" s="255">
      <c r="A308" s="357" t="n">
        <v>280</v>
      </c>
      <c r="B308" s="265" t="inlineStr">
        <is>
          <t>04.1.02.05-0003</t>
        </is>
      </c>
      <c r="C308" s="356" t="inlineStr">
        <is>
          <t>Смеси бетонные тяжелого бетона (БСТ), класс В7,5 (М100)</t>
        </is>
      </c>
      <c r="D308" s="357" t="inlineStr">
        <is>
          <t>м3</t>
        </is>
      </c>
      <c r="E308" s="267" t="n">
        <v>18.054</v>
      </c>
      <c r="F308" s="359" t="n">
        <v>560</v>
      </c>
      <c r="G308" s="268">
        <f>ROUND(E308*F308,2)</f>
        <v/>
      </c>
      <c r="H308" s="269">
        <f>G308/$G$1004</f>
        <v/>
      </c>
      <c r="I308" s="268">
        <f>ROUND(F308*Прил.10!$D$13,2)</f>
        <v/>
      </c>
      <c r="J308" s="268">
        <f>ROUND(I308*E308,2)</f>
        <v/>
      </c>
    </row>
    <row r="309" hidden="1" outlineLevel="1" ht="14.25" customFormat="1" customHeight="1" s="255">
      <c r="A309" s="357" t="n">
        <v>281</v>
      </c>
      <c r="B309" s="265" t="inlineStr">
        <is>
          <t>07.2.05.01-0001</t>
        </is>
      </c>
      <c r="C309" s="356" t="inlineStr">
        <is>
          <t>Косоуры</t>
        </is>
      </c>
      <c r="D309" s="357" t="inlineStr">
        <is>
          <t>т</t>
        </is>
      </c>
      <c r="E309" s="267" t="n">
        <v>1.027</v>
      </c>
      <c r="F309" s="359" t="n">
        <v>9820.99</v>
      </c>
      <c r="G309" s="268">
        <f>ROUND(E309*F309,2)</f>
        <v/>
      </c>
      <c r="H309" s="269">
        <f>G309/$G$1004</f>
        <v/>
      </c>
      <c r="I309" s="268">
        <f>ROUND(F309*Прил.10!$D$13,2)</f>
        <v/>
      </c>
      <c r="J309" s="268">
        <f>ROUND(I309*E309,2)</f>
        <v/>
      </c>
    </row>
    <row r="310" hidden="1" outlineLevel="1" ht="14.25" customFormat="1" customHeight="1" s="255">
      <c r="A310" s="357" t="n">
        <v>282</v>
      </c>
      <c r="B310" s="265" t="inlineStr">
        <is>
          <t>Прайс из СД ОП</t>
        </is>
      </c>
      <c r="C310" s="356" t="inlineStr">
        <is>
          <t>Кабельный ввод IP68 PG-M-36</t>
        </is>
      </c>
      <c r="D310" s="357" t="inlineStr">
        <is>
          <t>шт.</t>
        </is>
      </c>
      <c r="E310" s="267" t="n">
        <v>100</v>
      </c>
      <c r="F310" s="359" t="n">
        <v>100.61</v>
      </c>
      <c r="G310" s="268">
        <f>ROUND(E310*F310,2)</f>
        <v/>
      </c>
      <c r="H310" s="269">
        <f>G310/$G$1004</f>
        <v/>
      </c>
      <c r="I310" s="268">
        <f>ROUND(F310*Прил.10!$D$13,2)</f>
        <v/>
      </c>
      <c r="J310" s="268">
        <f>ROUND(I310*E310,2)</f>
        <v/>
      </c>
    </row>
    <row r="311" hidden="1" outlineLevel="1" ht="25.5" customFormat="1" customHeight="1" s="255">
      <c r="A311" s="357" t="n">
        <v>283</v>
      </c>
      <c r="B311" s="265" t="inlineStr">
        <is>
          <t>24.2.05.03-0001</t>
        </is>
      </c>
      <c r="C311" s="356" t="inlineStr">
        <is>
          <t>Трубы хризотилцементные напорные, класс ВТ6, номинальный диаметр 100 мм</t>
        </is>
      </c>
      <c r="D311" s="357" t="inlineStr">
        <is>
          <t>м</t>
        </is>
      </c>
      <c r="E311" s="267" t="n">
        <v>671</v>
      </c>
      <c r="F311" s="359" t="n">
        <v>14.74</v>
      </c>
      <c r="G311" s="268">
        <f>ROUND(E311*F311,2)</f>
        <v/>
      </c>
      <c r="H311" s="269">
        <f>G311/$G$1004</f>
        <v/>
      </c>
      <c r="I311" s="268">
        <f>ROUND(F311*Прил.10!$D$13,2)</f>
        <v/>
      </c>
      <c r="J311" s="268">
        <f>ROUND(I311*E311,2)</f>
        <v/>
      </c>
    </row>
    <row r="312" hidden="1" outlineLevel="1" ht="38.25" customFormat="1" customHeight="1" s="255">
      <c r="A312" s="357" t="n">
        <v>284</v>
      </c>
      <c r="B312" s="265" t="inlineStr">
        <is>
          <t>02.3.01.02-0016</t>
        </is>
      </c>
      <c r="C312" s="356" t="inlineStr">
        <is>
          <t>Песок природный для строительных: работ средний с крупностью зерен размером свыше 5 мм - до 5% по массе</t>
        </is>
      </c>
      <c r="D312" s="357" t="inlineStr">
        <is>
          <t>м3</t>
        </is>
      </c>
      <c r="E312" s="267" t="n">
        <v>177.344</v>
      </c>
      <c r="F312" s="359" t="n">
        <v>55.26</v>
      </c>
      <c r="G312" s="268">
        <f>ROUND(E312*F312,2)</f>
        <v/>
      </c>
      <c r="H312" s="269">
        <f>G312/$G$1004</f>
        <v/>
      </c>
      <c r="I312" s="268">
        <f>ROUND(F312*Прил.10!$D$13,2)</f>
        <v/>
      </c>
      <c r="J312" s="268">
        <f>ROUND(I312*E312,2)</f>
        <v/>
      </c>
    </row>
    <row r="313" hidden="1" outlineLevel="1" ht="14.25" customFormat="1" customHeight="1" s="255">
      <c r="A313" s="357" t="n">
        <v>285</v>
      </c>
      <c r="B313" s="265" t="inlineStr">
        <is>
          <t>12.2.05.10-1004</t>
        </is>
      </c>
      <c r="C313" s="356" t="inlineStr">
        <is>
          <t>Плиты минераловатные, толщина 120 мм</t>
        </is>
      </c>
      <c r="D313" s="357" t="inlineStr">
        <is>
          <t>м2</t>
        </is>
      </c>
      <c r="E313" s="267" t="n">
        <v>285</v>
      </c>
      <c r="F313" s="359" t="n">
        <v>34.33</v>
      </c>
      <c r="G313" s="268">
        <f>ROUND(E313*F313,2)</f>
        <v/>
      </c>
      <c r="H313" s="269">
        <f>G313/$G$1004</f>
        <v/>
      </c>
      <c r="I313" s="268">
        <f>ROUND(F313*Прил.10!$D$13,2)</f>
        <v/>
      </c>
      <c r="J313" s="268">
        <f>ROUND(I313*E313,2)</f>
        <v/>
      </c>
    </row>
    <row r="314" hidden="1" outlineLevel="1" ht="76.7" customFormat="1" customHeight="1" s="255">
      <c r="A314" s="357" t="n">
        <v>286</v>
      </c>
      <c r="B314" s="265" t="inlineStr">
        <is>
          <t>12.1.02.11-0014</t>
        </is>
      </c>
      <c r="C314" s="356" t="inlineStr">
        <is>
          <t>Мембрана полипропиленовая ветро-влагозащитная паропроницаемая, пожарно-технические характеристики Г3, РП1, В2, плотность потока водяного пара 2000 г/(м2*24ч), водоупорность не менее 300 мм.вод.ст</t>
        </is>
      </c>
      <c r="D314" s="357" t="inlineStr">
        <is>
          <t>10 м2</t>
        </is>
      </c>
      <c r="E314" s="267" t="n">
        <v>246.2217</v>
      </c>
      <c r="F314" s="359" t="n">
        <v>39.2</v>
      </c>
      <c r="G314" s="268">
        <f>ROUND(E314*F314,2)</f>
        <v/>
      </c>
      <c r="H314" s="269">
        <f>G314/$G$1004</f>
        <v/>
      </c>
      <c r="I314" s="268">
        <f>ROUND(F314*Прил.10!$D$13,2)</f>
        <v/>
      </c>
      <c r="J314" s="268">
        <f>ROUND(I314*E314,2)</f>
        <v/>
      </c>
    </row>
    <row r="315" hidden="1" outlineLevel="1" ht="25.5" customFormat="1" customHeight="1" s="255">
      <c r="A315" s="357" t="n">
        <v>287</v>
      </c>
      <c r="B315" s="265" t="inlineStr">
        <is>
          <t>01.7.15.14-0217</t>
        </is>
      </c>
      <c r="C315" s="356" t="inlineStr">
        <is>
          <t>Шурупы самосверлящие для втулок 4,8х150 мм</t>
        </is>
      </c>
      <c r="D315" s="357" t="inlineStr">
        <is>
          <t>100 шт</t>
        </is>
      </c>
      <c r="E315" s="267" t="n">
        <v>34.14</v>
      </c>
      <c r="F315" s="359" t="n">
        <v>279</v>
      </c>
      <c r="G315" s="268">
        <f>ROUND(E315*F315,2)</f>
        <v/>
      </c>
      <c r="H315" s="269">
        <f>G315/$G$1004</f>
        <v/>
      </c>
      <c r="I315" s="268">
        <f>ROUND(F315*Прил.10!$D$13,2)</f>
        <v/>
      </c>
      <c r="J315" s="268">
        <f>ROUND(I315*E315,2)</f>
        <v/>
      </c>
    </row>
    <row r="316" hidden="1" outlineLevel="1" ht="38.25" customFormat="1" customHeight="1" s="255">
      <c r="A316" s="357" t="n">
        <v>288</v>
      </c>
      <c r="B316" s="265" t="inlineStr">
        <is>
          <t>08.4.03.03-0032</t>
        </is>
      </c>
      <c r="C316" s="356" t="inlineStr">
        <is>
          <t>Сталь арматурная, горячекатаная, периодического профиля, класс А-III, диаметр 12 мм (для сетки 2С)</t>
        </is>
      </c>
      <c r="D316" s="357" t="inlineStr">
        <is>
          <t>т</t>
        </is>
      </c>
      <c r="E316" s="267" t="n">
        <v>1.17568</v>
      </c>
      <c r="F316" s="359" t="n">
        <v>7997.23</v>
      </c>
      <c r="G316" s="268">
        <f>ROUND(E316*F316,2)</f>
        <v/>
      </c>
      <c r="H316" s="269">
        <f>G316/$G$1004</f>
        <v/>
      </c>
      <c r="I316" s="268">
        <f>ROUND(F316*Прил.10!$D$13,2)</f>
        <v/>
      </c>
      <c r="J316" s="268">
        <f>ROUND(I316*E316,2)</f>
        <v/>
      </c>
    </row>
    <row r="317" hidden="1" outlineLevel="1" ht="14.25" customFormat="1" customHeight="1" s="255">
      <c r="A317" s="357" t="n">
        <v>289</v>
      </c>
      <c r="B317" s="265" t="inlineStr">
        <is>
          <t>11.2.13.04-0011</t>
        </is>
      </c>
      <c r="C317" s="356" t="inlineStr">
        <is>
          <t>Щиты из досок, толщина 25 мм</t>
        </is>
      </c>
      <c r="D317" s="357" t="inlineStr">
        <is>
          <t>м2</t>
        </is>
      </c>
      <c r="E317" s="267" t="n">
        <v>263.3656</v>
      </c>
      <c r="F317" s="359" t="n">
        <v>35.53</v>
      </c>
      <c r="G317" s="268">
        <f>ROUND(E317*F317,2)</f>
        <v/>
      </c>
      <c r="H317" s="269">
        <f>G317/$G$1004</f>
        <v/>
      </c>
      <c r="I317" s="268">
        <f>ROUND(F317*Прил.10!$D$13,2)</f>
        <v/>
      </c>
      <c r="J317" s="268">
        <f>ROUND(I317*E317,2)</f>
        <v/>
      </c>
    </row>
    <row r="318" hidden="1" outlineLevel="1" ht="38.25" customFormat="1" customHeight="1" s="255">
      <c r="A318" s="357" t="n">
        <v>290</v>
      </c>
      <c r="B318" s="265" t="inlineStr">
        <is>
          <t>Прайс из СД ОП</t>
        </is>
      </c>
      <c r="C318" s="356" t="inlineStr">
        <is>
          <t>Кабельный ввод для светильников ВЭЛ-51-СД.Л, ВЭЛАН-73 ВК-Н-ВЭЛ4Т-М25-Exd-G3/4</t>
        </is>
      </c>
      <c r="D318" s="357" t="inlineStr">
        <is>
          <t>шт.</t>
        </is>
      </c>
      <c r="E318" s="267" t="n">
        <v>87</v>
      </c>
      <c r="F318" s="359" t="n">
        <v>107.54</v>
      </c>
      <c r="G318" s="268">
        <f>ROUND(E318*F318,2)</f>
        <v/>
      </c>
      <c r="H318" s="269">
        <f>G318/$G$1004</f>
        <v/>
      </c>
      <c r="I318" s="268">
        <f>ROUND(F318*Прил.10!$D$13,2)</f>
        <v/>
      </c>
      <c r="J318" s="268">
        <f>ROUND(I318*E318,2)</f>
        <v/>
      </c>
    </row>
    <row r="319" hidden="1" outlineLevel="1" ht="25.5" customFormat="1" customHeight="1" s="255">
      <c r="A319" s="357" t="n">
        <v>291</v>
      </c>
      <c r="B319" s="265" t="inlineStr">
        <is>
          <t>19.3.01.06-0155</t>
        </is>
      </c>
      <c r="C319" s="356" t="inlineStr">
        <is>
          <t>Клапаны воздушные под ручной или электропривод ВК, размер 800х800 мм</t>
        </is>
      </c>
      <c r="D319" s="357" t="inlineStr">
        <is>
          <t>шт</t>
        </is>
      </c>
      <c r="E319" s="267" t="n">
        <v>6</v>
      </c>
      <c r="F319" s="359" t="n">
        <v>1502.17</v>
      </c>
      <c r="G319" s="268">
        <f>ROUND(E319*F319,2)</f>
        <v/>
      </c>
      <c r="H319" s="269">
        <f>G319/$G$1004</f>
        <v/>
      </c>
      <c r="I319" s="268">
        <f>ROUND(F319*Прил.10!$D$13,2)</f>
        <v/>
      </c>
      <c r="J319" s="268">
        <f>ROUND(I319*E319,2)</f>
        <v/>
      </c>
    </row>
    <row r="320" hidden="1" outlineLevel="1" ht="25.5" customFormat="1" customHeight="1" s="255">
      <c r="A320" s="357" t="n">
        <v>292</v>
      </c>
      <c r="B320" s="265" t="inlineStr">
        <is>
          <t>07.2.07.04-0007</t>
        </is>
      </c>
      <c r="C320" s="356" t="inlineStr">
        <is>
          <t>Конструкции стальные индивидуальные решетчатые сварные, масса до 0,1 т</t>
        </is>
      </c>
      <c r="D320" s="357" t="inlineStr">
        <is>
          <t>т</t>
        </is>
      </c>
      <c r="E320" s="267" t="n">
        <v>0.783</v>
      </c>
      <c r="F320" s="359" t="n">
        <v>11500</v>
      </c>
      <c r="G320" s="268">
        <f>ROUND(E320*F320,2)</f>
        <v/>
      </c>
      <c r="H320" s="269">
        <f>G320/$G$1004</f>
        <v/>
      </c>
      <c r="I320" s="268">
        <f>ROUND(F320*Прил.10!$D$13,2)</f>
        <v/>
      </c>
      <c r="J320" s="268">
        <f>ROUND(I320*E320,2)</f>
        <v/>
      </c>
    </row>
    <row r="321" hidden="1" outlineLevel="1" ht="51" customFormat="1" customHeight="1" s="255">
      <c r="A321" s="357" t="n">
        <v>293</v>
      </c>
      <c r="B321" s="265" t="inlineStr">
        <is>
          <t>05.2.02.01-0057</t>
        </is>
      </c>
      <c r="C321" s="356" t="inlineStr">
        <is>
          <t>Блоки бетонные для стен подвалов полнотелые ФБС24-6-6-Т, бетон B7,5 (М100, объем 0,815 м3, расход арматуры 2,36 кг</t>
        </is>
      </c>
      <c r="D321" s="357" t="inlineStr">
        <is>
          <t>шт</t>
        </is>
      </c>
      <c r="E321" s="267" t="n">
        <v>19</v>
      </c>
      <c r="F321" s="359" t="n">
        <v>472.7</v>
      </c>
      <c r="G321" s="268">
        <f>ROUND(E321*F321,2)</f>
        <v/>
      </c>
      <c r="H321" s="269">
        <f>G321/$G$1004</f>
        <v/>
      </c>
      <c r="I321" s="268">
        <f>ROUND(F321*Прил.10!$D$13,2)</f>
        <v/>
      </c>
      <c r="J321" s="268">
        <f>ROUND(I321*E321,2)</f>
        <v/>
      </c>
    </row>
    <row r="322" hidden="1" outlineLevel="1" ht="51" customFormat="1" customHeight="1" s="255">
      <c r="A322" s="357" t="n">
        <v>294</v>
      </c>
      <c r="B322" s="265" t="inlineStr">
        <is>
          <t>12.1.01.05-0025</t>
        </is>
      </c>
      <c r="C322" s="356" t="inlineStr">
        <is>
          <t>Хомут для труб (на твердое основание) металлический для водосточных систем, покрытие полиэстер, с крепежом, диаметр 150 мм</t>
        </is>
      </c>
      <c r="D322" s="357" t="inlineStr">
        <is>
          <t>шт</t>
        </is>
      </c>
      <c r="E322" s="267" t="n">
        <v>135</v>
      </c>
      <c r="F322" s="359" t="n">
        <v>65.06</v>
      </c>
      <c r="G322" s="268">
        <f>ROUND(E322*F322,2)</f>
        <v/>
      </c>
      <c r="H322" s="269">
        <f>G322/$G$1004</f>
        <v/>
      </c>
      <c r="I322" s="268">
        <f>ROUND(F322*Прил.10!$D$13,2)</f>
        <v/>
      </c>
      <c r="J322" s="268">
        <f>ROUND(I322*E322,2)</f>
        <v/>
      </c>
    </row>
    <row r="323" hidden="1" outlineLevel="1" ht="14.25" customFormat="1" customHeight="1" s="255">
      <c r="A323" s="357" t="n">
        <v>295</v>
      </c>
      <c r="B323" s="265" t="inlineStr">
        <is>
          <t>01.2.03.03-0013</t>
        </is>
      </c>
      <c r="C323" s="356" t="inlineStr">
        <is>
          <t>Мастика битумная кровельная горячая</t>
        </is>
      </c>
      <c r="D323" s="357" t="inlineStr">
        <is>
          <t>т</t>
        </is>
      </c>
      <c r="E323" s="267" t="n">
        <v>2.579</v>
      </c>
      <c r="F323" s="359" t="n">
        <v>3390</v>
      </c>
      <c r="G323" s="268">
        <f>ROUND(E323*F323,2)</f>
        <v/>
      </c>
      <c r="H323" s="269">
        <f>G323/$G$1004</f>
        <v/>
      </c>
      <c r="I323" s="268">
        <f>ROUND(F323*Прил.10!$D$13,2)</f>
        <v/>
      </c>
      <c r="J323" s="268">
        <f>ROUND(I323*E323,2)</f>
        <v/>
      </c>
    </row>
    <row r="324" hidden="1" outlineLevel="1" ht="38.25" customFormat="1" customHeight="1" s="255">
      <c r="A324" s="357" t="n">
        <v>296</v>
      </c>
      <c r="B324" s="265" t="inlineStr">
        <is>
          <t>07.1.01.01-0015</t>
        </is>
      </c>
      <c r="C324" s="356" t="inlineStr">
        <is>
          <t>Дверь противопожарная металлическая однопольная ДПМ-01/30, размером 1000х2100 мм</t>
        </is>
      </c>
      <c r="D324" s="357" t="inlineStr">
        <is>
          <t>шт</t>
        </is>
      </c>
      <c r="E324" s="267" t="n">
        <v>3</v>
      </c>
      <c r="F324" s="359" t="n">
        <v>2900.88</v>
      </c>
      <c r="G324" s="268">
        <f>ROUND(E324*F324,2)</f>
        <v/>
      </c>
      <c r="H324" s="269">
        <f>G324/$G$1004</f>
        <v/>
      </c>
      <c r="I324" s="268">
        <f>ROUND(F324*Прил.10!$D$13,2)</f>
        <v/>
      </c>
      <c r="J324" s="268">
        <f>ROUND(I324*E324,2)</f>
        <v/>
      </c>
    </row>
    <row r="325" hidden="1" outlineLevel="1" ht="51" customFormat="1" customHeight="1" s="255">
      <c r="A325" s="357" t="n">
        <v>297</v>
      </c>
      <c r="B325" s="265" t="inlineStr">
        <is>
          <t>23.3.06.02-0004</t>
        </is>
      </c>
      <c r="C325" s="356" t="inlineStr">
        <is>
          <t>Трубы стальные сварные оцинкованные водогазопроводные с резьбой, обыкновенные, номинальный диаметр 32 мм, толщина стенки 3,2 мм</t>
        </is>
      </c>
      <c r="D325" s="357" t="inlineStr">
        <is>
          <t>м</t>
        </is>
      </c>
      <c r="E325" s="267" t="n">
        <v>213.9</v>
      </c>
      <c r="F325" s="359" t="n">
        <v>40.5</v>
      </c>
      <c r="G325" s="268">
        <f>ROUND(E325*F325,2)</f>
        <v/>
      </c>
      <c r="H325" s="269">
        <f>G325/$G$1004</f>
        <v/>
      </c>
      <c r="I325" s="268">
        <f>ROUND(F325*Прил.10!$D$13,2)</f>
        <v/>
      </c>
      <c r="J325" s="268">
        <f>ROUND(I325*E325,2)</f>
        <v/>
      </c>
    </row>
    <row r="326" hidden="1" outlineLevel="1" ht="25.5" customFormat="1" customHeight="1" s="255">
      <c r="A326" s="357" t="n">
        <v>298</v>
      </c>
      <c r="B326" s="265" t="inlineStr">
        <is>
          <t>01.6.01.01-0001</t>
        </is>
      </c>
      <c r="C326" s="356" t="inlineStr">
        <is>
          <t>Лист гипсоволокнистый влагостойкий ГВЛВ, толщина 10 мм</t>
        </is>
      </c>
      <c r="D326" s="357" t="inlineStr">
        <is>
          <t>м2</t>
        </is>
      </c>
      <c r="E326" s="267" t="n">
        <v>360.09</v>
      </c>
      <c r="F326" s="359" t="n">
        <v>23.52</v>
      </c>
      <c r="G326" s="268">
        <f>ROUND(E326*F326,2)</f>
        <v/>
      </c>
      <c r="H326" s="269">
        <f>G326/$G$1004</f>
        <v/>
      </c>
      <c r="I326" s="268">
        <f>ROUND(F326*Прил.10!$D$13,2)</f>
        <v/>
      </c>
      <c r="J326" s="268">
        <f>ROUND(I326*E326,2)</f>
        <v/>
      </c>
    </row>
    <row r="327" hidden="1" outlineLevel="1" ht="25.5" customFormat="1" customHeight="1" s="255">
      <c r="A327" s="357" t="n">
        <v>299</v>
      </c>
      <c r="B327" s="265" t="inlineStr">
        <is>
          <t>14.2.02.06-0001</t>
        </is>
      </c>
      <c r="C327" s="356" t="inlineStr">
        <is>
          <t>Материал базальтовый огнезащитный рулонный</t>
        </is>
      </c>
      <c r="D327" s="357" t="inlineStr">
        <is>
          <t>м2</t>
        </is>
      </c>
      <c r="E327" s="267" t="n">
        <v>213.18</v>
      </c>
      <c r="F327" s="359" t="n">
        <v>39.57</v>
      </c>
      <c r="G327" s="268">
        <f>ROUND(E327*F327,2)</f>
        <v/>
      </c>
      <c r="H327" s="269">
        <f>G327/$G$1004</f>
        <v/>
      </c>
      <c r="I327" s="268">
        <f>ROUND(F327*Прил.10!$D$13,2)</f>
        <v/>
      </c>
      <c r="J327" s="268">
        <f>ROUND(I327*E327,2)</f>
        <v/>
      </c>
    </row>
    <row r="328" hidden="1" outlineLevel="1" ht="14.25" customFormat="1" customHeight="1" s="255">
      <c r="A328" s="357" t="n">
        <v>300</v>
      </c>
      <c r="B328" s="265" t="inlineStr">
        <is>
          <t>14.1.06.04-0010</t>
        </is>
      </c>
      <c r="C328" s="356" t="inlineStr">
        <is>
          <t>Клей плиточный «Боларс Аква»</t>
        </is>
      </c>
      <c r="D328" s="357" t="inlineStr">
        <is>
          <t>кг</t>
        </is>
      </c>
      <c r="E328" s="267" t="n">
        <v>1686.6</v>
      </c>
      <c r="F328" s="359" t="n">
        <v>4.93</v>
      </c>
      <c r="G328" s="268">
        <f>ROUND(E328*F328,2)</f>
        <v/>
      </c>
      <c r="H328" s="269">
        <f>G328/$G$1004</f>
        <v/>
      </c>
      <c r="I328" s="268">
        <f>ROUND(F328*Прил.10!$D$13,2)</f>
        <v/>
      </c>
      <c r="J328" s="268">
        <f>ROUND(I328*E328,2)</f>
        <v/>
      </c>
    </row>
    <row r="329" hidden="1" outlineLevel="1" ht="51" customFormat="1" customHeight="1" s="255">
      <c r="A329" s="357" t="n">
        <v>301</v>
      </c>
      <c r="B329" s="265" t="inlineStr">
        <is>
          <t>07.2.07.12-0020</t>
        </is>
      </c>
      <c r="C329" s="356" t="inlineStr">
        <is>
          <t>Элементы конструктивные зданий и сооружений с преобладанием горячекатаных профилей, средняя масса сборочной единицы от 0,1 до 0,5 т</t>
        </is>
      </c>
      <c r="D329" s="357" t="inlineStr">
        <is>
          <t>т</t>
        </is>
      </c>
      <c r="E329" s="267" t="n">
        <v>1.0509</v>
      </c>
      <c r="F329" s="359" t="n">
        <v>7712</v>
      </c>
      <c r="G329" s="268">
        <f>ROUND(E329*F329,2)</f>
        <v/>
      </c>
      <c r="H329" s="269">
        <f>G329/$G$1004</f>
        <v/>
      </c>
      <c r="I329" s="268">
        <f>ROUND(F329*Прил.10!$D$13,2)</f>
        <v/>
      </c>
      <c r="J329" s="268">
        <f>ROUND(I329*E329,2)</f>
        <v/>
      </c>
    </row>
    <row r="330" hidden="1" outlineLevel="1" ht="38.25" customFormat="1" customHeight="1" s="255">
      <c r="A330" s="357" t="n">
        <v>302</v>
      </c>
      <c r="B330" s="265" t="inlineStr">
        <is>
          <t>05.2.02.01-0035</t>
        </is>
      </c>
      <c r="C330" s="356" t="inlineStr">
        <is>
          <t>Блоки бетонные для стен подвалов полнотелые ФБС9-3-6-Т, бетон B7,5 (М100, объем 0,146 м3, расход арматуры 0,76 кг</t>
        </is>
      </c>
      <c r="D330" s="357" t="inlineStr">
        <is>
          <t>шт</t>
        </is>
      </c>
      <c r="E330" s="267" t="n">
        <v>88</v>
      </c>
      <c r="F330" s="359" t="n">
        <v>90.53</v>
      </c>
      <c r="G330" s="268">
        <f>ROUND(E330*F330,2)</f>
        <v/>
      </c>
      <c r="H330" s="269">
        <f>G330/$G$1004</f>
        <v/>
      </c>
      <c r="I330" s="268">
        <f>ROUND(F330*Прил.10!$D$13,2)</f>
        <v/>
      </c>
      <c r="J330" s="268">
        <f>ROUND(I330*E330,2)</f>
        <v/>
      </c>
    </row>
    <row r="331" hidden="1" outlineLevel="1" ht="38.25" customFormat="1" customHeight="1" s="255">
      <c r="A331" s="357" t="n">
        <v>303</v>
      </c>
      <c r="B331" s="265" t="inlineStr">
        <is>
          <t>11.1.03.06-0094</t>
        </is>
      </c>
      <c r="C331" s="356" t="inlineStr">
        <is>
          <t>Доска обрезная, хвойных пород, ширина 75-150 мм, толщина 44 мм и более, длина 4-6,5 м, сорт II</t>
        </is>
      </c>
      <c r="D331" s="357" t="inlineStr">
        <is>
          <t>м3</t>
        </is>
      </c>
      <c r="E331" s="267" t="n">
        <v>6.006</v>
      </c>
      <c r="F331" s="359" t="n">
        <v>1320</v>
      </c>
      <c r="G331" s="268">
        <f>ROUND(E331*F331,2)</f>
        <v/>
      </c>
      <c r="H331" s="269">
        <f>G331/$G$1004</f>
        <v/>
      </c>
      <c r="I331" s="268">
        <f>ROUND(F331*Прил.10!$D$13,2)</f>
        <v/>
      </c>
      <c r="J331" s="268">
        <f>ROUND(I331*E331,2)</f>
        <v/>
      </c>
    </row>
    <row r="332" hidden="1" outlineLevel="1" ht="25.5" customFormat="1" customHeight="1" s="255">
      <c r="A332" s="357" t="n">
        <v>304</v>
      </c>
      <c r="B332" s="265" t="inlineStr">
        <is>
          <t>Прайс из СД ОП</t>
        </is>
      </c>
      <c r="C332" s="356" t="inlineStr">
        <is>
          <t xml:space="preserve">Клапан ГЕРМИК-П-Н-1100х1100-1*SM230A-1-УХЛ2 </t>
        </is>
      </c>
      <c r="D332" s="357" t="inlineStr">
        <is>
          <t>шт.</t>
        </is>
      </c>
      <c r="E332" s="267" t="n">
        <v>2</v>
      </c>
      <c r="F332" s="359" t="n">
        <v>3879.25</v>
      </c>
      <c r="G332" s="268">
        <f>ROUND(E332*F332,2)</f>
        <v/>
      </c>
      <c r="H332" s="269">
        <f>G332/$G$1004</f>
        <v/>
      </c>
      <c r="I332" s="268">
        <f>ROUND(F332*Прил.10!$D$13,2)</f>
        <v/>
      </c>
      <c r="J332" s="268">
        <f>ROUND(I332*E332,2)</f>
        <v/>
      </c>
    </row>
    <row r="333" hidden="1" outlineLevel="1" ht="25.5" customFormat="1" customHeight="1" s="255">
      <c r="A333" s="357" t="n">
        <v>305</v>
      </c>
      <c r="B333" s="265" t="inlineStr">
        <is>
          <t>19.3.01.06-0152</t>
        </is>
      </c>
      <c r="C333" s="356" t="inlineStr">
        <is>
          <t>Клапаны воздушные под ручной или электропривод ВК, размер 800х500 мм</t>
        </is>
      </c>
      <c r="D333" s="357" t="inlineStr">
        <is>
          <t>шт</t>
        </is>
      </c>
      <c r="E333" s="267" t="n">
        <v>6</v>
      </c>
      <c r="F333" s="359" t="n">
        <v>1267.91</v>
      </c>
      <c r="G333" s="268">
        <f>ROUND(E333*F333,2)</f>
        <v/>
      </c>
      <c r="H333" s="269">
        <f>G333/$G$1004</f>
        <v/>
      </c>
      <c r="I333" s="268">
        <f>ROUND(F333*Прил.10!$D$13,2)</f>
        <v/>
      </c>
      <c r="J333" s="268">
        <f>ROUND(I333*E333,2)</f>
        <v/>
      </c>
    </row>
    <row r="334" hidden="1" outlineLevel="1" ht="14.25" customFormat="1" customHeight="1" s="255">
      <c r="A334" s="357" t="n">
        <v>306</v>
      </c>
      <c r="B334" s="265" t="inlineStr">
        <is>
          <t>Прайс из СД ОП</t>
        </is>
      </c>
      <c r="C334" s="356" t="inlineStr">
        <is>
          <t>Кабельный подвес Т2-10-1(37,4)</t>
        </is>
      </c>
      <c r="D334" s="357" t="inlineStr">
        <is>
          <t>шт.</t>
        </is>
      </c>
      <c r="E334" s="267" t="n">
        <v>40</v>
      </c>
      <c r="F334" s="359" t="n">
        <v>189.38</v>
      </c>
      <c r="G334" s="268">
        <f>ROUND(E334*F334,2)</f>
        <v/>
      </c>
      <c r="H334" s="269">
        <f>G334/$G$1004</f>
        <v/>
      </c>
      <c r="I334" s="268">
        <f>ROUND(F334*Прил.10!$D$13,2)</f>
        <v/>
      </c>
      <c r="J334" s="268">
        <f>ROUND(I334*E334,2)</f>
        <v/>
      </c>
    </row>
    <row r="335" hidden="1" outlineLevel="1" ht="38.25" customFormat="1" customHeight="1" s="255">
      <c r="A335" s="357" t="n">
        <v>307</v>
      </c>
      <c r="B335" s="265" t="inlineStr">
        <is>
          <t>07.1.01.01-0028</t>
        </is>
      </c>
      <c r="C335" s="356" t="inlineStr">
        <is>
          <t>Дверь противопожарная металлическая: остекленная однопольная ДПМО-01/60, размером 900х2100 мм</t>
        </is>
      </c>
      <c r="D335" s="357" t="inlineStr">
        <is>
          <t>шт</t>
        </is>
      </c>
      <c r="E335" s="267" t="n">
        <v>2</v>
      </c>
      <c r="F335" s="359" t="n">
        <v>3756</v>
      </c>
      <c r="G335" s="268">
        <f>ROUND(E335*F335,2)</f>
        <v/>
      </c>
      <c r="H335" s="269">
        <f>G335/$G$1004</f>
        <v/>
      </c>
      <c r="I335" s="268">
        <f>ROUND(F335*Прил.10!$D$13,2)</f>
        <v/>
      </c>
      <c r="J335" s="268">
        <f>ROUND(I335*E335,2)</f>
        <v/>
      </c>
    </row>
    <row r="336" hidden="1" outlineLevel="1" ht="38.25" customFormat="1" customHeight="1" s="255">
      <c r="A336" s="357" t="n">
        <v>308</v>
      </c>
      <c r="B336" s="265" t="inlineStr">
        <is>
          <t>12.1.01.05-0036</t>
        </is>
      </c>
      <c r="C336" s="356" t="inlineStr">
        <is>
          <t>Желоб металлический для водосточных систем, покрытие полиэстер, диаметр 185 мм, длина 3000 мм</t>
        </is>
      </c>
      <c r="D336" s="357" t="inlineStr">
        <is>
          <t>шт</t>
        </is>
      </c>
      <c r="E336" s="267" t="n">
        <v>27.266667</v>
      </c>
      <c r="F336" s="359" t="n">
        <v>271.07</v>
      </c>
      <c r="G336" s="268">
        <f>ROUND(E336*F336,2)</f>
        <v/>
      </c>
      <c r="H336" s="269">
        <f>G336/$G$1004</f>
        <v/>
      </c>
      <c r="I336" s="268">
        <f>ROUND(F336*Прил.10!$D$13,2)</f>
        <v/>
      </c>
      <c r="J336" s="268">
        <f>ROUND(I336*E336,2)</f>
        <v/>
      </c>
    </row>
    <row r="337" hidden="1" outlineLevel="1" ht="38.25" customFormat="1" customHeight="1" s="255">
      <c r="A337" s="357" t="n">
        <v>309</v>
      </c>
      <c r="B337" s="265" t="inlineStr">
        <is>
          <t>Прайс из СД ОП</t>
        </is>
      </c>
      <c r="C337" s="356" t="inlineStr">
        <is>
          <t>Кабельный ввод для светильников ВЭЛ-51-СД.Л.20... ВЭЛАН-31-СД.Л.60 ВК-Н-ВЭЛ4Т-G1/2-Exd-G1/2</t>
        </is>
      </c>
      <c r="D337" s="357" t="inlineStr">
        <is>
          <t>шт.</t>
        </is>
      </c>
      <c r="E337" s="267" t="n">
        <v>66</v>
      </c>
      <c r="F337" s="359" t="n">
        <v>107.54</v>
      </c>
      <c r="G337" s="268">
        <f>ROUND(E337*F337,2)</f>
        <v/>
      </c>
      <c r="H337" s="269">
        <f>G337/$G$1004</f>
        <v/>
      </c>
      <c r="I337" s="268">
        <f>ROUND(F337*Прил.10!$D$13,2)</f>
        <v/>
      </c>
      <c r="J337" s="268">
        <f>ROUND(I337*E337,2)</f>
        <v/>
      </c>
    </row>
    <row r="338" hidden="1" outlineLevel="1" ht="14.25" customFormat="1" customHeight="1" s="255">
      <c r="A338" s="357" t="n">
        <v>310</v>
      </c>
      <c r="B338" s="265" t="inlineStr">
        <is>
          <t>21.1.05.01-0063</t>
        </is>
      </c>
      <c r="C338" s="356" t="inlineStr">
        <is>
          <t>Кабель силовой гибкий КГ 5х16-660</t>
        </is>
      </c>
      <c r="D338" s="357" t="inlineStr">
        <is>
          <t>1000 м</t>
        </is>
      </c>
      <c r="E338" s="267" t="n">
        <v>0.08160000000000001</v>
      </c>
      <c r="F338" s="359" t="n">
        <v>86269.31</v>
      </c>
      <c r="G338" s="268">
        <f>ROUND(E338*F338,2)</f>
        <v/>
      </c>
      <c r="H338" s="269">
        <f>G338/$G$1004</f>
        <v/>
      </c>
      <c r="I338" s="268">
        <f>ROUND(F338*Прил.10!$D$13,2)</f>
        <v/>
      </c>
      <c r="J338" s="268">
        <f>ROUND(I338*E338,2)</f>
        <v/>
      </c>
    </row>
    <row r="339" hidden="1" outlineLevel="1" ht="25.5" customFormat="1" customHeight="1" s="255">
      <c r="A339" s="357" t="n">
        <v>311</v>
      </c>
      <c r="B339" s="265" t="inlineStr">
        <is>
          <t>21.1.05.01-0063</t>
        </is>
      </c>
      <c r="C339" s="356" t="inlineStr">
        <is>
          <t>Кабель силовой гибкий КГ 5х16-660 (прим. КГ-0,66 5х25)</t>
        </is>
      </c>
      <c r="D339" s="357" t="inlineStr">
        <is>
          <t>1000 м</t>
        </is>
      </c>
      <c r="E339" s="267" t="n">
        <v>0.08160000000000001</v>
      </c>
      <c r="F339" s="359" t="n">
        <v>86269.31</v>
      </c>
      <c r="G339" s="268">
        <f>ROUND(E339*F339,2)</f>
        <v/>
      </c>
      <c r="H339" s="269">
        <f>G339/$G$1004</f>
        <v/>
      </c>
      <c r="I339" s="268">
        <f>ROUND(F339*Прил.10!$D$13,2)</f>
        <v/>
      </c>
      <c r="J339" s="268">
        <f>ROUND(I339*E339,2)</f>
        <v/>
      </c>
    </row>
    <row r="340" hidden="1" outlineLevel="1" ht="25.5" customFormat="1" customHeight="1" s="255">
      <c r="A340" s="357" t="n">
        <v>312</v>
      </c>
      <c r="B340" s="265" t="inlineStr">
        <is>
          <t>06.2.05.03-1000</t>
        </is>
      </c>
      <c r="C340" s="356" t="inlineStr">
        <is>
          <t>Плитка керамогранитная, размер 300х300х8 мм</t>
        </is>
      </c>
      <c r="D340" s="357" t="inlineStr">
        <is>
          <t>м2</t>
        </is>
      </c>
      <c r="E340" s="267" t="n">
        <v>143.361</v>
      </c>
      <c r="F340" s="359" t="n">
        <v>47.83</v>
      </c>
      <c r="G340" s="268">
        <f>ROUND(E340*F340,2)</f>
        <v/>
      </c>
      <c r="H340" s="269">
        <f>G340/$G$1004</f>
        <v/>
      </c>
      <c r="I340" s="268">
        <f>ROUND(F340*Прил.10!$D$13,2)</f>
        <v/>
      </c>
      <c r="J340" s="268">
        <f>ROUND(I340*E340,2)</f>
        <v/>
      </c>
    </row>
    <row r="341" hidden="1" outlineLevel="1" ht="25.5" customFormat="1" customHeight="1" s="255">
      <c r="A341" s="357" t="n">
        <v>313</v>
      </c>
      <c r="B341" s="265" t="inlineStr">
        <is>
          <t>Прайс из СД ОП</t>
        </is>
      </c>
      <c r="C341" s="356" t="inlineStr">
        <is>
          <t xml:space="preserve">Клапан воздушный ГЕРМИК-С-200х200-Н-1*LF230-S-1-УХЛ2 </t>
        </is>
      </c>
      <c r="D341" s="357" t="inlineStr">
        <is>
          <t>шт.</t>
        </is>
      </c>
      <c r="E341" s="267" t="n">
        <v>3</v>
      </c>
      <c r="F341" s="359" t="n">
        <v>2267.07</v>
      </c>
      <c r="G341" s="268">
        <f>ROUND(E341*F341,2)</f>
        <v/>
      </c>
      <c r="H341" s="269">
        <f>G341/$G$1004</f>
        <v/>
      </c>
      <c r="I341" s="268">
        <f>ROUND(F341*Прил.10!$D$13,2)</f>
        <v/>
      </c>
      <c r="J341" s="268">
        <f>ROUND(I341*E341,2)</f>
        <v/>
      </c>
    </row>
    <row r="342" hidden="1" outlineLevel="1" ht="38.25" customFormat="1" customHeight="1" s="255">
      <c r="A342" s="357" t="n">
        <v>314</v>
      </c>
      <c r="B342" s="265" t="inlineStr">
        <is>
          <t>Прайс из СД ОП</t>
        </is>
      </c>
      <c r="C342" s="356" t="inlineStr">
        <is>
          <t>Соединитель полоса-полоса с разделительной пластиной 100х100 мм NG3106</t>
        </is>
      </c>
      <c r="D342" s="357" t="inlineStr">
        <is>
          <t>шт.</t>
        </is>
      </c>
      <c r="E342" s="267" t="n">
        <v>80</v>
      </c>
      <c r="F342" s="359" t="n">
        <v>84.98</v>
      </c>
      <c r="G342" s="268">
        <f>ROUND(E342*F342,2)</f>
        <v/>
      </c>
      <c r="H342" s="269">
        <f>G342/$G$1004</f>
        <v/>
      </c>
      <c r="I342" s="268">
        <f>ROUND(F342*Прил.10!$D$13,2)</f>
        <v/>
      </c>
      <c r="J342" s="268">
        <f>ROUND(I342*E342,2)</f>
        <v/>
      </c>
    </row>
    <row r="343" hidden="1" outlineLevel="1" ht="76.7" customFormat="1" customHeight="1" s="255">
      <c r="A343" s="357" t="n">
        <v>315</v>
      </c>
      <c r="B343" s="265" t="inlineStr">
        <is>
          <t>07.2.07.12-0006</t>
        </is>
      </c>
      <c r="C343" s="356" t="inlineStr">
        <is>
          <t>Элементы конструктивные вспомогательного назначения, с преобладанием профильного проката, собираемые из двух и более деталей, с отверстиями и без отверстий, соединяемые на сварке</t>
        </is>
      </c>
      <c r="D343" s="357" t="inlineStr">
        <is>
          <t>т</t>
        </is>
      </c>
      <c r="E343" s="267" t="n">
        <v>0.67</v>
      </c>
      <c r="F343" s="359" t="n">
        <v>10045</v>
      </c>
      <c r="G343" s="268">
        <f>ROUND(E343*F343,2)</f>
        <v/>
      </c>
      <c r="H343" s="269">
        <f>G343/$G$1004</f>
        <v/>
      </c>
      <c r="I343" s="268">
        <f>ROUND(F343*Прил.10!$D$13,2)</f>
        <v/>
      </c>
      <c r="J343" s="268">
        <f>ROUND(I343*E343,2)</f>
        <v/>
      </c>
    </row>
    <row r="344" hidden="1" outlineLevel="1" ht="25.5" customFormat="1" customHeight="1" s="255">
      <c r="A344" s="357" t="n">
        <v>316</v>
      </c>
      <c r="B344" s="265" t="inlineStr">
        <is>
          <t>19.1.01.03-0082</t>
        </is>
      </c>
      <c r="C344" s="356" t="inlineStr">
        <is>
          <t>Воздуховоды из оцинкованной стали, толщина 1,0 мм, диаметр до 1000 мм</t>
        </is>
      </c>
      <c r="D344" s="357" t="inlineStr">
        <is>
          <t>м2</t>
        </is>
      </c>
      <c r="E344" s="267" t="n">
        <v>65.94</v>
      </c>
      <c r="F344" s="359" t="n">
        <v>102.06</v>
      </c>
      <c r="G344" s="268">
        <f>ROUND(E344*F344,2)</f>
        <v/>
      </c>
      <c r="H344" s="269">
        <f>G344/$G$1004</f>
        <v/>
      </c>
      <c r="I344" s="268">
        <f>ROUND(F344*Прил.10!$D$13,2)</f>
        <v/>
      </c>
      <c r="J344" s="268">
        <f>ROUND(I344*E344,2)</f>
        <v/>
      </c>
    </row>
    <row r="345" hidden="1" outlineLevel="1" ht="25.5" customFormat="1" customHeight="1" s="255">
      <c r="A345" s="357" t="n">
        <v>317</v>
      </c>
      <c r="B345" s="265" t="inlineStr">
        <is>
          <t>11.2.02.02-0011</t>
        </is>
      </c>
      <c r="C345" s="356" t="inlineStr">
        <is>
          <t>Блок дверной деревянный однопольный ДН 21-9Щ, площадь 1,84 м2</t>
        </is>
      </c>
      <c r="D345" s="357" t="inlineStr">
        <is>
          <t>м2</t>
        </is>
      </c>
      <c r="E345" s="267" t="n">
        <v>28.035</v>
      </c>
      <c r="F345" s="359" t="n">
        <v>239.56</v>
      </c>
      <c r="G345" s="268">
        <f>ROUND(E345*F345,2)</f>
        <v/>
      </c>
      <c r="H345" s="269">
        <f>G345/$G$1004</f>
        <v/>
      </c>
      <c r="I345" s="268">
        <f>ROUND(F345*Прил.10!$D$13,2)</f>
        <v/>
      </c>
      <c r="J345" s="268">
        <f>ROUND(I345*E345,2)</f>
        <v/>
      </c>
    </row>
    <row r="346" hidden="1" outlineLevel="1" ht="51" customFormat="1" customHeight="1" s="255">
      <c r="A346" s="357" t="n">
        <v>318</v>
      </c>
      <c r="B346" s="265" t="inlineStr">
        <is>
          <t>07.2.06.03-0195</t>
        </is>
      </c>
      <c r="C346" s="356" t="inlineStr">
        <is>
          <t>Профиль стоечный, стальной, оцинкованный, для монтажа гипсовых перегородок, длина 3 м, сечение 50х50х0,6 мм</t>
        </is>
      </c>
      <c r="D346" s="357" t="inlineStr">
        <is>
          <t>м</t>
        </is>
      </c>
      <c r="E346" s="267" t="n">
        <v>976.9</v>
      </c>
      <c r="F346" s="359" t="n">
        <v>6.86</v>
      </c>
      <c r="G346" s="268">
        <f>ROUND(E346*F346,2)</f>
        <v/>
      </c>
      <c r="H346" s="269">
        <f>G346/$G$1004</f>
        <v/>
      </c>
      <c r="I346" s="268">
        <f>ROUND(F346*Прил.10!$D$13,2)</f>
        <v/>
      </c>
      <c r="J346" s="268">
        <f>ROUND(I346*E346,2)</f>
        <v/>
      </c>
    </row>
    <row r="347" hidden="1" outlineLevel="1" ht="38.25" customFormat="1" customHeight="1" s="255">
      <c r="A347" s="357" t="n">
        <v>319</v>
      </c>
      <c r="B347" s="265" t="inlineStr">
        <is>
          <t>01.7.16.02-0003</t>
        </is>
      </c>
      <c r="C347" s="356" t="inlineStr">
        <is>
          <t>Детали стальных трубчатых лесов, укомплектованные пробками, крючками и хомутами, окрашенные</t>
        </is>
      </c>
      <c r="D347" s="357" t="inlineStr">
        <is>
          <t>т</t>
        </is>
      </c>
      <c r="E347" s="267" t="n">
        <v>1.0973</v>
      </c>
      <c r="F347" s="359" t="n">
        <v>6102</v>
      </c>
      <c r="G347" s="268">
        <f>ROUND(E347*F347,2)</f>
        <v/>
      </c>
      <c r="H347" s="269">
        <f>G347/$G$1004</f>
        <v/>
      </c>
      <c r="I347" s="268">
        <f>ROUND(F347*Прил.10!$D$13,2)</f>
        <v/>
      </c>
      <c r="J347" s="268">
        <f>ROUND(I347*E347,2)</f>
        <v/>
      </c>
    </row>
    <row r="348" hidden="1" outlineLevel="1" ht="25.5" customFormat="1" customHeight="1" s="255">
      <c r="A348" s="357" t="n">
        <v>320</v>
      </c>
      <c r="B348" s="265" t="inlineStr">
        <is>
          <t>Прайс из СД ОП</t>
        </is>
      </c>
      <c r="C348" s="356" t="inlineStr">
        <is>
          <t xml:space="preserve">Клапан противопожарный КПУ-1Н-О-Н-600х600 </t>
        </is>
      </c>
      <c r="D348" s="357" t="inlineStr">
        <is>
          <t>шт.</t>
        </is>
      </c>
      <c r="E348" s="267" t="n">
        <v>4</v>
      </c>
      <c r="F348" s="359" t="n">
        <v>1656.57</v>
      </c>
      <c r="G348" s="268">
        <f>ROUND(E348*F348,2)</f>
        <v/>
      </c>
      <c r="H348" s="269">
        <f>G348/$G$1004</f>
        <v/>
      </c>
      <c r="I348" s="268">
        <f>ROUND(F348*Прил.10!$D$13,2)</f>
        <v/>
      </c>
      <c r="J348" s="268">
        <f>ROUND(I348*E348,2)</f>
        <v/>
      </c>
    </row>
    <row r="349" hidden="1" outlineLevel="1" ht="25.5" customFormat="1" customHeight="1" s="255">
      <c r="A349" s="357" t="n">
        <v>321</v>
      </c>
      <c r="B349" s="265" t="inlineStr">
        <is>
          <t>08.4.03.02-0002</t>
        </is>
      </c>
      <c r="C349" s="356" t="inlineStr">
        <is>
          <t>Сталь арматурная, горячекатаная, гладкая, класс А-I, диаметр 8 мм</t>
        </is>
      </c>
      <c r="D349" s="357" t="inlineStr">
        <is>
          <t>т</t>
        </is>
      </c>
      <c r="E349" s="267" t="n">
        <v>0.97378</v>
      </c>
      <c r="F349" s="359" t="n">
        <v>6780</v>
      </c>
      <c r="G349" s="268">
        <f>ROUND(E349*F349,2)</f>
        <v/>
      </c>
      <c r="H349" s="269">
        <f>G349/$G$1004</f>
        <v/>
      </c>
      <c r="I349" s="268">
        <f>ROUND(F349*Прил.10!$D$13,2)</f>
        <v/>
      </c>
      <c r="J349" s="268">
        <f>ROUND(I349*E349,2)</f>
        <v/>
      </c>
    </row>
    <row r="350" hidden="1" outlineLevel="1" ht="25.5" customFormat="1" customHeight="1" s="255">
      <c r="A350" s="357" t="n">
        <v>322</v>
      </c>
      <c r="B350" s="265" t="inlineStr">
        <is>
          <t>01.7.16.03-0011</t>
        </is>
      </c>
      <c r="C350" s="356" t="inlineStr">
        <is>
          <t>Стойки деревометаллические раздвижные инвентарные</t>
        </is>
      </c>
      <c r="D350" s="357" t="inlineStr">
        <is>
          <t>шт</t>
        </is>
      </c>
      <c r="E350" s="267" t="n">
        <v>6.4578</v>
      </c>
      <c r="F350" s="359" t="n">
        <v>1010</v>
      </c>
      <c r="G350" s="268">
        <f>ROUND(E350*F350,2)</f>
        <v/>
      </c>
      <c r="H350" s="269">
        <f>G350/$G$1004</f>
        <v/>
      </c>
      <c r="I350" s="268">
        <f>ROUND(F350*Прил.10!$D$13,2)</f>
        <v/>
      </c>
      <c r="J350" s="268">
        <f>ROUND(I350*E350,2)</f>
        <v/>
      </c>
    </row>
    <row r="351" hidden="1" outlineLevel="1" ht="25.5" customFormat="1" customHeight="1" s="255">
      <c r="A351" s="357" t="n">
        <v>323</v>
      </c>
      <c r="B351" s="265" t="inlineStr">
        <is>
          <t>Прайс из СД ОП</t>
        </is>
      </c>
      <c r="C351" s="356" t="inlineStr">
        <is>
          <t xml:space="preserve">Клапан воздушный ГЕРМИК-С-Н-1100х800-1*LM230А-1УХЛ2 </t>
        </is>
      </c>
      <c r="D351" s="357" t="inlineStr">
        <is>
          <t>шт.</t>
        </is>
      </c>
      <c r="E351" s="267" t="n">
        <v>2</v>
      </c>
      <c r="F351" s="359" t="n">
        <v>3255.37</v>
      </c>
      <c r="G351" s="268">
        <f>ROUND(E351*F351,2)</f>
        <v/>
      </c>
      <c r="H351" s="269">
        <f>G351/$G$1004</f>
        <v/>
      </c>
      <c r="I351" s="268">
        <f>ROUND(F351*Прил.10!$D$13,2)</f>
        <v/>
      </c>
      <c r="J351" s="268">
        <f>ROUND(I351*E351,2)</f>
        <v/>
      </c>
    </row>
    <row r="352" hidden="1" outlineLevel="1" ht="25.5" customFormat="1" customHeight="1" s="255">
      <c r="A352" s="357" t="n">
        <v>324</v>
      </c>
      <c r="B352" s="265" t="inlineStr">
        <is>
          <t>Прайс из СД ОП</t>
        </is>
      </c>
      <c r="C352" s="356" t="inlineStr">
        <is>
          <t xml:space="preserve">Клапан воздушный ГЕРМИК-С-Н-1100х800-1*NM230А-1УХЛ2 </t>
        </is>
      </c>
      <c r="D352" s="357" t="inlineStr">
        <is>
          <t>шт.</t>
        </is>
      </c>
      <c r="E352" s="267" t="n">
        <v>2</v>
      </c>
      <c r="F352" s="359" t="n">
        <v>3255.37</v>
      </c>
      <c r="G352" s="268">
        <f>ROUND(E352*F352,2)</f>
        <v/>
      </c>
      <c r="H352" s="269">
        <f>G352/$G$1004</f>
        <v/>
      </c>
      <c r="I352" s="268">
        <f>ROUND(F352*Прил.10!$D$13,2)</f>
        <v/>
      </c>
      <c r="J352" s="268">
        <f>ROUND(I352*E352,2)</f>
        <v/>
      </c>
    </row>
    <row r="353" hidden="1" outlineLevel="1" ht="25.5" customFormat="1" customHeight="1" s="255">
      <c r="A353" s="357" t="n">
        <v>325</v>
      </c>
      <c r="B353" s="265" t="inlineStr">
        <is>
          <t>Прайс из СД ОП</t>
        </is>
      </c>
      <c r="C353" s="356" t="inlineStr">
        <is>
          <t xml:space="preserve">Пешеходная дорожка LOGICROOF WalkWay Puzzle </t>
        </is>
      </c>
      <c r="D353" s="357" t="inlineStr">
        <is>
          <t>шт</t>
        </is>
      </c>
      <c r="E353" s="267" t="n">
        <v>94</v>
      </c>
      <c r="F353" s="359" t="n">
        <v>69.23999999999999</v>
      </c>
      <c r="G353" s="268">
        <f>ROUND(E353*F353,2)</f>
        <v/>
      </c>
      <c r="H353" s="269">
        <f>G353/$G$1004</f>
        <v/>
      </c>
      <c r="I353" s="268">
        <f>ROUND(F353*Прил.10!$D$13,2)</f>
        <v/>
      </c>
      <c r="J353" s="268">
        <f>ROUND(I353*E353,2)</f>
        <v/>
      </c>
    </row>
    <row r="354" hidden="1" outlineLevel="1" ht="25.5" customFormat="1" customHeight="1" s="255">
      <c r="A354" s="357" t="n">
        <v>326</v>
      </c>
      <c r="B354" s="265" t="inlineStr">
        <is>
          <t>Прайс из СД ОП</t>
        </is>
      </c>
      <c r="C354" s="356" t="inlineStr">
        <is>
          <t xml:space="preserve">Клапан воздушный ГЕРМИК-С-Н-700х500-1*LM230А-1УХЛ2 </t>
        </is>
      </c>
      <c r="D354" s="357" t="inlineStr">
        <is>
          <t>шт.</t>
        </is>
      </c>
      <c r="E354" s="267" t="n">
        <v>3</v>
      </c>
      <c r="F354" s="359" t="n">
        <v>2115.09</v>
      </c>
      <c r="G354" s="268">
        <f>ROUND(E354*F354,2)</f>
        <v/>
      </c>
      <c r="H354" s="269">
        <f>G354/$G$1004</f>
        <v/>
      </c>
      <c r="I354" s="268">
        <f>ROUND(F354*Прил.10!$D$13,2)</f>
        <v/>
      </c>
      <c r="J354" s="268">
        <f>ROUND(I354*E354,2)</f>
        <v/>
      </c>
    </row>
    <row r="355" hidden="1" outlineLevel="1" ht="25.5" customFormat="1" customHeight="1" s="255">
      <c r="A355" s="357" t="n">
        <v>327</v>
      </c>
      <c r="B355" s="265" t="inlineStr">
        <is>
          <t>01.7.19.04-0031</t>
        </is>
      </c>
      <c r="C355" s="356" t="inlineStr">
        <is>
          <t>Прокладки резиновые (пластина техническая прессованная)</t>
        </is>
      </c>
      <c r="D355" s="357" t="inlineStr">
        <is>
          <t>кг</t>
        </is>
      </c>
      <c r="E355" s="267" t="n">
        <v>272.8076</v>
      </c>
      <c r="F355" s="359" t="n">
        <v>23.09</v>
      </c>
      <c r="G355" s="268">
        <f>ROUND(E355*F355,2)</f>
        <v/>
      </c>
      <c r="H355" s="269">
        <f>G355/$G$1004</f>
        <v/>
      </c>
      <c r="I355" s="268">
        <f>ROUND(F355*Прил.10!$D$13,2)</f>
        <v/>
      </c>
      <c r="J355" s="268">
        <f>ROUND(I355*E355,2)</f>
        <v/>
      </c>
    </row>
    <row r="356" hidden="1" outlineLevel="1" ht="14.25" customFormat="1" customHeight="1" s="255">
      <c r="A356" s="357" t="n">
        <v>328</v>
      </c>
      <c r="B356" s="265" t="inlineStr">
        <is>
          <t>Прайс из СД ОП</t>
        </is>
      </c>
      <c r="C356" s="356" t="inlineStr">
        <is>
          <t>Кабельный подвес Т2-6-1(30,9)</t>
        </is>
      </c>
      <c r="D356" s="357" t="inlineStr">
        <is>
          <t>шт.</t>
        </is>
      </c>
      <c r="E356" s="267" t="n">
        <v>40</v>
      </c>
      <c r="F356" s="359" t="n">
        <v>153.87</v>
      </c>
      <c r="G356" s="268">
        <f>ROUND(E356*F356,2)</f>
        <v/>
      </c>
      <c r="H356" s="269">
        <f>G356/$G$1004</f>
        <v/>
      </c>
      <c r="I356" s="268">
        <f>ROUND(F356*Прил.10!$D$13,2)</f>
        <v/>
      </c>
      <c r="J356" s="268">
        <f>ROUND(I356*E356,2)</f>
        <v/>
      </c>
    </row>
    <row r="357" hidden="1" outlineLevel="1" ht="25.5" customFormat="1" customHeight="1" s="255">
      <c r="A357" s="357" t="n">
        <v>329</v>
      </c>
      <c r="B357" s="265" t="inlineStr">
        <is>
          <t>08.4.03.04-0001</t>
        </is>
      </c>
      <c r="C357" s="356" t="inlineStr">
        <is>
          <t>Сталь арматурная, горячекатаная, класс А-I, А-II, А-III</t>
        </is>
      </c>
      <c r="D357" s="357" t="inlineStr">
        <is>
          <t>т</t>
        </is>
      </c>
      <c r="E357" s="267" t="n">
        <v>1.08</v>
      </c>
      <c r="F357" s="359" t="n">
        <v>5650</v>
      </c>
      <c r="G357" s="268">
        <f>ROUND(E357*F357,2)</f>
        <v/>
      </c>
      <c r="H357" s="269">
        <f>G357/$G$1004</f>
        <v/>
      </c>
      <c r="I357" s="268">
        <f>ROUND(F357*Прил.10!$D$13,2)</f>
        <v/>
      </c>
      <c r="J357" s="268">
        <f>ROUND(I357*E357,2)</f>
        <v/>
      </c>
    </row>
    <row r="358" hidden="1" outlineLevel="1" ht="25.5" customFormat="1" customHeight="1" s="255">
      <c r="A358" s="357" t="n">
        <v>330</v>
      </c>
      <c r="B358" s="265" t="inlineStr">
        <is>
          <t>08.1.02.17-0161</t>
        </is>
      </c>
      <c r="C358" s="356" t="inlineStr">
        <is>
          <t>Сетка тканая с квадратными ячейками № 05, без покрытия</t>
        </is>
      </c>
      <c r="D358" s="357" t="inlineStr">
        <is>
          <t>м2</t>
        </is>
      </c>
      <c r="E358" s="267" t="n">
        <v>212.77</v>
      </c>
      <c r="F358" s="359" t="n">
        <v>28.25</v>
      </c>
      <c r="G358" s="268">
        <f>ROUND(E358*F358,2)</f>
        <v/>
      </c>
      <c r="H358" s="269">
        <f>G358/$G$1004</f>
        <v/>
      </c>
      <c r="I358" s="268">
        <f>ROUND(F358*Прил.10!$D$13,2)</f>
        <v/>
      </c>
      <c r="J358" s="268">
        <f>ROUND(I358*E358,2)</f>
        <v/>
      </c>
    </row>
    <row r="359" hidden="1" outlineLevel="1" ht="38.25" customFormat="1" customHeight="1" s="255">
      <c r="A359" s="357" t="n">
        <v>331</v>
      </c>
      <c r="B359" s="265" t="inlineStr">
        <is>
          <t>24.3.01.02-0003</t>
        </is>
      </c>
      <c r="C359" s="356" t="inlineStr">
        <is>
          <t>Трубы из самозатухающего ПВХ гибкие гофрированные, легкие, без протяжки, номинальный внутренний диаметр 16 мм</t>
        </is>
      </c>
      <c r="D359" s="357" t="inlineStr">
        <is>
          <t>м</t>
        </is>
      </c>
      <c r="E359" s="267" t="n">
        <v>2680</v>
      </c>
      <c r="F359" s="359" t="n">
        <v>2.24</v>
      </c>
      <c r="G359" s="268">
        <f>ROUND(E359*F359,2)</f>
        <v/>
      </c>
      <c r="H359" s="269">
        <f>G359/$G$1004</f>
        <v/>
      </c>
      <c r="I359" s="268">
        <f>ROUND(F359*Прил.10!$D$13,2)</f>
        <v/>
      </c>
      <c r="J359" s="268">
        <f>ROUND(I359*E359,2)</f>
        <v/>
      </c>
    </row>
    <row r="360" hidden="1" outlineLevel="1" ht="25.5" customFormat="1" customHeight="1" s="255">
      <c r="A360" s="357" t="n">
        <v>332</v>
      </c>
      <c r="B360" s="265" t="inlineStr">
        <is>
          <t>19.1.01.03-0074</t>
        </is>
      </c>
      <c r="C360" s="356" t="inlineStr">
        <is>
          <t>Воздуховоды из оцинкованной стали, толщина 0,6 мм, диаметр до 450 мм</t>
        </is>
      </c>
      <c r="D360" s="357" t="inlineStr">
        <is>
          <t>м2</t>
        </is>
      </c>
      <c r="E360" s="267" t="n">
        <v>65.312</v>
      </c>
      <c r="F360" s="359" t="n">
        <v>84.05</v>
      </c>
      <c r="G360" s="268">
        <f>ROUND(E360*F360,2)</f>
        <v/>
      </c>
      <c r="H360" s="269">
        <f>G360/$G$1004</f>
        <v/>
      </c>
      <c r="I360" s="268">
        <f>ROUND(F360*Прил.10!$D$13,2)</f>
        <v/>
      </c>
      <c r="J360" s="268">
        <f>ROUND(I360*E360,2)</f>
        <v/>
      </c>
    </row>
    <row r="361" hidden="1" outlineLevel="1" ht="38.25" customFormat="1" customHeight="1" s="255">
      <c r="A361" s="357" t="n">
        <v>333</v>
      </c>
      <c r="B361" s="265" t="inlineStr">
        <is>
          <t>07.1.01.01-0008</t>
        </is>
      </c>
      <c r="C361" s="356" t="inlineStr">
        <is>
          <t>Дверь противопожарная металлическая двупольная ДПМ-02/60, размером 1500х2100 мм</t>
        </is>
      </c>
      <c r="D361" s="357" t="inlineStr">
        <is>
          <t>шт</t>
        </is>
      </c>
      <c r="E361" s="267" t="n">
        <v>1</v>
      </c>
      <c r="F361" s="359" t="n">
        <v>5451.21</v>
      </c>
      <c r="G361" s="268">
        <f>ROUND(E361*F361,2)</f>
        <v/>
      </c>
      <c r="H361" s="269">
        <f>G361/$G$1004</f>
        <v/>
      </c>
      <c r="I361" s="268">
        <f>ROUND(F361*Прил.10!$D$13,2)</f>
        <v/>
      </c>
      <c r="J361" s="268">
        <f>ROUND(I361*E361,2)</f>
        <v/>
      </c>
    </row>
    <row r="362" hidden="1" outlineLevel="1" ht="25.5" customFormat="1" customHeight="1" s="255">
      <c r="A362" s="357" t="n">
        <v>334</v>
      </c>
      <c r="B362" s="265" t="inlineStr">
        <is>
          <t>Прайс из СД ОП</t>
        </is>
      </c>
      <c r="C362" s="356" t="inlineStr">
        <is>
          <t>Решетка декоративная ВЕЗА Р100 2400*1500</t>
        </is>
      </c>
      <c r="D362" s="357" t="inlineStr">
        <is>
          <t>шт.</t>
        </is>
      </c>
      <c r="E362" s="267" t="n">
        <v>2</v>
      </c>
      <c r="F362" s="359" t="n">
        <v>2721.21</v>
      </c>
      <c r="G362" s="268">
        <f>ROUND(E362*F362,2)</f>
        <v/>
      </c>
      <c r="H362" s="269">
        <f>G362/$G$1004</f>
        <v/>
      </c>
      <c r="I362" s="268">
        <f>ROUND(F362*Прил.10!$D$13,2)</f>
        <v/>
      </c>
      <c r="J362" s="268">
        <f>ROUND(I362*E362,2)</f>
        <v/>
      </c>
    </row>
    <row r="363" hidden="1" outlineLevel="1" ht="25.5" customFormat="1" customHeight="1" s="255">
      <c r="A363" s="357" t="n">
        <v>335</v>
      </c>
      <c r="B363" s="265" t="inlineStr">
        <is>
          <t>Прайс из СД ОП</t>
        </is>
      </c>
      <c r="C363" s="356" t="inlineStr">
        <is>
          <t>Решетка декоративная ВЕЗА Р100-2400*1500</t>
        </is>
      </c>
      <c r="D363" s="357" t="inlineStr">
        <is>
          <t>шт.</t>
        </is>
      </c>
      <c r="E363" s="267" t="n">
        <v>2</v>
      </c>
      <c r="F363" s="359" t="n">
        <v>2721.21</v>
      </c>
      <c r="G363" s="268">
        <f>ROUND(E363*F363,2)</f>
        <v/>
      </c>
      <c r="H363" s="269">
        <f>G363/$G$1004</f>
        <v/>
      </c>
      <c r="I363" s="268">
        <f>ROUND(F363*Прил.10!$D$13,2)</f>
        <v/>
      </c>
      <c r="J363" s="268">
        <f>ROUND(I363*E363,2)</f>
        <v/>
      </c>
    </row>
    <row r="364" hidden="1" outlineLevel="1" ht="14.25" customFormat="1" customHeight="1" s="255">
      <c r="A364" s="357" t="n">
        <v>336</v>
      </c>
      <c r="B364" s="265" t="inlineStr">
        <is>
          <t>01.7.15.06-0111</t>
        </is>
      </c>
      <c r="C364" s="356" t="inlineStr">
        <is>
          <t>Гвозди строительные</t>
        </is>
      </c>
      <c r="D364" s="357" t="inlineStr">
        <is>
          <t>т</t>
        </is>
      </c>
      <c r="E364" s="267" t="n">
        <v>0.4412</v>
      </c>
      <c r="F364" s="359" t="n">
        <v>11978</v>
      </c>
      <c r="G364" s="268">
        <f>ROUND(E364*F364,2)</f>
        <v/>
      </c>
      <c r="H364" s="269">
        <f>G364/$G$1004</f>
        <v/>
      </c>
      <c r="I364" s="268">
        <f>ROUND(F364*Прил.10!$D$13,2)</f>
        <v/>
      </c>
      <c r="J364" s="268">
        <f>ROUND(I364*E364,2)</f>
        <v/>
      </c>
    </row>
    <row r="365" hidden="1" outlineLevel="1" ht="38.25" customFormat="1" customHeight="1" s="255">
      <c r="A365" s="357" t="n">
        <v>337</v>
      </c>
      <c r="B365" s="265" t="inlineStr">
        <is>
          <t>05.1.07.28-0052</t>
        </is>
      </c>
      <c r="C365" s="356" t="inlineStr">
        <is>
          <t>Ступени железобетонные лестничные ЛС 14-1, бетон B15, объем 0,060 м3, расход арматуры 1,54 кг</t>
        </is>
      </c>
      <c r="D365" s="357" t="inlineStr">
        <is>
          <t>шт</t>
        </is>
      </c>
      <c r="E365" s="267" t="n">
        <v>51</v>
      </c>
      <c r="F365" s="359" t="n">
        <v>101.63</v>
      </c>
      <c r="G365" s="268">
        <f>ROUND(E365*F365,2)</f>
        <v/>
      </c>
      <c r="H365" s="269">
        <f>G365/$G$1004</f>
        <v/>
      </c>
      <c r="I365" s="268">
        <f>ROUND(F365*Прил.10!$D$13,2)</f>
        <v/>
      </c>
      <c r="J365" s="268">
        <f>ROUND(I365*E365,2)</f>
        <v/>
      </c>
    </row>
    <row r="366" hidden="1" outlineLevel="1" ht="25.5" customFormat="1" customHeight="1" s="255">
      <c r="A366" s="357" t="n">
        <v>338</v>
      </c>
      <c r="B366" s="265" t="inlineStr">
        <is>
          <t>01.2.03.05-0006</t>
        </is>
      </c>
      <c r="C366" s="356" t="inlineStr">
        <is>
          <t>Праймер битумно-полимерный ТЕХНОНИКОЛЬ №03</t>
        </is>
      </c>
      <c r="D366" s="357" t="inlineStr">
        <is>
          <t>л</t>
        </is>
      </c>
      <c r="E366" s="267" t="n">
        <v>398.046</v>
      </c>
      <c r="F366" s="359" t="n">
        <v>12.71</v>
      </c>
      <c r="G366" s="268">
        <f>ROUND(E366*F366,2)</f>
        <v/>
      </c>
      <c r="H366" s="269">
        <f>G366/$G$1004</f>
        <v/>
      </c>
      <c r="I366" s="268">
        <f>ROUND(F366*Прил.10!$D$13,2)</f>
        <v/>
      </c>
      <c r="J366" s="268">
        <f>ROUND(I366*E366,2)</f>
        <v/>
      </c>
    </row>
    <row r="367" hidden="1" outlineLevel="1" ht="38.25" customFormat="1" customHeight="1" s="255">
      <c r="A367" s="357" t="n">
        <v>339</v>
      </c>
      <c r="B367" s="265" t="inlineStr">
        <is>
          <t>08.1.02.03-0021</t>
        </is>
      </c>
      <c r="C367" s="356" t="inlineStr">
        <is>
          <t>Водоотлив оконный из оцинкованной стали с полимерным покрытием, ширина планки 250 мм</t>
        </is>
      </c>
      <c r="D367" s="357" t="inlineStr">
        <is>
          <t>м</t>
        </is>
      </c>
      <c r="E367" s="267" t="n">
        <v>191.4</v>
      </c>
      <c r="F367" s="359" t="n">
        <v>26.41</v>
      </c>
      <c r="G367" s="268">
        <f>ROUND(E367*F367,2)</f>
        <v/>
      </c>
      <c r="H367" s="269">
        <f>G367/$G$1004</f>
        <v/>
      </c>
      <c r="I367" s="268">
        <f>ROUND(F367*Прил.10!$D$13,2)</f>
        <v/>
      </c>
      <c r="J367" s="268">
        <f>ROUND(I367*E367,2)</f>
        <v/>
      </c>
    </row>
    <row r="368" hidden="1" outlineLevel="1" ht="25.5" customFormat="1" customHeight="1" s="255">
      <c r="A368" s="357" t="n">
        <v>340</v>
      </c>
      <c r="B368" s="265" t="inlineStr">
        <is>
          <t>Прайс из СД ОП</t>
        </is>
      </c>
      <c r="C368" s="356" t="inlineStr">
        <is>
          <t xml:space="preserve">Клапан воздушный ГЕРМИК-С-Н-800х600-1*LM230А-1УХЛ2 </t>
        </is>
      </c>
      <c r="D368" s="357" t="inlineStr">
        <is>
          <t>шт.</t>
        </is>
      </c>
      <c r="E368" s="267" t="n">
        <v>2</v>
      </c>
      <c r="F368" s="359" t="n">
        <v>2511.84</v>
      </c>
      <c r="G368" s="268">
        <f>ROUND(E368*F368,2)</f>
        <v/>
      </c>
      <c r="H368" s="269">
        <f>G368/$G$1004</f>
        <v/>
      </c>
      <c r="I368" s="268">
        <f>ROUND(F368*Прил.10!$D$13,2)</f>
        <v/>
      </c>
      <c r="J368" s="268">
        <f>ROUND(I368*E368,2)</f>
        <v/>
      </c>
    </row>
    <row r="369" hidden="1" outlineLevel="1" ht="38.25" customFormat="1" customHeight="1" s="255">
      <c r="A369" s="357" t="n">
        <v>341</v>
      </c>
      <c r="B369" s="265" t="inlineStr">
        <is>
          <t>04.1.02.05-0061</t>
        </is>
      </c>
      <c r="C369" s="356" t="inlineStr">
        <is>
          <t>Смеси бетонные тяжелого бетона (БСТ), крупность заполнителя 40 мм, класс B20 (М250)</t>
        </is>
      </c>
      <c r="D369" s="357" t="inlineStr">
        <is>
          <t>м3</t>
        </is>
      </c>
      <c r="E369" s="267" t="n">
        <v>7.511</v>
      </c>
      <c r="F369" s="359" t="n">
        <v>667.83</v>
      </c>
      <c r="G369" s="268">
        <f>ROUND(E369*F369,2)</f>
        <v/>
      </c>
      <c r="H369" s="269">
        <f>G369/$G$1004</f>
        <v/>
      </c>
      <c r="I369" s="268">
        <f>ROUND(F369*Прил.10!$D$13,2)</f>
        <v/>
      </c>
      <c r="J369" s="268">
        <f>ROUND(I369*E369,2)</f>
        <v/>
      </c>
    </row>
    <row r="370" hidden="1" outlineLevel="1" ht="25.5" customFormat="1" customHeight="1" s="255">
      <c r="A370" s="357" t="n">
        <v>342</v>
      </c>
      <c r="B370" s="265" t="inlineStr">
        <is>
          <t>Прайс из СД ОП</t>
        </is>
      </c>
      <c r="C370" s="356" t="inlineStr">
        <is>
          <t xml:space="preserve">Коробка коммутационная на 5 клеммных зажимов 1,5  мм2 </t>
        </is>
      </c>
      <c r="D370" s="357" t="inlineStr">
        <is>
          <t>шт.</t>
        </is>
      </c>
      <c r="E370" s="267" t="n">
        <v>21</v>
      </c>
      <c r="F370" s="359" t="n">
        <v>236.72</v>
      </c>
      <c r="G370" s="268">
        <f>ROUND(E370*F370,2)</f>
        <v/>
      </c>
      <c r="H370" s="269">
        <f>G370/$G$1004</f>
        <v/>
      </c>
      <c r="I370" s="268">
        <f>ROUND(F370*Прил.10!$D$13,2)</f>
        <v/>
      </c>
      <c r="J370" s="268">
        <f>ROUND(I370*E370,2)</f>
        <v/>
      </c>
    </row>
    <row r="371" hidden="1" outlineLevel="1" ht="25.5" customFormat="1" customHeight="1" s="255">
      <c r="A371" s="357" t="n">
        <v>343</v>
      </c>
      <c r="B371" s="265" t="inlineStr">
        <is>
          <t>21.1.06.10-0406</t>
        </is>
      </c>
      <c r="C371" s="356" t="inlineStr">
        <is>
          <t>Кабель силовой с медными жилами ВВГнг(A)-LS 5х1,5ок(N, PE)-1000</t>
        </is>
      </c>
      <c r="D371" s="357" t="inlineStr">
        <is>
          <t>1000 м</t>
        </is>
      </c>
      <c r="E371" s="267" t="n">
        <v>0.31824</v>
      </c>
      <c r="F371" s="359" t="n">
        <v>15576.85</v>
      </c>
      <c r="G371" s="268">
        <f>ROUND(E371*F371,2)</f>
        <v/>
      </c>
      <c r="H371" s="269">
        <f>G371/$G$1004</f>
        <v/>
      </c>
      <c r="I371" s="268">
        <f>ROUND(F371*Прил.10!$D$13,2)</f>
        <v/>
      </c>
      <c r="J371" s="268">
        <f>ROUND(I371*E371,2)</f>
        <v/>
      </c>
    </row>
    <row r="372" hidden="1" outlineLevel="1" ht="51" customFormat="1" customHeight="1" s="255">
      <c r="A372" s="357" t="n">
        <v>344</v>
      </c>
      <c r="B372" s="265" t="inlineStr">
        <is>
          <t>05.2.02.01-0051</t>
        </is>
      </c>
      <c r="C372" s="356" t="inlineStr">
        <is>
          <t>Блоки бетонные для стен подвалов полнотелые ФБС24-3-6-Т, бетон B7,5 (М100, объем 0,406 м3, расход арматуры 0,97 кг</t>
        </is>
      </c>
      <c r="D372" s="357" t="inlineStr">
        <is>
          <t>шт</t>
        </is>
      </c>
      <c r="E372" s="267" t="n">
        <v>20</v>
      </c>
      <c r="F372" s="359" t="n">
        <v>243.6</v>
      </c>
      <c r="G372" s="268">
        <f>ROUND(E372*F372,2)</f>
        <v/>
      </c>
      <c r="H372" s="269">
        <f>G372/$G$1004</f>
        <v/>
      </c>
      <c r="I372" s="268">
        <f>ROUND(F372*Прил.10!$D$13,2)</f>
        <v/>
      </c>
      <c r="J372" s="268">
        <f>ROUND(I372*E372,2)</f>
        <v/>
      </c>
    </row>
    <row r="373" hidden="1" outlineLevel="1" ht="38.25" customFormat="1" customHeight="1" s="255">
      <c r="A373" s="357" t="n">
        <v>345</v>
      </c>
      <c r="B373" s="265" t="inlineStr">
        <is>
          <t>01.6.03.04-0172</t>
        </is>
      </c>
      <c r="C373" s="356" t="inlineStr">
        <is>
          <t>Линолеум поливинилхлоридный на теплоизолирующей подоснове марок: ПР-Х, ВК-Х, ЭК-Х</t>
        </is>
      </c>
      <c r="D373" s="357" t="inlineStr">
        <is>
          <t>м2</t>
        </is>
      </c>
      <c r="E373" s="267" t="n">
        <v>63.842</v>
      </c>
      <c r="F373" s="359" t="n">
        <v>75.45999999999999</v>
      </c>
      <c r="G373" s="268">
        <f>ROUND(E373*F373,2)</f>
        <v/>
      </c>
      <c r="H373" s="269">
        <f>G373/$G$1004</f>
        <v/>
      </c>
      <c r="I373" s="268">
        <f>ROUND(F373*Прил.10!$D$13,2)</f>
        <v/>
      </c>
      <c r="J373" s="268">
        <f>ROUND(I373*E373,2)</f>
        <v/>
      </c>
    </row>
    <row r="374" hidden="1" outlineLevel="1" ht="25.5" customFormat="1" customHeight="1" s="255">
      <c r="A374" s="357" t="n">
        <v>346</v>
      </c>
      <c r="B374" s="265" t="inlineStr">
        <is>
          <t>06.2.05.03-0003</t>
        </is>
      </c>
      <c r="C374" s="356" t="inlineStr">
        <is>
          <t>Плитка керамогранитная многоцветная неполированная, размер 400х400х9 мм</t>
        </is>
      </c>
      <c r="D374" s="357" t="inlineStr">
        <is>
          <t>м2</t>
        </is>
      </c>
      <c r="E374" s="267" t="n">
        <v>34</v>
      </c>
      <c r="F374" s="359" t="n">
        <v>140.45</v>
      </c>
      <c r="G374" s="268">
        <f>ROUND(E374*F374,2)</f>
        <v/>
      </c>
      <c r="H374" s="269">
        <f>G374/$G$1004</f>
        <v/>
      </c>
      <c r="I374" s="268">
        <f>ROUND(F374*Прил.10!$D$13,2)</f>
        <v/>
      </c>
      <c r="J374" s="268">
        <f>ROUND(I374*E374,2)</f>
        <v/>
      </c>
    </row>
    <row r="375" hidden="1" outlineLevel="1" ht="14.25" customFormat="1" customHeight="1" s="255">
      <c r="A375" s="357" t="n">
        <v>347</v>
      </c>
      <c r="B375" s="265" t="inlineStr">
        <is>
          <t>01.7.07.29-0111</t>
        </is>
      </c>
      <c r="C375" s="356" t="inlineStr">
        <is>
          <t>Пакля пропитанная</t>
        </is>
      </c>
      <c r="D375" s="357" t="inlineStr">
        <is>
          <t>кг</t>
        </is>
      </c>
      <c r="E375" s="267" t="n">
        <v>528.0126</v>
      </c>
      <c r="F375" s="359" t="n">
        <v>9.039999999999999</v>
      </c>
      <c r="G375" s="268">
        <f>ROUND(E375*F375,2)</f>
        <v/>
      </c>
      <c r="H375" s="269">
        <f>G375/$G$1004</f>
        <v/>
      </c>
      <c r="I375" s="268">
        <f>ROUND(F375*Прил.10!$D$13,2)</f>
        <v/>
      </c>
      <c r="J375" s="268">
        <f>ROUND(I375*E375,2)</f>
        <v/>
      </c>
    </row>
    <row r="376" hidden="1" outlineLevel="1" ht="14.25" customFormat="1" customHeight="1" s="255">
      <c r="A376" s="357" t="n">
        <v>348</v>
      </c>
      <c r="B376" s="265" t="inlineStr">
        <is>
          <t>01.7.11.07-0054</t>
        </is>
      </c>
      <c r="C376" s="356" t="inlineStr">
        <is>
          <t>Электроды сварочные Э42, диаметр 6 мм</t>
        </is>
      </c>
      <c r="D376" s="357" t="inlineStr">
        <is>
          <t>т</t>
        </is>
      </c>
      <c r="E376" s="267" t="n">
        <v>0.5013</v>
      </c>
      <c r="F376" s="359" t="n">
        <v>9424</v>
      </c>
      <c r="G376" s="268">
        <f>ROUND(E376*F376,2)</f>
        <v/>
      </c>
      <c r="H376" s="269">
        <f>G376/$G$1004</f>
        <v/>
      </c>
      <c r="I376" s="268">
        <f>ROUND(F376*Прил.10!$D$13,2)</f>
        <v/>
      </c>
      <c r="J376" s="268">
        <f>ROUND(I376*E376,2)</f>
        <v/>
      </c>
    </row>
    <row r="377" hidden="1" outlineLevel="1" ht="14.25" customFormat="1" customHeight="1" s="255">
      <c r="A377" s="357" t="n">
        <v>349</v>
      </c>
      <c r="B377" s="265" t="inlineStr">
        <is>
          <t>11.2.13.06-0011</t>
        </is>
      </c>
      <c r="C377" s="356" t="inlineStr">
        <is>
          <t>Щиты настила, все толщины</t>
        </is>
      </c>
      <c r="D377" s="357" t="inlineStr">
        <is>
          <t>м2</t>
        </is>
      </c>
      <c r="E377" s="267" t="n">
        <v>130.6548</v>
      </c>
      <c r="F377" s="359" t="n">
        <v>35.22</v>
      </c>
      <c r="G377" s="268">
        <f>ROUND(E377*F377,2)</f>
        <v/>
      </c>
      <c r="H377" s="269">
        <f>G377/$G$1004</f>
        <v/>
      </c>
      <c r="I377" s="268">
        <f>ROUND(F377*Прил.10!$D$13,2)</f>
        <v/>
      </c>
      <c r="J377" s="268">
        <f>ROUND(I377*E377,2)</f>
        <v/>
      </c>
    </row>
    <row r="378" hidden="1" outlineLevel="1" ht="51" customFormat="1" customHeight="1" s="255">
      <c r="A378" s="357" t="n">
        <v>350</v>
      </c>
      <c r="B378" s="265" t="inlineStr">
        <is>
          <t>12.2.01.01-0013</t>
        </is>
      </c>
      <c r="C378" s="356" t="inlineStr">
        <is>
          <t>Детали защитных покрытий конструкций тепловой изоляции трубопроводов, из стали тонколистовой оцинкованной, толщиной 0,55 мм, криволинейные</t>
        </is>
      </c>
      <c r="D378" s="357" t="inlineStr">
        <is>
          <t>м2</t>
        </is>
      </c>
      <c r="E378" s="267" t="n">
        <v>46.36</v>
      </c>
      <c r="F378" s="359" t="n">
        <v>99.2</v>
      </c>
      <c r="G378" s="268">
        <f>ROUND(E378*F378,2)</f>
        <v/>
      </c>
      <c r="H378" s="269">
        <f>G378/$G$1004</f>
        <v/>
      </c>
      <c r="I378" s="268">
        <f>ROUND(F378*Прил.10!$D$13,2)</f>
        <v/>
      </c>
      <c r="J378" s="268">
        <f>ROUND(I378*E378,2)</f>
        <v/>
      </c>
    </row>
    <row r="379" hidden="1" outlineLevel="1" ht="14.25" customFormat="1" customHeight="1" s="255">
      <c r="A379" s="357" t="n">
        <v>351</v>
      </c>
      <c r="B379" s="265" t="inlineStr">
        <is>
          <t>Прайс из СД ОП</t>
        </is>
      </c>
      <c r="C379" s="356" t="inlineStr">
        <is>
          <t xml:space="preserve">Решетка декоративная Р50-1300х920-С </t>
        </is>
      </c>
      <c r="D379" s="357" t="inlineStr">
        <is>
          <t>шт.</t>
        </is>
      </c>
      <c r="E379" s="267" t="n">
        <v>4</v>
      </c>
      <c r="F379" s="359" t="n">
        <v>1132.82</v>
      </c>
      <c r="G379" s="268">
        <f>ROUND(E379*F379,2)</f>
        <v/>
      </c>
      <c r="H379" s="269">
        <f>G379/$G$1004</f>
        <v/>
      </c>
      <c r="I379" s="268">
        <f>ROUND(F379*Прил.10!$D$13,2)</f>
        <v/>
      </c>
      <c r="J379" s="268">
        <f>ROUND(I379*E379,2)</f>
        <v/>
      </c>
    </row>
    <row r="380" hidden="1" outlineLevel="1" ht="25.5" customFormat="1" customHeight="1" s="255">
      <c r="A380" s="357" t="n">
        <v>352</v>
      </c>
      <c r="B380" s="265" t="inlineStr">
        <is>
          <t>01.7.07.14-0057</t>
        </is>
      </c>
      <c r="C380" s="356" t="inlineStr">
        <is>
          <t>Прокладки уплотнительные ПРП, диаметр 30 мм</t>
        </is>
      </c>
      <c r="D380" s="357" t="inlineStr">
        <is>
          <t>100 м</t>
        </is>
      </c>
      <c r="E380" s="267" t="n">
        <v>1.81</v>
      </c>
      <c r="F380" s="359" t="n">
        <v>2500</v>
      </c>
      <c r="G380" s="268">
        <f>ROUND(E380*F380,2)</f>
        <v/>
      </c>
      <c r="H380" s="269">
        <f>G380/$G$1004</f>
        <v/>
      </c>
      <c r="I380" s="268">
        <f>ROUND(F380*Прил.10!$D$13,2)</f>
        <v/>
      </c>
      <c r="J380" s="268">
        <f>ROUND(I380*E380,2)</f>
        <v/>
      </c>
    </row>
    <row r="381" hidden="1" outlineLevel="1" ht="25.5" customFormat="1" customHeight="1" s="255">
      <c r="A381" s="357" t="n">
        <v>353</v>
      </c>
      <c r="B381" s="265" t="inlineStr">
        <is>
          <t>Прайс из СД ОП</t>
        </is>
      </c>
      <c r="C381" s="356" t="inlineStr">
        <is>
          <t xml:space="preserve">Клапан воздушный ГЕРМИК-С-Н-800х600-1*LM230А-1УХЛ2 </t>
        </is>
      </c>
      <c r="D381" s="357" t="inlineStr">
        <is>
          <t>шт.</t>
        </is>
      </c>
      <c r="E381" s="267" t="n">
        <v>2</v>
      </c>
      <c r="F381" s="359" t="n">
        <v>2216.65</v>
      </c>
      <c r="G381" s="268">
        <f>ROUND(E381*F381,2)</f>
        <v/>
      </c>
      <c r="H381" s="269">
        <f>G381/$G$1004</f>
        <v/>
      </c>
      <c r="I381" s="268">
        <f>ROUND(F381*Прил.10!$D$13,2)</f>
        <v/>
      </c>
      <c r="J381" s="268">
        <f>ROUND(I381*E381,2)</f>
        <v/>
      </c>
    </row>
    <row r="382" hidden="1" outlineLevel="1" ht="14.25" customFormat="1" customHeight="1" s="255">
      <c r="A382" s="357" t="n">
        <v>354</v>
      </c>
      <c r="B382" s="265" t="inlineStr">
        <is>
          <t>08.3.11.01-0091</t>
        </is>
      </c>
      <c r="C382" s="356" t="inlineStr">
        <is>
          <t>Швеллеры № 40, марка стали Ст0</t>
        </is>
      </c>
      <c r="D382" s="357" t="inlineStr">
        <is>
          <t>т</t>
        </is>
      </c>
      <c r="E382" s="267" t="n">
        <v>0.8966</v>
      </c>
      <c r="F382" s="359" t="n">
        <v>4920</v>
      </c>
      <c r="G382" s="268">
        <f>ROUND(E382*F382,2)</f>
        <v/>
      </c>
      <c r="H382" s="269">
        <f>G382/$G$1004</f>
        <v/>
      </c>
      <c r="I382" s="268">
        <f>ROUND(F382*Прил.10!$D$13,2)</f>
        <v/>
      </c>
      <c r="J382" s="268">
        <f>ROUND(I382*E382,2)</f>
        <v/>
      </c>
    </row>
    <row r="383" hidden="1" outlineLevel="1" ht="25.5" customFormat="1" customHeight="1" s="255">
      <c r="A383" s="357" t="n">
        <v>355</v>
      </c>
      <c r="B383" s="265" t="inlineStr">
        <is>
          <t>Прайс из СД ОП</t>
        </is>
      </c>
      <c r="C383" s="356" t="inlineStr">
        <is>
          <t>Короб для крепления светильников, L=2000мм КЛ-1 УЗ, ТУ 36-13-80</t>
        </is>
      </c>
      <c r="D383" s="357" t="inlineStr">
        <is>
          <t>шт.</t>
        </is>
      </c>
      <c r="E383" s="267" t="n">
        <v>39</v>
      </c>
      <c r="F383" s="359" t="n">
        <v>112.32</v>
      </c>
      <c r="G383" s="268">
        <f>ROUND(E383*F383,2)</f>
        <v/>
      </c>
      <c r="H383" s="269">
        <f>G383/$G$1004</f>
        <v/>
      </c>
      <c r="I383" s="268">
        <f>ROUND(F383*Прил.10!$D$13,2)</f>
        <v/>
      </c>
      <c r="J383" s="268">
        <f>ROUND(I383*E383,2)</f>
        <v/>
      </c>
    </row>
    <row r="384" hidden="1" outlineLevel="1" ht="25.5" customFormat="1" customHeight="1" s="255">
      <c r="A384" s="357" t="n">
        <v>356</v>
      </c>
      <c r="B384" s="265" t="inlineStr">
        <is>
          <t>14.2.01.05-0001</t>
        </is>
      </c>
      <c r="C384" s="356" t="inlineStr">
        <is>
          <t>Композиция на основе термопластичных полимеров</t>
        </is>
      </c>
      <c r="D384" s="357" t="inlineStr">
        <is>
          <t>кг</t>
        </is>
      </c>
      <c r="E384" s="267" t="n">
        <v>76.39436000000001</v>
      </c>
      <c r="F384" s="359" t="n">
        <v>54.99</v>
      </c>
      <c r="G384" s="268">
        <f>ROUND(E384*F384,2)</f>
        <v/>
      </c>
      <c r="H384" s="269">
        <f>G384/$G$1004</f>
        <v/>
      </c>
      <c r="I384" s="268">
        <f>ROUND(F384*Прил.10!$D$13,2)</f>
        <v/>
      </c>
      <c r="J384" s="268">
        <f>ROUND(I384*E384,2)</f>
        <v/>
      </c>
    </row>
    <row r="385" hidden="1" outlineLevel="1" ht="14.25" customFormat="1" customHeight="1" s="255">
      <c r="A385" s="357" t="n">
        <v>357</v>
      </c>
      <c r="B385" s="265" t="inlineStr">
        <is>
          <t>01.3.02.08-0001</t>
        </is>
      </c>
      <c r="C385" s="356" t="inlineStr">
        <is>
          <t>Кислород газообразный технический</t>
        </is>
      </c>
      <c r="D385" s="357" t="inlineStr">
        <is>
          <t>м3</t>
        </is>
      </c>
      <c r="E385" s="267" t="n">
        <v>673.2596</v>
      </c>
      <c r="F385" s="359" t="n">
        <v>6.22</v>
      </c>
      <c r="G385" s="268">
        <f>ROUND(E385*F385,2)</f>
        <v/>
      </c>
      <c r="H385" s="269">
        <f>G385/$G$1004</f>
        <v/>
      </c>
      <c r="I385" s="268">
        <f>ROUND(F385*Прил.10!$D$13,2)</f>
        <v/>
      </c>
      <c r="J385" s="268">
        <f>ROUND(I385*E385,2)</f>
        <v/>
      </c>
    </row>
    <row r="386" hidden="1" outlineLevel="1" ht="25.5" customFormat="1" customHeight="1" s="255">
      <c r="A386" s="357" t="n">
        <v>358</v>
      </c>
      <c r="B386" s="265" t="inlineStr">
        <is>
          <t>01.7.15.14-0088</t>
        </is>
      </c>
      <c r="C386" s="356" t="inlineStr">
        <is>
          <t>Шурупы-саморезы кровельные оцинкованные 5,5х38 мм</t>
        </is>
      </c>
      <c r="D386" s="357" t="inlineStr">
        <is>
          <t>100 шт</t>
        </is>
      </c>
      <c r="E386" s="267" t="n">
        <v>101.58</v>
      </c>
      <c r="F386" s="359" t="n">
        <v>41</v>
      </c>
      <c r="G386" s="268">
        <f>ROUND(E386*F386,2)</f>
        <v/>
      </c>
      <c r="H386" s="269">
        <f>G386/$G$1004</f>
        <v/>
      </c>
      <c r="I386" s="268">
        <f>ROUND(F386*Прил.10!$D$13,2)</f>
        <v/>
      </c>
      <c r="J386" s="268">
        <f>ROUND(I386*E386,2)</f>
        <v/>
      </c>
    </row>
    <row r="387" hidden="1" outlineLevel="1" ht="25.5" customFormat="1" customHeight="1" s="255">
      <c r="A387" s="357" t="n">
        <v>359</v>
      </c>
      <c r="B387" s="265" t="inlineStr">
        <is>
          <t>01.7.06.03-0022</t>
        </is>
      </c>
      <c r="C387" s="356" t="inlineStr">
        <is>
          <t>Лента полиэтиленовая с липким слоем А50</t>
        </is>
      </c>
      <c r="D387" s="357" t="inlineStr">
        <is>
          <t>кг</t>
        </is>
      </c>
      <c r="E387" s="267" t="n">
        <v>37.11</v>
      </c>
      <c r="F387" s="359" t="n">
        <v>112</v>
      </c>
      <c r="G387" s="268">
        <f>ROUND(E387*F387,2)</f>
        <v/>
      </c>
      <c r="H387" s="269">
        <f>G387/$G$1004</f>
        <v/>
      </c>
      <c r="I387" s="268">
        <f>ROUND(F387*Прил.10!$D$13,2)</f>
        <v/>
      </c>
      <c r="J387" s="268">
        <f>ROUND(I387*E387,2)</f>
        <v/>
      </c>
    </row>
    <row r="388" hidden="1" outlineLevel="1" ht="25.5" customFormat="1" customHeight="1" s="255">
      <c r="A388" s="357" t="n">
        <v>360</v>
      </c>
      <c r="B388" s="265" t="inlineStr">
        <is>
          <t>Прайс из СД ОП</t>
        </is>
      </c>
      <c r="C388" s="356" t="inlineStr">
        <is>
          <t>Металлический держатель  100 мм ND2106</t>
        </is>
      </c>
      <c r="D388" s="357" t="inlineStr">
        <is>
          <t>шт.</t>
        </is>
      </c>
      <c r="E388" s="267" t="n">
        <v>300</v>
      </c>
      <c r="F388" s="359" t="n">
        <v>13.85</v>
      </c>
      <c r="G388" s="268">
        <f>ROUND(E388*F388,2)</f>
        <v/>
      </c>
      <c r="H388" s="269">
        <f>G388/$G$1004</f>
        <v/>
      </c>
      <c r="I388" s="268">
        <f>ROUND(F388*Прил.10!$D$13,2)</f>
        <v/>
      </c>
      <c r="J388" s="268">
        <f>ROUND(I388*E388,2)</f>
        <v/>
      </c>
    </row>
    <row r="389" hidden="1" outlineLevel="1" ht="63.75" customFormat="1" customHeight="1" s="255">
      <c r="A389" s="357" t="n">
        <v>361</v>
      </c>
      <c r="B389" s="265" t="inlineStr">
        <is>
          <t>18.1.10.01-1046</t>
        </is>
      </c>
      <c r="C389" s="356" t="inlineStr">
        <is>
          <t>Вентиль запорный из углеродистой стали, номинальное давление 4,0 МПа (40 кгс/см2), номинальный диаметр 50 мм, с графитовым уплотнением, присоединение к трубопроводу фланцевое</t>
        </is>
      </c>
      <c r="D389" s="357" t="inlineStr">
        <is>
          <t>шт</t>
        </is>
      </c>
      <c r="E389" s="267" t="n">
        <v>2</v>
      </c>
      <c r="F389" s="359" t="n">
        <v>2074.86</v>
      </c>
      <c r="G389" s="268">
        <f>ROUND(E389*F389,2)</f>
        <v/>
      </c>
      <c r="H389" s="269">
        <f>G389/$G$1004</f>
        <v/>
      </c>
      <c r="I389" s="268">
        <f>ROUND(F389*Прил.10!$D$13,2)</f>
        <v/>
      </c>
      <c r="J389" s="268">
        <f>ROUND(I389*E389,2)</f>
        <v/>
      </c>
    </row>
    <row r="390" hidden="1" outlineLevel="1" ht="38.25" customFormat="1" customHeight="1" s="255">
      <c r="A390" s="357" t="n">
        <v>362</v>
      </c>
      <c r="B390" s="265" t="inlineStr">
        <is>
          <t>12.2.05.05-0008</t>
        </is>
      </c>
      <c r="C390" s="356" t="inlineStr">
        <is>
          <t>Плиты из минеральной ваты, на синтетическом связующем, П-125, толщина 50 мм</t>
        </is>
      </c>
      <c r="D390" s="357" t="inlineStr">
        <is>
          <t>м3</t>
        </is>
      </c>
      <c r="E390" s="267" t="n">
        <v>11.5</v>
      </c>
      <c r="F390" s="359" t="n">
        <v>359.64</v>
      </c>
      <c r="G390" s="268">
        <f>ROUND(E390*F390,2)</f>
        <v/>
      </c>
      <c r="H390" s="269">
        <f>G390/$G$1004</f>
        <v/>
      </c>
      <c r="I390" s="268">
        <f>ROUND(F390*Прил.10!$D$13,2)</f>
        <v/>
      </c>
      <c r="J390" s="268">
        <f>ROUND(I390*E390,2)</f>
        <v/>
      </c>
    </row>
    <row r="391" hidden="1" outlineLevel="1" ht="14.25" customFormat="1" customHeight="1" s="255">
      <c r="A391" s="357" t="n">
        <v>363</v>
      </c>
      <c r="B391" s="265" t="inlineStr">
        <is>
          <t>Прайс из СД ОП</t>
        </is>
      </c>
      <c r="C391" s="356" t="inlineStr">
        <is>
          <t xml:space="preserve">Решетка декоративная Р50-800х520-С </t>
        </is>
      </c>
      <c r="D391" s="357" t="inlineStr">
        <is>
          <t>шт.</t>
        </is>
      </c>
      <c r="E391" s="267" t="n">
        <v>8</v>
      </c>
      <c r="F391" s="359" t="n">
        <v>514.51</v>
      </c>
      <c r="G391" s="268">
        <f>ROUND(E391*F391,2)</f>
        <v/>
      </c>
      <c r="H391" s="269">
        <f>G391/$G$1004</f>
        <v/>
      </c>
      <c r="I391" s="268">
        <f>ROUND(F391*Прил.10!$D$13,2)</f>
        <v/>
      </c>
      <c r="J391" s="268">
        <f>ROUND(I391*E391,2)</f>
        <v/>
      </c>
    </row>
    <row r="392" hidden="1" outlineLevel="1" ht="14.25" customFormat="1" customHeight="1" s="255">
      <c r="A392" s="357" t="n">
        <v>364</v>
      </c>
      <c r="B392" s="265" t="inlineStr">
        <is>
          <t>Прайс из СД ОП</t>
        </is>
      </c>
      <c r="C392" s="356" t="inlineStr">
        <is>
          <t>Зажим подключения экрана  KLBUE 15-32</t>
        </is>
      </c>
      <c r="D392" s="357" t="inlineStr">
        <is>
          <t>шт.</t>
        </is>
      </c>
      <c r="E392" s="267" t="n">
        <v>650</v>
      </c>
      <c r="F392" s="359" t="n">
        <v>6.31</v>
      </c>
      <c r="G392" s="268">
        <f>ROUND(E392*F392,2)</f>
        <v/>
      </c>
      <c r="H392" s="269">
        <f>G392/$G$1004</f>
        <v/>
      </c>
      <c r="I392" s="268">
        <f>ROUND(F392*Прил.10!$D$13,2)</f>
        <v/>
      </c>
      <c r="J392" s="268">
        <f>ROUND(I392*E392,2)</f>
        <v/>
      </c>
    </row>
    <row r="393" hidden="1" outlineLevel="1" ht="25.5" customFormat="1" customHeight="1" s="255">
      <c r="A393" s="357" t="n">
        <v>365</v>
      </c>
      <c r="B393" s="265" t="inlineStr">
        <is>
          <t>Прайс из СД ОП</t>
        </is>
      </c>
      <c r="C393" s="356" t="inlineStr">
        <is>
          <t xml:space="preserve">Клапан воздушный ГЕРМИК-С-Н-1400х720-1*NM230А-1УХЛ2 </t>
        </is>
      </c>
      <c r="D393" s="357" t="inlineStr">
        <is>
          <t>шт.</t>
        </is>
      </c>
      <c r="E393" s="267" t="n">
        <v>1</v>
      </c>
      <c r="F393" s="359" t="n">
        <v>3827.88</v>
      </c>
      <c r="G393" s="268">
        <f>ROUND(E393*F393,2)</f>
        <v/>
      </c>
      <c r="H393" s="269">
        <f>G393/$G$1004</f>
        <v/>
      </c>
      <c r="I393" s="268">
        <f>ROUND(F393*Прил.10!$D$13,2)</f>
        <v/>
      </c>
      <c r="J393" s="268">
        <f>ROUND(I393*E393,2)</f>
        <v/>
      </c>
    </row>
    <row r="394" hidden="1" outlineLevel="1" ht="38.25" customFormat="1" customHeight="1" s="255">
      <c r="A394" s="357" t="n">
        <v>366</v>
      </c>
      <c r="B394" s="265" t="inlineStr">
        <is>
          <t>04.1.02.05-0040</t>
        </is>
      </c>
      <c r="C394" s="356" t="inlineStr">
        <is>
          <t>Смеси бетонные тяжелого бетона (БСТ), крупность заполнителя 20 мм, класс B7,5 (М100)</t>
        </is>
      </c>
      <c r="D394" s="357" t="inlineStr">
        <is>
          <t>м3</t>
        </is>
      </c>
      <c r="E394" s="267" t="n">
        <v>7.089</v>
      </c>
      <c r="F394" s="359" t="n">
        <v>535.46</v>
      </c>
      <c r="G394" s="268">
        <f>ROUND(E394*F394,2)</f>
        <v/>
      </c>
      <c r="H394" s="269">
        <f>G394/$G$1004</f>
        <v/>
      </c>
      <c r="I394" s="268">
        <f>ROUND(F394*Прил.10!$D$13,2)</f>
        <v/>
      </c>
      <c r="J394" s="268">
        <f>ROUND(I394*E394,2)</f>
        <v/>
      </c>
    </row>
    <row r="395" hidden="1" outlineLevel="1" ht="14.25" customFormat="1" customHeight="1" s="255">
      <c r="A395" s="357" t="n">
        <v>367</v>
      </c>
      <c r="B395" s="265" t="inlineStr">
        <is>
          <t>Прайс из СД ОП</t>
        </is>
      </c>
      <c r="C395" s="356" t="inlineStr">
        <is>
          <t>Решетка декоративная Р50-900х620-С</t>
        </is>
      </c>
      <c r="D395" s="357" t="inlineStr">
        <is>
          <t>шт.</t>
        </is>
      </c>
      <c r="E395" s="267" t="n">
        <v>6</v>
      </c>
      <c r="F395" s="359" t="n">
        <v>632.28</v>
      </c>
      <c r="G395" s="268">
        <f>ROUND(E395*F395,2)</f>
        <v/>
      </c>
      <c r="H395" s="269">
        <f>G395/$G$1004</f>
        <v/>
      </c>
      <c r="I395" s="268">
        <f>ROUND(F395*Прил.10!$D$13,2)</f>
        <v/>
      </c>
      <c r="J395" s="268">
        <f>ROUND(I395*E395,2)</f>
        <v/>
      </c>
    </row>
    <row r="396" hidden="1" outlineLevel="1" ht="25.5" customFormat="1" customHeight="1" s="255">
      <c r="A396" s="357" t="n">
        <v>368</v>
      </c>
      <c r="B396" s="265" t="inlineStr">
        <is>
          <t>05.1.01.13-0043</t>
        </is>
      </c>
      <c r="C396" s="356" t="inlineStr">
        <is>
          <t>Плита железобетонная покрытий, перекрытий и днищ (Плита ПТП 36-16)</t>
        </is>
      </c>
      <c r="D396" s="357" t="inlineStr">
        <is>
          <t>м3</t>
        </is>
      </c>
      <c r="E396" s="267" t="n">
        <v>2.742</v>
      </c>
      <c r="F396" s="359" t="n">
        <v>1382.9</v>
      </c>
      <c r="G396" s="268">
        <f>ROUND(E396*F396,2)</f>
        <v/>
      </c>
      <c r="H396" s="269">
        <f>G396/$G$1004</f>
        <v/>
      </c>
      <c r="I396" s="268">
        <f>ROUND(F396*Прил.10!$D$13,2)</f>
        <v/>
      </c>
      <c r="J396" s="268">
        <f>ROUND(I396*E396,2)</f>
        <v/>
      </c>
    </row>
    <row r="397" hidden="1" outlineLevel="1" ht="14.25" customFormat="1" customHeight="1" s="255">
      <c r="A397" s="357" t="n">
        <v>369</v>
      </c>
      <c r="B397" s="265" t="inlineStr">
        <is>
          <t>Прайс из СД ОП</t>
        </is>
      </c>
      <c r="C397" s="356" t="inlineStr">
        <is>
          <t xml:space="preserve">Кронштейн ТС.10.005 </t>
        </is>
      </c>
      <c r="D397" s="357" t="inlineStr">
        <is>
          <t>шт.</t>
        </is>
      </c>
      <c r="E397" s="267" t="n">
        <v>270</v>
      </c>
      <c r="F397" s="359" t="n">
        <v>14</v>
      </c>
      <c r="G397" s="268">
        <f>ROUND(E397*F397,2)</f>
        <v/>
      </c>
      <c r="H397" s="269">
        <f>G397/$G$1004</f>
        <v/>
      </c>
      <c r="I397" s="268">
        <f>ROUND(F397*Прил.10!$D$13,2)</f>
        <v/>
      </c>
      <c r="J397" s="268">
        <f>ROUND(I397*E397,2)</f>
        <v/>
      </c>
    </row>
    <row r="398" hidden="1" outlineLevel="1" ht="25.5" customFormat="1" customHeight="1" s="255">
      <c r="A398" s="357" t="n">
        <v>370</v>
      </c>
      <c r="B398" s="265" t="inlineStr">
        <is>
          <t>Прайс из СД ОП</t>
        </is>
      </c>
      <c r="C398" s="356" t="inlineStr">
        <is>
          <t xml:space="preserve">Клапан ГЕРМИК-С-Н-600х600-1*LM230A-1-УХЛ2 </t>
        </is>
      </c>
      <c r="D398" s="357" t="inlineStr">
        <is>
          <t>шт.</t>
        </is>
      </c>
      <c r="E398" s="267" t="n">
        <v>2</v>
      </c>
      <c r="F398" s="359" t="n">
        <v>1862.87</v>
      </c>
      <c r="G398" s="268">
        <f>ROUND(E398*F398,2)</f>
        <v/>
      </c>
      <c r="H398" s="269">
        <f>G398/$G$1004</f>
        <v/>
      </c>
      <c r="I398" s="268">
        <f>ROUND(F398*Прил.10!$D$13,2)</f>
        <v/>
      </c>
      <c r="J398" s="268">
        <f>ROUND(I398*E398,2)</f>
        <v/>
      </c>
    </row>
    <row r="399" hidden="1" outlineLevel="1" ht="25.5" customFormat="1" customHeight="1" s="255">
      <c r="A399" s="357" t="n">
        <v>371</v>
      </c>
      <c r="B399" s="265" t="inlineStr">
        <is>
          <t>04.3.01.09-0018</t>
        </is>
      </c>
      <c r="C399" s="356" t="inlineStr">
        <is>
          <t>Раствор готовый кладочный, цементный, М300</t>
        </is>
      </c>
      <c r="D399" s="357" t="inlineStr">
        <is>
          <t>м3</t>
        </is>
      </c>
      <c r="E399" s="267" t="n">
        <v>5.0986</v>
      </c>
      <c r="F399" s="359" t="n">
        <v>711.5</v>
      </c>
      <c r="G399" s="268">
        <f>ROUND(E399*F399,2)</f>
        <v/>
      </c>
      <c r="H399" s="269">
        <f>G399/$G$1004</f>
        <v/>
      </c>
      <c r="I399" s="268">
        <f>ROUND(F399*Прил.10!$D$13,2)</f>
        <v/>
      </c>
      <c r="J399" s="268">
        <f>ROUND(I399*E399,2)</f>
        <v/>
      </c>
    </row>
    <row r="400" hidden="1" outlineLevel="1" ht="14.25" customFormat="1" customHeight="1" s="255">
      <c r="A400" s="357" t="n">
        <v>372</v>
      </c>
      <c r="B400" s="265" t="inlineStr">
        <is>
          <t>Прайс из СД ОП</t>
        </is>
      </c>
      <c r="C400" s="356" t="inlineStr">
        <is>
          <t xml:space="preserve">Входной коллектор ВКО-ОСА-063-С </t>
        </is>
      </c>
      <c r="D400" s="357" t="inlineStr">
        <is>
          <t>шт.</t>
        </is>
      </c>
      <c r="E400" s="267" t="n">
        <v>6</v>
      </c>
      <c r="F400" s="359" t="n">
        <v>595.47</v>
      </c>
      <c r="G400" s="268">
        <f>ROUND(E400*F400,2)</f>
        <v/>
      </c>
      <c r="H400" s="269">
        <f>G400/$G$1004</f>
        <v/>
      </c>
      <c r="I400" s="268">
        <f>ROUND(F400*Прил.10!$D$13,2)</f>
        <v/>
      </c>
      <c r="J400" s="268">
        <f>ROUND(I400*E400,2)</f>
        <v/>
      </c>
    </row>
    <row r="401" hidden="1" outlineLevel="1" ht="25.5" customFormat="1" customHeight="1" s="255">
      <c r="A401" s="357" t="n">
        <v>373</v>
      </c>
      <c r="B401" s="265" t="inlineStr">
        <is>
          <t>01.7.17.11-0011</t>
        </is>
      </c>
      <c r="C401" s="356" t="inlineStr">
        <is>
          <t>Шкурка шлифовальная двухслойная с зернистостью 40-25</t>
        </is>
      </c>
      <c r="D401" s="357" t="inlineStr">
        <is>
          <t>м2</t>
        </is>
      </c>
      <c r="E401" s="267" t="n">
        <v>48.9322</v>
      </c>
      <c r="F401" s="359" t="n">
        <v>72.31999999999999</v>
      </c>
      <c r="G401" s="268">
        <f>ROUND(E401*F401,2)</f>
        <v/>
      </c>
      <c r="H401" s="269">
        <f>G401/$G$1004</f>
        <v/>
      </c>
      <c r="I401" s="268">
        <f>ROUND(F401*Прил.10!$D$13,2)</f>
        <v/>
      </c>
      <c r="J401" s="268">
        <f>ROUND(I401*E401,2)</f>
        <v/>
      </c>
    </row>
    <row r="402" hidden="1" outlineLevel="1" ht="25.5" customFormat="1" customHeight="1" s="255">
      <c r="A402" s="357" t="n">
        <v>374</v>
      </c>
      <c r="B402" s="265" t="inlineStr">
        <is>
          <t>Прайс из СД ОП</t>
        </is>
      </c>
      <c r="C402" s="356" t="inlineStr">
        <is>
          <t xml:space="preserve">Клапан воздушный ГЕРМИК-П-Н-1000х1000-1*NM230А-1-УХЛ2 </t>
        </is>
      </c>
      <c r="D402" s="357" t="inlineStr">
        <is>
          <t>шт.</t>
        </is>
      </c>
      <c r="E402" s="267" t="n">
        <v>1</v>
      </c>
      <c r="F402" s="359" t="n">
        <v>3535.06</v>
      </c>
      <c r="G402" s="268">
        <f>ROUND(E402*F402,2)</f>
        <v/>
      </c>
      <c r="H402" s="269">
        <f>G402/$G$1004</f>
        <v/>
      </c>
      <c r="I402" s="268">
        <f>ROUND(F402*Прил.10!$D$13,2)</f>
        <v/>
      </c>
      <c r="J402" s="268">
        <f>ROUND(I402*E402,2)</f>
        <v/>
      </c>
    </row>
    <row r="403" hidden="1" outlineLevel="1" ht="25.5" customFormat="1" customHeight="1" s="255">
      <c r="A403" s="357" t="n">
        <v>375</v>
      </c>
      <c r="B403" s="265" t="inlineStr">
        <is>
          <t>20.1.02.19-0015</t>
        </is>
      </c>
      <c r="C403" s="356" t="inlineStr">
        <is>
          <t>Канат стальной арматурный 1х7, диаметр каната 4,5 мм, диаметр проволоки 1,5 мм</t>
        </is>
      </c>
      <c r="D403" s="357" t="inlineStr">
        <is>
          <t>м</t>
        </is>
      </c>
      <c r="E403" s="267" t="n">
        <v>279</v>
      </c>
      <c r="F403" s="359" t="n">
        <v>12.03</v>
      </c>
      <c r="G403" s="268">
        <f>ROUND(E403*F403,2)</f>
        <v/>
      </c>
      <c r="H403" s="269">
        <f>G403/$G$1004</f>
        <v/>
      </c>
      <c r="I403" s="268">
        <f>ROUND(F403*Прил.10!$D$13,2)</f>
        <v/>
      </c>
      <c r="J403" s="268">
        <f>ROUND(I403*E403,2)</f>
        <v/>
      </c>
    </row>
    <row r="404" hidden="1" outlineLevel="1" ht="51" customFormat="1" customHeight="1" s="255">
      <c r="A404" s="357" t="n">
        <v>376</v>
      </c>
      <c r="B404" s="265" t="inlineStr">
        <is>
          <t>19.4.02.02-0001</t>
        </is>
      </c>
      <c r="C404" s="356" t="inlineStr">
        <is>
          <t>Глушители шума прямоугольного сечения на бандажном соединении ГТП 1-1, сечение обечайки 200х100 мм, масса наполнителя 1,96 кг</t>
        </is>
      </c>
      <c r="D404" s="357" t="inlineStr">
        <is>
          <t>шт</t>
        </is>
      </c>
      <c r="E404" s="267" t="n">
        <v>6</v>
      </c>
      <c r="F404" s="359" t="n">
        <v>553.5</v>
      </c>
      <c r="G404" s="268">
        <f>ROUND(E404*F404,2)</f>
        <v/>
      </c>
      <c r="H404" s="269">
        <f>G404/$G$1004</f>
        <v/>
      </c>
      <c r="I404" s="268">
        <f>ROUND(F404*Прил.10!$D$13,2)</f>
        <v/>
      </c>
      <c r="J404" s="268">
        <f>ROUND(I404*E404,2)</f>
        <v/>
      </c>
    </row>
    <row r="405" hidden="1" outlineLevel="1" ht="14.25" customFormat="1" customHeight="1" s="255">
      <c r="A405" s="357" t="n">
        <v>377</v>
      </c>
      <c r="B405" s="265" t="inlineStr">
        <is>
          <t>Прайс из СД ОП</t>
        </is>
      </c>
      <c r="C405" s="356" t="inlineStr">
        <is>
          <t xml:space="preserve">Зажим крепёжный СР/В.2-75 </t>
        </is>
      </c>
      <c r="D405" s="357" t="inlineStr">
        <is>
          <t>шт.</t>
        </is>
      </c>
      <c r="E405" s="267" t="n">
        <v>810</v>
      </c>
      <c r="F405" s="359" t="n">
        <v>4.08</v>
      </c>
      <c r="G405" s="268">
        <f>ROUND(E405*F405,2)</f>
        <v/>
      </c>
      <c r="H405" s="269">
        <f>G405/$G$1004</f>
        <v/>
      </c>
      <c r="I405" s="268">
        <f>ROUND(F405*Прил.10!$D$13,2)</f>
        <v/>
      </c>
      <c r="J405" s="268">
        <f>ROUND(I405*E405,2)</f>
        <v/>
      </c>
    </row>
    <row r="406" hidden="1" outlineLevel="1" ht="25.5" customFormat="1" customHeight="1" s="255">
      <c r="A406" s="357" t="n">
        <v>378</v>
      </c>
      <c r="B406" s="265" t="inlineStr">
        <is>
          <t>04.3.01.09-0014</t>
        </is>
      </c>
      <c r="C406" s="356" t="inlineStr">
        <is>
          <t>Раствор готовый кладочный, цементный, М100</t>
        </is>
      </c>
      <c r="D406" s="357" t="inlineStr">
        <is>
          <t>м3</t>
        </is>
      </c>
      <c r="E406" s="267" t="n">
        <v>6.2565</v>
      </c>
      <c r="F406" s="359" t="n">
        <v>519.8</v>
      </c>
      <c r="G406" s="268">
        <f>ROUND(E406*F406,2)</f>
        <v/>
      </c>
      <c r="H406" s="269">
        <f>G406/$G$1004</f>
        <v/>
      </c>
      <c r="I406" s="268">
        <f>ROUND(F406*Прил.10!$D$13,2)</f>
        <v/>
      </c>
      <c r="J406" s="268">
        <f>ROUND(I406*E406,2)</f>
        <v/>
      </c>
    </row>
    <row r="407" hidden="1" outlineLevel="1" ht="51" customFormat="1" customHeight="1" s="255">
      <c r="A407" s="357" t="n">
        <v>379</v>
      </c>
      <c r="B407" s="265" t="inlineStr">
        <is>
          <t>07.2.06.03-0155</t>
        </is>
      </c>
      <c r="C407" s="356" t="inlineStr">
        <is>
          <t>Профиль направляющий, стальной, оцинкованный, для монтажа гипсовых перегородок и подвесных потолков, длина 3 м, сечение 60х27х0,6 мм</t>
        </is>
      </c>
      <c r="D407" s="357" t="inlineStr">
        <is>
          <t>м</t>
        </is>
      </c>
      <c r="E407" s="267" t="n">
        <v>585.4299999999999</v>
      </c>
      <c r="F407" s="359" t="n">
        <v>5.5</v>
      </c>
      <c r="G407" s="268">
        <f>ROUND(E407*F407,2)</f>
        <v/>
      </c>
      <c r="H407" s="269">
        <f>G407/$G$1004</f>
        <v/>
      </c>
      <c r="I407" s="268">
        <f>ROUND(F407*Прил.10!$D$13,2)</f>
        <v/>
      </c>
      <c r="J407" s="268">
        <f>ROUND(I407*E407,2)</f>
        <v/>
      </c>
    </row>
    <row r="408" hidden="1" outlineLevel="1" ht="38.25" customFormat="1" customHeight="1" s="255">
      <c r="A408" s="357" t="n">
        <v>380</v>
      </c>
      <c r="B408" s="265" t="inlineStr">
        <is>
          <t>07.1.01.01-0020</t>
        </is>
      </c>
      <c r="C408" s="356" t="inlineStr">
        <is>
          <t>Дверь противопожарная металлическая: однопольная ДПМ-01/60, размером 1000х2100 мм</t>
        </is>
      </c>
      <c r="D408" s="357" t="inlineStr">
        <is>
          <t>шт</t>
        </is>
      </c>
      <c r="E408" s="267" t="n">
        <v>1</v>
      </c>
      <c r="F408" s="359" t="n">
        <v>3104.96</v>
      </c>
      <c r="G408" s="268">
        <f>ROUND(E408*F408,2)</f>
        <v/>
      </c>
      <c r="H408" s="269">
        <f>G408/$G$1004</f>
        <v/>
      </c>
      <c r="I408" s="268">
        <f>ROUND(F408*Прил.10!$D$13,2)</f>
        <v/>
      </c>
      <c r="J408" s="268">
        <f>ROUND(I408*E408,2)</f>
        <v/>
      </c>
    </row>
    <row r="409" hidden="1" outlineLevel="1" ht="25.5" customFormat="1" customHeight="1" s="255">
      <c r="A409" s="357" t="n">
        <v>381</v>
      </c>
      <c r="B409" s="265" t="inlineStr">
        <is>
          <t>19.1.01.03-0072</t>
        </is>
      </c>
      <c r="C409" s="356" t="inlineStr">
        <is>
          <t>Воздуховоды из оцинкованной стали толщиной: 0,5 мм, периметром до 600 мм</t>
        </is>
      </c>
      <c r="D409" s="357" t="inlineStr">
        <is>
          <t>м2</t>
        </is>
      </c>
      <c r="E409" s="267" t="n">
        <v>30.3</v>
      </c>
      <c r="F409" s="359" t="n">
        <v>102.41</v>
      </c>
      <c r="G409" s="268">
        <f>ROUND(E409*F409,2)</f>
        <v/>
      </c>
      <c r="H409" s="269">
        <f>G409/$G$1004</f>
        <v/>
      </c>
      <c r="I409" s="268">
        <f>ROUND(F409*Прил.10!$D$13,2)</f>
        <v/>
      </c>
      <c r="J409" s="268">
        <f>ROUND(I409*E409,2)</f>
        <v/>
      </c>
    </row>
    <row r="410" hidden="1" outlineLevel="1" ht="38.25" customFormat="1" customHeight="1" s="255">
      <c r="A410" s="357" t="n">
        <v>382</v>
      </c>
      <c r="B410" s="265" t="inlineStr">
        <is>
          <t>05.1.07.25-0018</t>
        </is>
      </c>
      <c r="C410" s="356" t="inlineStr">
        <is>
          <t>Лестничная площадка ЛП 15.3, бетон B22,5, объем 0,15 м3, расход арматуры 5 кг</t>
        </is>
      </c>
      <c r="D410" s="357" t="inlineStr">
        <is>
          <t>шт</t>
        </is>
      </c>
      <c r="E410" s="267" t="n">
        <v>9</v>
      </c>
      <c r="F410" s="359" t="n">
        <v>343.11</v>
      </c>
      <c r="G410" s="268">
        <f>ROUND(E410*F410,2)</f>
        <v/>
      </c>
      <c r="H410" s="269">
        <f>G410/$G$1004</f>
        <v/>
      </c>
      <c r="I410" s="268">
        <f>ROUND(F410*Прил.10!$D$13,2)</f>
        <v/>
      </c>
      <c r="J410" s="268">
        <f>ROUND(I410*E410,2)</f>
        <v/>
      </c>
    </row>
    <row r="411" hidden="1" outlineLevel="1" ht="63.75" customFormat="1" customHeight="1" s="255">
      <c r="A411" s="357" t="n">
        <v>383</v>
      </c>
      <c r="B411" s="265" t="inlineStr">
        <is>
          <t>14.5.01.06-0013</t>
        </is>
      </c>
      <c r="C411" s="356" t="inlineStr">
        <is>
          <t>Герметик полиуретановый, однокомпонентный, инъекционный, гидрофобный, гидроактивный, жесткий, с низкой вязкостью, для увеличения несущей способности несвязных грунтов</t>
        </is>
      </c>
      <c r="D411" s="357" t="inlineStr">
        <is>
          <t>кг</t>
        </is>
      </c>
      <c r="E411" s="267" t="n">
        <v>33</v>
      </c>
      <c r="F411" s="359" t="n">
        <v>93.03</v>
      </c>
      <c r="G411" s="268">
        <f>ROUND(E411*F411,2)</f>
        <v/>
      </c>
      <c r="H411" s="269">
        <f>G411/$G$1004</f>
        <v/>
      </c>
      <c r="I411" s="268">
        <f>ROUND(F411*Прил.10!$D$13,2)</f>
        <v/>
      </c>
      <c r="J411" s="268">
        <f>ROUND(I411*E411,2)</f>
        <v/>
      </c>
    </row>
    <row r="412" hidden="1" outlineLevel="1" ht="25.5" customFormat="1" customHeight="1" s="255">
      <c r="A412" s="357" t="n">
        <v>384</v>
      </c>
      <c r="B412" s="265" t="inlineStr">
        <is>
          <t>08.3.08.02-0073</t>
        </is>
      </c>
      <c r="C412" s="356" t="inlineStr">
        <is>
          <t>Сталь угловая равнополочная, марка стали: Ст3пс, шириной полок 100-100 мм</t>
        </is>
      </c>
      <c r="D412" s="357" t="inlineStr">
        <is>
          <t>т</t>
        </is>
      </c>
      <c r="E412" s="267" t="n">
        <v>0.62708</v>
      </c>
      <c r="F412" s="359" t="n">
        <v>4840.65</v>
      </c>
      <c r="G412" s="268">
        <f>ROUND(E412*F412,2)</f>
        <v/>
      </c>
      <c r="H412" s="269">
        <f>G412/$G$1004</f>
        <v/>
      </c>
      <c r="I412" s="268">
        <f>ROUND(F412*Прил.10!$D$13,2)</f>
        <v/>
      </c>
      <c r="J412" s="268">
        <f>ROUND(I412*E412,2)</f>
        <v/>
      </c>
    </row>
    <row r="413" hidden="1" outlineLevel="1" ht="25.5" customFormat="1" customHeight="1" s="255">
      <c r="A413" s="357" t="n">
        <v>385</v>
      </c>
      <c r="B413" s="265" t="inlineStr">
        <is>
          <t>Прайс из СД ОП</t>
        </is>
      </c>
      <c r="C413" s="356" t="inlineStr">
        <is>
          <t xml:space="preserve">Соединитель мягкий СОМ 100-ВРАН-100Б-Ц </t>
        </is>
      </c>
      <c r="D413" s="357" t="inlineStr">
        <is>
          <t>шт.</t>
        </is>
      </c>
      <c r="E413" s="267" t="n">
        <v>6</v>
      </c>
      <c r="F413" s="359" t="n">
        <v>500.54</v>
      </c>
      <c r="G413" s="268">
        <f>ROUND(E413*F413,2)</f>
        <v/>
      </c>
      <c r="H413" s="269">
        <f>G413/$G$1004</f>
        <v/>
      </c>
      <c r="I413" s="268">
        <f>ROUND(F413*Прил.10!$D$13,2)</f>
        <v/>
      </c>
      <c r="J413" s="268">
        <f>ROUND(I413*E413,2)</f>
        <v/>
      </c>
    </row>
    <row r="414" hidden="1" outlineLevel="1" ht="25.5" customFormat="1" customHeight="1" s="255">
      <c r="A414" s="357" t="n">
        <v>386</v>
      </c>
      <c r="B414" s="265" t="inlineStr">
        <is>
          <t>Прайс из СД ОП</t>
        </is>
      </c>
      <c r="C414" s="356" t="inlineStr">
        <is>
          <t xml:space="preserve">Баллон  с ПГС для проверки работоспособности системы </t>
        </is>
      </c>
      <c r="D414" s="357" t="inlineStr">
        <is>
          <t>шт.</t>
        </is>
      </c>
      <c r="E414" s="267" t="n">
        <v>1</v>
      </c>
      <c r="F414" s="359" t="n">
        <v>2959</v>
      </c>
      <c r="G414" s="268">
        <f>ROUND(E414*F414,2)</f>
        <v/>
      </c>
      <c r="H414" s="269">
        <f>G414/$G$1004</f>
        <v/>
      </c>
      <c r="I414" s="268">
        <f>ROUND(F414*Прил.10!$D$13,2)</f>
        <v/>
      </c>
      <c r="J414" s="268">
        <f>ROUND(I414*E414,2)</f>
        <v/>
      </c>
    </row>
    <row r="415" hidden="1" outlineLevel="1" ht="25.5" customFormat="1" customHeight="1" s="255">
      <c r="A415" s="357" t="n">
        <v>387</v>
      </c>
      <c r="B415" s="265" t="inlineStr">
        <is>
          <t>Прайс из СД ОП</t>
        </is>
      </c>
      <c r="C415" s="356" t="inlineStr">
        <is>
          <t xml:space="preserve">Клапан противопожарный КПУ-1Н-О-Н-150х150 </t>
        </is>
      </c>
      <c r="D415" s="357" t="inlineStr">
        <is>
          <t>шт.</t>
        </is>
      </c>
      <c r="E415" s="267" t="n">
        <v>2</v>
      </c>
      <c r="F415" s="359" t="n">
        <v>1473.11</v>
      </c>
      <c r="G415" s="268">
        <f>ROUND(E415*F415,2)</f>
        <v/>
      </c>
      <c r="H415" s="269">
        <f>G415/$G$1004</f>
        <v/>
      </c>
      <c r="I415" s="268">
        <f>ROUND(F415*Прил.10!$D$13,2)</f>
        <v/>
      </c>
      <c r="J415" s="268">
        <f>ROUND(I415*E415,2)</f>
        <v/>
      </c>
    </row>
    <row r="416" hidden="1" outlineLevel="1" ht="14.25" customFormat="1" customHeight="1" s="255">
      <c r="A416" s="357" t="n">
        <v>388</v>
      </c>
      <c r="B416" s="265" t="inlineStr">
        <is>
          <t>12.2.05.10-1008</t>
        </is>
      </c>
      <c r="C416" s="356" t="inlineStr">
        <is>
          <t>Плиты минераловатные, толщина 80 мм</t>
        </is>
      </c>
      <c r="D416" s="357" t="inlineStr">
        <is>
          <t>м2</t>
        </is>
      </c>
      <c r="E416" s="267" t="n">
        <v>127.4</v>
      </c>
      <c r="F416" s="359" t="n">
        <v>22.9</v>
      </c>
      <c r="G416" s="268">
        <f>ROUND(E416*F416,2)</f>
        <v/>
      </c>
      <c r="H416" s="269">
        <f>G416/$G$1004</f>
        <v/>
      </c>
      <c r="I416" s="268">
        <f>ROUND(F416*Прил.10!$D$13,2)</f>
        <v/>
      </c>
      <c r="J416" s="268">
        <f>ROUND(I416*E416,2)</f>
        <v/>
      </c>
    </row>
    <row r="417" hidden="1" outlineLevel="1" ht="14.25" customFormat="1" customHeight="1" s="255">
      <c r="A417" s="357" t="n">
        <v>389</v>
      </c>
      <c r="B417" s="265" t="inlineStr">
        <is>
          <t>08.3.11.01-0058</t>
        </is>
      </c>
      <c r="C417" s="356" t="inlineStr">
        <is>
          <t>Швеллеры № 16, марка стали Ст3пс5</t>
        </is>
      </c>
      <c r="D417" s="357" t="inlineStr">
        <is>
          <t>т</t>
        </is>
      </c>
      <c r="E417" s="267" t="n">
        <v>0.454</v>
      </c>
      <c r="F417" s="359" t="n">
        <v>6423.2</v>
      </c>
      <c r="G417" s="268">
        <f>ROUND(E417*F417,2)</f>
        <v/>
      </c>
      <c r="H417" s="269">
        <f>G417/$G$1004</f>
        <v/>
      </c>
      <c r="I417" s="268">
        <f>ROUND(F417*Прил.10!$D$13,2)</f>
        <v/>
      </c>
      <c r="J417" s="268">
        <f>ROUND(I417*E417,2)</f>
        <v/>
      </c>
    </row>
    <row r="418" hidden="1" outlineLevel="1" ht="38.25" customFormat="1" customHeight="1" s="255">
      <c r="A418" s="357" t="n">
        <v>390</v>
      </c>
      <c r="B418" s="265" t="inlineStr">
        <is>
          <t>19.1.01.03-0077</t>
        </is>
      </c>
      <c r="C418" s="356" t="inlineStr">
        <is>
          <t>Воздуховоды из оцинкованной стали толщиной: 0,7 мм, периметром до 1000 мм</t>
        </is>
      </c>
      <c r="D418" s="357" t="inlineStr">
        <is>
          <t>м2</t>
        </is>
      </c>
      <c r="E418" s="267" t="n">
        <v>25.8</v>
      </c>
      <c r="F418" s="359" t="n">
        <v>111.37</v>
      </c>
      <c r="G418" s="268">
        <f>ROUND(E418*F418,2)</f>
        <v/>
      </c>
      <c r="H418" s="269">
        <f>G418/$G$1004</f>
        <v/>
      </c>
      <c r="I418" s="268">
        <f>ROUND(F418*Прил.10!$D$13,2)</f>
        <v/>
      </c>
      <c r="J418" s="268">
        <f>ROUND(I418*E418,2)</f>
        <v/>
      </c>
    </row>
    <row r="419" hidden="1" outlineLevel="1" ht="38.25" customFormat="1" customHeight="1" s="255">
      <c r="A419" s="357" t="n">
        <v>391</v>
      </c>
      <c r="B419" s="265" t="inlineStr">
        <is>
          <t>05.1.03.12-0058</t>
        </is>
      </c>
      <c r="C419" s="356" t="inlineStr">
        <is>
          <t>Прогоны марки ПРГ 32. 1.4-4А-III (бетон B20, объем 0,15 м3, расход арматуры 17,80 кг)</t>
        </is>
      </c>
      <c r="D419" s="357" t="inlineStr">
        <is>
          <t>шт</t>
        </is>
      </c>
      <c r="E419" s="267" t="n">
        <v>8</v>
      </c>
      <c r="F419" s="359" t="n">
        <v>357.1</v>
      </c>
      <c r="G419" s="268">
        <f>ROUND(E419*F419,2)</f>
        <v/>
      </c>
      <c r="H419" s="269">
        <f>G419/$G$1004</f>
        <v/>
      </c>
      <c r="I419" s="268">
        <f>ROUND(F419*Прил.10!$D$13,2)</f>
        <v/>
      </c>
      <c r="J419" s="268">
        <f>ROUND(I419*E419,2)</f>
        <v/>
      </c>
    </row>
    <row r="420" hidden="1" outlineLevel="1" ht="25.5" customFormat="1" customHeight="1" s="255">
      <c r="A420" s="357" t="n">
        <v>392</v>
      </c>
      <c r="B420" s="265" t="inlineStr">
        <is>
          <t>Прайс из СД ОП</t>
        </is>
      </c>
      <c r="C420" s="356" t="inlineStr">
        <is>
          <t xml:space="preserve">Клапан воздушный ГЕРМИК-С-Н-900х900-1*NM230А-1УХЛ2 </t>
        </is>
      </c>
      <c r="D420" s="357" t="inlineStr">
        <is>
          <t>шт.</t>
        </is>
      </c>
      <c r="E420" s="267" t="n">
        <v>1</v>
      </c>
      <c r="F420" s="359" t="n">
        <v>2852.71</v>
      </c>
      <c r="G420" s="268">
        <f>ROUND(E420*F420,2)</f>
        <v/>
      </c>
      <c r="H420" s="269">
        <f>G420/$G$1004</f>
        <v/>
      </c>
      <c r="I420" s="268">
        <f>ROUND(F420*Прил.10!$D$13,2)</f>
        <v/>
      </c>
      <c r="J420" s="268">
        <f>ROUND(I420*E420,2)</f>
        <v/>
      </c>
    </row>
    <row r="421" hidden="1" outlineLevel="1" ht="25.5" customFormat="1" customHeight="1" s="255">
      <c r="A421" s="357" t="n">
        <v>393</v>
      </c>
      <c r="B421" s="265" t="inlineStr">
        <is>
          <t>08.4.03.02-0003</t>
        </is>
      </c>
      <c r="C421" s="356" t="inlineStr">
        <is>
          <t>Сталь арматурная, горячекатаная, гладкая, класс А-I, диаметр 10 мм</t>
        </is>
      </c>
      <c r="D421" s="357" t="inlineStr">
        <is>
          <t>т</t>
        </is>
      </c>
      <c r="E421" s="267" t="n">
        <v>0.42272</v>
      </c>
      <c r="F421" s="359" t="n">
        <v>6726.18</v>
      </c>
      <c r="G421" s="268">
        <f>ROUND(E421*F421,2)</f>
        <v/>
      </c>
      <c r="H421" s="269">
        <f>G421/$G$1004</f>
        <v/>
      </c>
      <c r="I421" s="268">
        <f>ROUND(F421*Прил.10!$D$13,2)</f>
        <v/>
      </c>
      <c r="J421" s="268">
        <f>ROUND(I421*E421,2)</f>
        <v/>
      </c>
    </row>
    <row r="422" hidden="1" outlineLevel="1" ht="25.5" customFormat="1" customHeight="1" s="255">
      <c r="A422" s="357" t="n">
        <v>394</v>
      </c>
      <c r="B422" s="265" t="inlineStr">
        <is>
          <t>04.3.01.07-0012</t>
        </is>
      </c>
      <c r="C422" s="356" t="inlineStr">
        <is>
          <t>Раствор готовый отделочный тяжелый, известковый, состав 1:2,5</t>
        </is>
      </c>
      <c r="D422" s="357" t="inlineStr">
        <is>
          <t>м3</t>
        </is>
      </c>
      <c r="E422" s="267" t="n">
        <v>5.531</v>
      </c>
      <c r="F422" s="359" t="n">
        <v>510.4</v>
      </c>
      <c r="G422" s="268">
        <f>ROUND(E422*F422,2)</f>
        <v/>
      </c>
      <c r="H422" s="269">
        <f>G422/$G$1004</f>
        <v/>
      </c>
      <c r="I422" s="268">
        <f>ROUND(F422*Прил.10!$D$13,2)</f>
        <v/>
      </c>
      <c r="J422" s="268">
        <f>ROUND(I422*E422,2)</f>
        <v/>
      </c>
    </row>
    <row r="423" hidden="1" outlineLevel="1" ht="25.5" customFormat="1" customHeight="1" s="255">
      <c r="A423" s="357" t="n">
        <v>395</v>
      </c>
      <c r="B423" s="265" t="inlineStr">
        <is>
          <t>08.3.09.01-0003</t>
        </is>
      </c>
      <c r="C423" s="356" t="inlineStr">
        <is>
          <t>Профилированный лист оцинкованный: Н57-750-0,8</t>
        </is>
      </c>
      <c r="D423" s="357" t="inlineStr">
        <is>
          <t>т</t>
        </is>
      </c>
      <c r="E423" s="267" t="n">
        <v>0.32</v>
      </c>
      <c r="F423" s="359" t="n">
        <v>8819.879999999999</v>
      </c>
      <c r="G423" s="268">
        <f>ROUND(E423*F423,2)</f>
        <v/>
      </c>
      <c r="H423" s="269">
        <f>G423/$G$1004</f>
        <v/>
      </c>
      <c r="I423" s="268">
        <f>ROUND(F423*Прил.10!$D$13,2)</f>
        <v/>
      </c>
      <c r="J423" s="268">
        <f>ROUND(I423*E423,2)</f>
        <v/>
      </c>
    </row>
    <row r="424" hidden="1" outlineLevel="1" ht="38.25" customFormat="1" customHeight="1" s="255">
      <c r="A424" s="357" t="n">
        <v>396</v>
      </c>
      <c r="B424" s="265" t="inlineStr">
        <is>
          <t>01.7.06.14-0023</t>
        </is>
      </c>
      <c r="C424" s="356" t="inlineStr">
        <is>
          <t>Лента «Сэвилен» для подклеивающего слоя, ширина 35-40 мм, толщина 0,2-0,5 мм</t>
        </is>
      </c>
      <c r="D424" s="357" t="inlineStr">
        <is>
          <t>10 м</t>
        </is>
      </c>
      <c r="E424" s="267" t="n">
        <v>52.3</v>
      </c>
      <c r="F424" s="359" t="n">
        <v>53.81</v>
      </c>
      <c r="G424" s="268">
        <f>ROUND(E424*F424,2)</f>
        <v/>
      </c>
      <c r="H424" s="269">
        <f>G424/$G$1004</f>
        <v/>
      </c>
      <c r="I424" s="268">
        <f>ROUND(F424*Прил.10!$D$13,2)</f>
        <v/>
      </c>
      <c r="J424" s="268">
        <f>ROUND(I424*E424,2)</f>
        <v/>
      </c>
    </row>
    <row r="425" hidden="1" outlineLevel="1" ht="14.25" customFormat="1" customHeight="1" s="255">
      <c r="A425" s="357" t="n">
        <v>397</v>
      </c>
      <c r="B425" s="265" t="inlineStr">
        <is>
          <t>01.3.02.09-0022</t>
        </is>
      </c>
      <c r="C425" s="356" t="inlineStr">
        <is>
          <t>Пропан-бутан смесь техническая</t>
        </is>
      </c>
      <c r="D425" s="357" t="inlineStr">
        <is>
          <t>кг</t>
        </is>
      </c>
      <c r="E425" s="267" t="n">
        <v>461.0486</v>
      </c>
      <c r="F425" s="359" t="n">
        <v>6.09</v>
      </c>
      <c r="G425" s="268">
        <f>ROUND(E425*F425,2)</f>
        <v/>
      </c>
      <c r="H425" s="269">
        <f>G425/$G$1004</f>
        <v/>
      </c>
      <c r="I425" s="268">
        <f>ROUND(F425*Прил.10!$D$13,2)</f>
        <v/>
      </c>
      <c r="J425" s="268">
        <f>ROUND(I425*E425,2)</f>
        <v/>
      </c>
    </row>
    <row r="426" hidden="1" outlineLevel="1" ht="14.25" customFormat="1" customHeight="1" s="255">
      <c r="A426" s="357" t="n">
        <v>398</v>
      </c>
      <c r="B426" s="265" t="inlineStr">
        <is>
          <t>08.3.09.01-0082</t>
        </is>
      </c>
      <c r="C426" s="356" t="inlineStr">
        <is>
          <t>Профнастил оцинкованный: С8-1150-0,5</t>
        </is>
      </c>
      <c r="D426" s="357" t="inlineStr">
        <is>
          <t>м2</t>
        </is>
      </c>
      <c r="E426" s="267" t="n">
        <v>64.176</v>
      </c>
      <c r="F426" s="359" t="n">
        <v>43.5</v>
      </c>
      <c r="G426" s="268">
        <f>ROUND(E426*F426,2)</f>
        <v/>
      </c>
      <c r="H426" s="269">
        <f>G426/$G$1004</f>
        <v/>
      </c>
      <c r="I426" s="268">
        <f>ROUND(F426*Прил.10!$D$13,2)</f>
        <v/>
      </c>
      <c r="J426" s="268">
        <f>ROUND(I426*E426,2)</f>
        <v/>
      </c>
    </row>
    <row r="427" hidden="1" outlineLevel="1" ht="25.5" customFormat="1" customHeight="1" s="255">
      <c r="A427" s="357" t="n">
        <v>399</v>
      </c>
      <c r="B427" s="265" t="inlineStr">
        <is>
          <t>21.1.06.09-0152</t>
        </is>
      </c>
      <c r="C427" s="356" t="inlineStr">
        <is>
          <t>Кабель силовой с медными жилами ВВГнг(A)-LS 3х2,5-660</t>
        </is>
      </c>
      <c r="D427" s="357" t="inlineStr">
        <is>
          <t>1000 м</t>
        </is>
      </c>
      <c r="E427" s="267" t="n">
        <v>0.40188</v>
      </c>
      <c r="F427" s="359" t="n">
        <v>6920.41</v>
      </c>
      <c r="G427" s="268">
        <f>ROUND(E427*F427,2)</f>
        <v/>
      </c>
      <c r="H427" s="269">
        <f>G427/$G$1004</f>
        <v/>
      </c>
      <c r="I427" s="268">
        <f>ROUND(F427*Прил.10!$D$13,2)</f>
        <v/>
      </c>
      <c r="J427" s="268">
        <f>ROUND(I427*E427,2)</f>
        <v/>
      </c>
    </row>
    <row r="428" hidden="1" outlineLevel="1" ht="38.25" customFormat="1" customHeight="1" s="255">
      <c r="A428" s="357" t="n">
        <v>400</v>
      </c>
      <c r="B428" s="265" t="inlineStr">
        <is>
          <t>24.3.01.02-0023</t>
        </is>
      </c>
      <c r="C428" s="356" t="inlineStr">
        <is>
          <t>Трубы гибкие гофрированные легкие из самозатухающего ПВХ (IP55) серии FL, с зондом, диаметром: 25 мм</t>
        </is>
      </c>
      <c r="D428" s="357" t="inlineStr">
        <is>
          <t>10 м</t>
        </is>
      </c>
      <c r="E428" s="267" t="n">
        <v>71.852</v>
      </c>
      <c r="F428" s="359" t="n">
        <v>37.3</v>
      </c>
      <c r="G428" s="268">
        <f>ROUND(E428*F428,2)</f>
        <v/>
      </c>
      <c r="H428" s="269">
        <f>G428/$G$1004</f>
        <v/>
      </c>
      <c r="I428" s="268">
        <f>ROUND(F428*Прил.10!$D$13,2)</f>
        <v/>
      </c>
      <c r="J428" s="268">
        <f>ROUND(I428*E428,2)</f>
        <v/>
      </c>
    </row>
    <row r="429" hidden="1" outlineLevel="1" ht="14.25" customFormat="1" customHeight="1" s="255">
      <c r="A429" s="357" t="n">
        <v>401</v>
      </c>
      <c r="B429" s="265" t="inlineStr">
        <is>
          <t>11.1.03.06-0002</t>
        </is>
      </c>
      <c r="C429" s="356" t="inlineStr">
        <is>
          <t>Доска дубовая, сорт II</t>
        </is>
      </c>
      <c r="D429" s="357" t="inlineStr">
        <is>
          <t>м3</t>
        </is>
      </c>
      <c r="E429" s="267" t="n">
        <v>1.8817</v>
      </c>
      <c r="F429" s="359" t="n">
        <v>1410</v>
      </c>
      <c r="G429" s="268">
        <f>ROUND(E429*F429,2)</f>
        <v/>
      </c>
      <c r="H429" s="269">
        <f>G429/$G$1004</f>
        <v/>
      </c>
      <c r="I429" s="268">
        <f>ROUND(F429*Прил.10!$D$13,2)</f>
        <v/>
      </c>
      <c r="J429" s="268">
        <f>ROUND(I429*E429,2)</f>
        <v/>
      </c>
    </row>
    <row r="430" hidden="1" outlineLevel="1" ht="25.5" customFormat="1" customHeight="1" s="255">
      <c r="A430" s="357" t="n">
        <v>402</v>
      </c>
      <c r="B430" s="265" t="inlineStr">
        <is>
          <t>01.7.15.07-0132</t>
        </is>
      </c>
      <c r="C430" s="356" t="inlineStr">
        <is>
          <t>Дюбели распорные с металлическим стержнем, размер 10х150 мм</t>
        </is>
      </c>
      <c r="D430" s="357" t="inlineStr">
        <is>
          <t>10 шт</t>
        </is>
      </c>
      <c r="E430" s="267" t="n">
        <v>394.95</v>
      </c>
      <c r="F430" s="359" t="n">
        <v>6.62</v>
      </c>
      <c r="G430" s="268">
        <f>ROUND(E430*F430,2)</f>
        <v/>
      </c>
      <c r="H430" s="269">
        <f>G430/$G$1004</f>
        <v/>
      </c>
      <c r="I430" s="268">
        <f>ROUND(F430*Прил.10!$D$13,2)</f>
        <v/>
      </c>
      <c r="J430" s="268">
        <f>ROUND(I430*E430,2)</f>
        <v/>
      </c>
    </row>
    <row r="431" hidden="1" outlineLevel="1" ht="25.5" customFormat="1" customHeight="1" s="255">
      <c r="A431" s="357" t="n">
        <v>403</v>
      </c>
      <c r="B431" s="265" t="inlineStr">
        <is>
          <t>Прайс из СД ОП</t>
        </is>
      </c>
      <c r="C431" s="356" t="inlineStr">
        <is>
          <t xml:space="preserve">Рулонный огнезащитный материал Logicroof NG </t>
        </is>
      </c>
      <c r="D431" s="357" t="inlineStr">
        <is>
          <t>м2</t>
        </is>
      </c>
      <c r="E431" s="267" t="n">
        <v>15</v>
      </c>
      <c r="F431" s="359" t="n">
        <v>173.1</v>
      </c>
      <c r="G431" s="268">
        <f>ROUND(E431*F431,2)</f>
        <v/>
      </c>
      <c r="H431" s="269">
        <f>G431/$G$1004</f>
        <v/>
      </c>
      <c r="I431" s="268">
        <f>ROUND(F431*Прил.10!$D$13,2)</f>
        <v/>
      </c>
      <c r="J431" s="268">
        <f>ROUND(I431*E431,2)</f>
        <v/>
      </c>
    </row>
    <row r="432" hidden="1" outlineLevel="1" ht="14.25" customFormat="1" customHeight="1" s="255">
      <c r="A432" s="357" t="n">
        <v>404</v>
      </c>
      <c r="B432" s="265" t="inlineStr">
        <is>
          <t>Прайс из СД ОП</t>
        </is>
      </c>
      <c r="C432" s="356" t="inlineStr">
        <is>
          <t xml:space="preserve">Огнетушитель ОВП-10 </t>
        </is>
      </c>
      <c r="D432" s="357" t="inlineStr">
        <is>
          <t>шт.</t>
        </is>
      </c>
      <c r="E432" s="267" t="n">
        <v>20</v>
      </c>
      <c r="F432" s="359" t="n">
        <v>128.3</v>
      </c>
      <c r="G432" s="268">
        <f>ROUND(E432*F432,2)</f>
        <v/>
      </c>
      <c r="H432" s="269">
        <f>G432/$G$1004</f>
        <v/>
      </c>
      <c r="I432" s="268">
        <f>ROUND(F432*Прил.10!$D$13,2)</f>
        <v/>
      </c>
      <c r="J432" s="268">
        <f>ROUND(I432*E432,2)</f>
        <v/>
      </c>
    </row>
    <row r="433" hidden="1" outlineLevel="1" ht="25.5" customFormat="1" customHeight="1" s="255">
      <c r="A433" s="357" t="n">
        <v>405</v>
      </c>
      <c r="B433" s="265" t="inlineStr">
        <is>
          <t>04.1.02.05-0004</t>
        </is>
      </c>
      <c r="C433" s="356" t="inlineStr">
        <is>
          <t>Смеси бетонные тяжелого бетона (БСТ), класс B10 (М150)</t>
        </is>
      </c>
      <c r="D433" s="357" t="inlineStr">
        <is>
          <t>м3</t>
        </is>
      </c>
      <c r="E433" s="267" t="n">
        <v>5.202</v>
      </c>
      <c r="F433" s="359" t="n">
        <v>490</v>
      </c>
      <c r="G433" s="268">
        <f>ROUND(E433*F433,2)</f>
        <v/>
      </c>
      <c r="H433" s="269">
        <f>G433/$G$1004</f>
        <v/>
      </c>
      <c r="I433" s="268">
        <f>ROUND(F433*Прил.10!$D$13,2)</f>
        <v/>
      </c>
      <c r="J433" s="268">
        <f>ROUND(I433*E433,2)</f>
        <v/>
      </c>
    </row>
    <row r="434" hidden="1" outlineLevel="1" ht="25.5" customFormat="1" customHeight="1" s="255">
      <c r="A434" s="357" t="n">
        <v>406</v>
      </c>
      <c r="B434" s="265" t="inlineStr">
        <is>
          <t>08.3.04.02-0092</t>
        </is>
      </c>
      <c r="C434" s="356" t="inlineStr">
        <is>
          <t>Круг стальной горячекатаный, марка стали ВСт3пс5-1, диаметр 10 мм</t>
        </is>
      </c>
      <c r="D434" s="357" t="inlineStr">
        <is>
          <t>т</t>
        </is>
      </c>
      <c r="E434" s="267" t="n">
        <v>0.4872</v>
      </c>
      <c r="F434" s="359" t="n">
        <v>5230.01</v>
      </c>
      <c r="G434" s="268">
        <f>ROUND(E434*F434,2)</f>
        <v/>
      </c>
      <c r="H434" s="269">
        <f>G434/$G$1004</f>
        <v/>
      </c>
      <c r="I434" s="268">
        <f>ROUND(F434*Прил.10!$D$13,2)</f>
        <v/>
      </c>
      <c r="J434" s="268">
        <f>ROUND(I434*E434,2)</f>
        <v/>
      </c>
    </row>
    <row r="435" hidden="1" outlineLevel="1" ht="25.5" customFormat="1" customHeight="1" s="255">
      <c r="A435" s="357" t="n">
        <v>407</v>
      </c>
      <c r="B435" s="265" t="inlineStr">
        <is>
          <t>14.5.01.07-0134</t>
        </is>
      </c>
      <c r="C435" s="356" t="inlineStr">
        <is>
          <t>Герметик силиконовый для наружных швов</t>
        </is>
      </c>
      <c r="D435" s="357" t="inlineStr">
        <is>
          <t>л</t>
        </is>
      </c>
      <c r="E435" s="267" t="n">
        <v>33</v>
      </c>
      <c r="F435" s="359" t="n">
        <v>76.8</v>
      </c>
      <c r="G435" s="268">
        <f>ROUND(E435*F435,2)</f>
        <v/>
      </c>
      <c r="H435" s="269">
        <f>G435/$G$1004</f>
        <v/>
      </c>
      <c r="I435" s="268">
        <f>ROUND(F435*Прил.10!$D$13,2)</f>
        <v/>
      </c>
      <c r="J435" s="268">
        <f>ROUND(I435*E435,2)</f>
        <v/>
      </c>
    </row>
    <row r="436" hidden="1" outlineLevel="1" ht="25.5" customFormat="1" customHeight="1" s="255">
      <c r="A436" s="357" t="n">
        <v>408</v>
      </c>
      <c r="B436" s="265" t="inlineStr">
        <is>
          <t>Прайс из СД ОП</t>
        </is>
      </c>
      <c r="C436" s="356" t="inlineStr">
        <is>
          <t xml:space="preserve">Клапан воздушный ГЕРМИК-С-350х350-Н-1*LF230-S-1-УХЛ2 </t>
        </is>
      </c>
      <c r="D436" s="357" t="inlineStr">
        <is>
          <t>шт.</t>
        </is>
      </c>
      <c r="E436" s="267" t="n">
        <v>1</v>
      </c>
      <c r="F436" s="359" t="n">
        <v>2500.95</v>
      </c>
      <c r="G436" s="268">
        <f>ROUND(E436*F436,2)</f>
        <v/>
      </c>
      <c r="H436" s="269">
        <f>G436/$G$1004</f>
        <v/>
      </c>
      <c r="I436" s="268">
        <f>ROUND(F436*Прил.10!$D$13,2)</f>
        <v/>
      </c>
      <c r="J436" s="268">
        <f>ROUND(I436*E436,2)</f>
        <v/>
      </c>
    </row>
    <row r="437" hidden="1" outlineLevel="1" ht="25.5" customFormat="1" customHeight="1" s="255">
      <c r="A437" s="357" t="n">
        <v>409</v>
      </c>
      <c r="B437" s="265" t="inlineStr">
        <is>
          <t>Прайс из СД ОП</t>
        </is>
      </c>
      <c r="C437" s="356" t="inlineStr">
        <is>
          <t>Автоматический выключатель трехполюсный, OptiDin BM125-3С100</t>
        </is>
      </c>
      <c r="D437" s="357" t="inlineStr">
        <is>
          <t>шт.</t>
        </is>
      </c>
      <c r="E437" s="267" t="n">
        <v>4</v>
      </c>
      <c r="F437" s="359" t="n">
        <v>621.09</v>
      </c>
      <c r="G437" s="268">
        <f>ROUND(E437*F437,2)</f>
        <v/>
      </c>
      <c r="H437" s="269">
        <f>G437/$G$1004</f>
        <v/>
      </c>
      <c r="I437" s="268">
        <f>ROUND(F437*Прил.10!$D$13,2)</f>
        <v/>
      </c>
      <c r="J437" s="268">
        <f>ROUND(I437*E437,2)</f>
        <v/>
      </c>
    </row>
    <row r="438" hidden="1" outlineLevel="1" ht="38.25" customFormat="1" customHeight="1" s="255">
      <c r="A438" s="357" t="n">
        <v>410</v>
      </c>
      <c r="B438" s="265" t="inlineStr">
        <is>
          <t>23.3.08.02-0183</t>
        </is>
      </c>
      <c r="C438" s="356" t="inlineStr">
        <is>
          <t>Трубы стальные прямоугольные (ГОСТ 8645-86) размером: 110х40 мм, толщина стенки 4 мм</t>
        </is>
      </c>
      <c r="D438" s="357" t="inlineStr">
        <is>
          <t>м</t>
        </is>
      </c>
      <c r="E438" s="267" t="n">
        <v>34.6</v>
      </c>
      <c r="F438" s="359" t="n">
        <v>70.77</v>
      </c>
      <c r="G438" s="268">
        <f>ROUND(E438*F438,2)</f>
        <v/>
      </c>
      <c r="H438" s="269">
        <f>G438/$G$1004</f>
        <v/>
      </c>
      <c r="I438" s="268">
        <f>ROUND(F438*Прил.10!$D$13,2)</f>
        <v/>
      </c>
      <c r="J438" s="268">
        <f>ROUND(I438*E438,2)</f>
        <v/>
      </c>
    </row>
    <row r="439" hidden="1" outlineLevel="1" ht="25.5" customFormat="1" customHeight="1" s="255">
      <c r="A439" s="357" t="n">
        <v>411</v>
      </c>
      <c r="B439" s="265" t="inlineStr">
        <is>
          <t>01.7.05.09-0012</t>
        </is>
      </c>
      <c r="C439" s="356" t="inlineStr">
        <is>
          <t>Текстолит листовой ПТ, толщина от 1 до 3 мм</t>
        </is>
      </c>
      <c r="D439" s="357" t="inlineStr">
        <is>
          <t>кг</t>
        </is>
      </c>
      <c r="E439" s="267" t="n">
        <v>31.2</v>
      </c>
      <c r="F439" s="359" t="n">
        <v>76.95</v>
      </c>
      <c r="G439" s="268">
        <f>ROUND(E439*F439,2)</f>
        <v/>
      </c>
      <c r="H439" s="269">
        <f>G439/$G$1004</f>
        <v/>
      </c>
      <c r="I439" s="268">
        <f>ROUND(F439*Прил.10!$D$13,2)</f>
        <v/>
      </c>
      <c r="J439" s="268">
        <f>ROUND(I439*E439,2)</f>
        <v/>
      </c>
    </row>
    <row r="440" hidden="1" outlineLevel="1" ht="14.25" customFormat="1" customHeight="1" s="255">
      <c r="A440" s="357" t="n">
        <v>412</v>
      </c>
      <c r="B440" s="265" t="inlineStr">
        <is>
          <t>01.7.07.12-0024</t>
        </is>
      </c>
      <c r="C440" s="356" t="inlineStr">
        <is>
          <t>Пленка полиэтиленовая, толщина 0,15 мм</t>
        </is>
      </c>
      <c r="D440" s="357" t="inlineStr">
        <is>
          <t>м2</t>
        </is>
      </c>
      <c r="E440" s="267" t="n">
        <v>656.987</v>
      </c>
      <c r="F440" s="359" t="n">
        <v>3.62</v>
      </c>
      <c r="G440" s="268">
        <f>ROUND(E440*F440,2)</f>
        <v/>
      </c>
      <c r="H440" s="269">
        <f>G440/$G$1004</f>
        <v/>
      </c>
      <c r="I440" s="268">
        <f>ROUND(F440*Прил.10!$D$13,2)</f>
        <v/>
      </c>
      <c r="J440" s="268">
        <f>ROUND(I440*E440,2)</f>
        <v/>
      </c>
    </row>
    <row r="441" hidden="1" outlineLevel="1" ht="14.25" customFormat="1" customHeight="1" s="255">
      <c r="A441" s="357" t="n">
        <v>413</v>
      </c>
      <c r="B441" s="265" t="inlineStr">
        <is>
          <t>01.7.15.07-0014</t>
        </is>
      </c>
      <c r="C441" s="356" t="inlineStr">
        <is>
          <t>Дюбели распорные полипропиленовые</t>
        </is>
      </c>
      <c r="D441" s="357" t="inlineStr">
        <is>
          <t>100 шт</t>
        </is>
      </c>
      <c r="E441" s="267" t="n">
        <v>27.2062</v>
      </c>
      <c r="F441" s="359" t="n">
        <v>86</v>
      </c>
      <c r="G441" s="268">
        <f>ROUND(E441*F441,2)</f>
        <v/>
      </c>
      <c r="H441" s="269">
        <f>G441/$G$1004</f>
        <v/>
      </c>
      <c r="I441" s="268">
        <f>ROUND(F441*Прил.10!$D$13,2)</f>
        <v/>
      </c>
      <c r="J441" s="268">
        <f>ROUND(I441*E441,2)</f>
        <v/>
      </c>
    </row>
    <row r="442" hidden="1" outlineLevel="1" ht="25.5" customFormat="1" customHeight="1" s="255">
      <c r="A442" s="357" t="n">
        <v>414</v>
      </c>
      <c r="B442" s="265" t="inlineStr">
        <is>
          <t>04.3.01.09-0023</t>
        </is>
      </c>
      <c r="C442" s="356" t="inlineStr">
        <is>
          <t>Раствор отделочный тяжелый цементный, состав 1:3</t>
        </is>
      </c>
      <c r="D442" s="357" t="inlineStr">
        <is>
          <t>м3</t>
        </is>
      </c>
      <c r="E442" s="267" t="n">
        <v>4.682</v>
      </c>
      <c r="F442" s="359" t="n">
        <v>497</v>
      </c>
      <c r="G442" s="268">
        <f>ROUND(E442*F442,2)</f>
        <v/>
      </c>
      <c r="H442" s="269">
        <f>G442/$G$1004</f>
        <v/>
      </c>
      <c r="I442" s="268">
        <f>ROUND(F442*Прил.10!$D$13,2)</f>
        <v/>
      </c>
      <c r="J442" s="268">
        <f>ROUND(I442*E442,2)</f>
        <v/>
      </c>
    </row>
    <row r="443" hidden="1" outlineLevel="1" ht="25.5" customFormat="1" customHeight="1" s="255">
      <c r="A443" s="357" t="n">
        <v>415</v>
      </c>
      <c r="B443" s="265" t="inlineStr">
        <is>
          <t>Прайс из СД ОП</t>
        </is>
      </c>
      <c r="C443" s="356" t="inlineStr">
        <is>
          <t xml:space="preserve">Клапан противопожарный КПУ-1Н-З-600х600-2хф-МВ220-0-сн-0-0-0-0-0-0-0 </t>
        </is>
      </c>
      <c r="D443" s="357" t="inlineStr">
        <is>
          <t>шт.</t>
        </is>
      </c>
      <c r="E443" s="267" t="n">
        <v>1</v>
      </c>
      <c r="F443" s="359" t="n">
        <v>2325.66</v>
      </c>
      <c r="G443" s="268">
        <f>ROUND(E443*F443,2)</f>
        <v/>
      </c>
      <c r="H443" s="269">
        <f>G443/$G$1004</f>
        <v/>
      </c>
      <c r="I443" s="268">
        <f>ROUND(F443*Прил.10!$D$13,2)</f>
        <v/>
      </c>
      <c r="J443" s="268">
        <f>ROUND(I443*E443,2)</f>
        <v/>
      </c>
    </row>
    <row r="444" hidden="1" outlineLevel="1" ht="25.5" customFormat="1" customHeight="1" s="255">
      <c r="A444" s="357" t="n">
        <v>416</v>
      </c>
      <c r="B444" s="265" t="inlineStr">
        <is>
          <t>08.1.02.11-0001</t>
        </is>
      </c>
      <c r="C444" s="356" t="inlineStr">
        <is>
          <t>Поковки из квадратных заготовок, масса 1,8 кг</t>
        </is>
      </c>
      <c r="D444" s="357" t="inlineStr">
        <is>
          <t>т</t>
        </is>
      </c>
      <c r="E444" s="267" t="n">
        <v>0.3844</v>
      </c>
      <c r="F444" s="359" t="n">
        <v>5989</v>
      </c>
      <c r="G444" s="268">
        <f>ROUND(E444*F444,2)</f>
        <v/>
      </c>
      <c r="H444" s="269">
        <f>G444/$G$1004</f>
        <v/>
      </c>
      <c r="I444" s="268">
        <f>ROUND(F444*Прил.10!$D$13,2)</f>
        <v/>
      </c>
      <c r="J444" s="268">
        <f>ROUND(I444*E444,2)</f>
        <v/>
      </c>
    </row>
    <row r="445" hidden="1" outlineLevel="1" ht="25.5" customFormat="1" customHeight="1" s="255">
      <c r="A445" s="357" t="n">
        <v>417</v>
      </c>
      <c r="B445" s="265" t="inlineStr">
        <is>
          <t>04.3.01.07-0011</t>
        </is>
      </c>
      <c r="C445" s="356" t="inlineStr">
        <is>
          <t>Раствор готовый отделочный тяжелый, известковый, состав 1:2</t>
        </is>
      </c>
      <c r="D445" s="357" t="inlineStr">
        <is>
          <t>м3</t>
        </is>
      </c>
      <c r="E445" s="267" t="n">
        <v>4.994</v>
      </c>
      <c r="F445" s="359" t="n">
        <v>458</v>
      </c>
      <c r="G445" s="268">
        <f>ROUND(E445*F445,2)</f>
        <v/>
      </c>
      <c r="H445" s="269">
        <f>G445/$G$1004</f>
        <v/>
      </c>
      <c r="I445" s="268">
        <f>ROUND(F445*Прил.10!$D$13,2)</f>
        <v/>
      </c>
      <c r="J445" s="268">
        <f>ROUND(I445*E445,2)</f>
        <v/>
      </c>
    </row>
    <row r="446" hidden="1" outlineLevel="1" ht="25.5" customFormat="1" customHeight="1" s="255">
      <c r="A446" s="357" t="n">
        <v>418</v>
      </c>
      <c r="B446" s="265" t="inlineStr">
        <is>
          <t>Прайс из СД ОП</t>
        </is>
      </c>
      <c r="C446" s="356" t="inlineStr">
        <is>
          <t xml:space="preserve">Клапан воздушный ГЕРМИК-С-200х200-Н-1*LF230-S-1-УХЛ2 </t>
        </is>
      </c>
      <c r="D446" s="357" t="inlineStr">
        <is>
          <t>шт.</t>
        </is>
      </c>
      <c r="E446" s="267" t="n">
        <v>1</v>
      </c>
      <c r="F446" s="359" t="n">
        <v>2267.07</v>
      </c>
      <c r="G446" s="268">
        <f>ROUND(E446*F446,2)</f>
        <v/>
      </c>
      <c r="H446" s="269">
        <f>G446/$G$1004</f>
        <v/>
      </c>
      <c r="I446" s="268">
        <f>ROUND(F446*Прил.10!$D$13,2)</f>
        <v/>
      </c>
      <c r="J446" s="268">
        <f>ROUND(I446*E446,2)</f>
        <v/>
      </c>
    </row>
    <row r="447" hidden="1" outlineLevel="1" ht="14.25" customFormat="1" customHeight="1" s="255">
      <c r="A447" s="357" t="n">
        <v>419</v>
      </c>
      <c r="B447" s="265" t="inlineStr">
        <is>
          <t>Прайс из СД ОП</t>
        </is>
      </c>
      <c r="C447" s="356" t="inlineStr">
        <is>
          <t>Решетка декоративная Р50-1300х920-С</t>
        </is>
      </c>
      <c r="D447" s="357" t="inlineStr">
        <is>
          <t>шт.</t>
        </is>
      </c>
      <c r="E447" s="267" t="n">
        <v>2</v>
      </c>
      <c r="F447" s="359" t="n">
        <v>1132.82</v>
      </c>
      <c r="G447" s="268">
        <f>ROUND(E447*F447,2)</f>
        <v/>
      </c>
      <c r="H447" s="269">
        <f>G447/$G$1004</f>
        <v/>
      </c>
      <c r="I447" s="268">
        <f>ROUND(F447*Прил.10!$D$13,2)</f>
        <v/>
      </c>
      <c r="J447" s="268">
        <f>ROUND(I447*E447,2)</f>
        <v/>
      </c>
    </row>
    <row r="448" hidden="1" outlineLevel="1" ht="38.25" customFormat="1" customHeight="1" s="255">
      <c r="A448" s="357" t="n">
        <v>420</v>
      </c>
      <c r="B448" s="265" t="inlineStr">
        <is>
          <t>11.1.03.06-0091</t>
        </is>
      </c>
      <c r="C448" s="356" t="inlineStr">
        <is>
          <t>Доска обрезная, хвойных пород, ширина 75-150 мм, толщина 32-40 мм, длина 4-6,5 м, сорт III</t>
        </is>
      </c>
      <c r="D448" s="357" t="inlineStr">
        <is>
          <t>м3</t>
        </is>
      </c>
      <c r="E448" s="267" t="n">
        <v>1.954</v>
      </c>
      <c r="F448" s="359" t="n">
        <v>1155</v>
      </c>
      <c r="G448" s="268">
        <f>ROUND(E448*F448,2)</f>
        <v/>
      </c>
      <c r="H448" s="269">
        <f>G448/$G$1004</f>
        <v/>
      </c>
      <c r="I448" s="268">
        <f>ROUND(F448*Прил.10!$D$13,2)</f>
        <v/>
      </c>
      <c r="J448" s="268">
        <f>ROUND(I448*E448,2)</f>
        <v/>
      </c>
    </row>
    <row r="449" hidden="1" outlineLevel="1" ht="38.25" customFormat="1" customHeight="1" s="255">
      <c r="A449" s="357" t="n">
        <v>421</v>
      </c>
      <c r="B449" s="265" t="inlineStr">
        <is>
          <t>12.1.01.05-0006</t>
        </is>
      </c>
      <c r="C449" s="356" t="inlineStr">
        <is>
          <t>Воронка выпускная металлическая для водосточных систем, покрытие полиэстер, диаметр 185/150 мм</t>
        </is>
      </c>
      <c r="D449" s="357" t="inlineStr">
        <is>
          <t>шт</t>
        </is>
      </c>
      <c r="E449" s="267" t="n">
        <v>9</v>
      </c>
      <c r="F449" s="359" t="n">
        <v>249.4</v>
      </c>
      <c r="G449" s="268">
        <f>ROUND(E449*F449,2)</f>
        <v/>
      </c>
      <c r="H449" s="269">
        <f>G449/$G$1004</f>
        <v/>
      </c>
      <c r="I449" s="268">
        <f>ROUND(F449*Прил.10!$D$13,2)</f>
        <v/>
      </c>
      <c r="J449" s="268">
        <f>ROUND(I449*E449,2)</f>
        <v/>
      </c>
    </row>
    <row r="450" hidden="1" outlineLevel="1" ht="51" customFormat="1" customHeight="1" s="255">
      <c r="A450" s="357" t="n">
        <v>422</v>
      </c>
      <c r="B450" s="265" t="inlineStr">
        <is>
          <t>07.2.06.03-0199</t>
        </is>
      </c>
      <c r="C450" s="356" t="inlineStr">
        <is>
          <t>Профиль стоечный, стальной, оцинкованный, для монтажа гипсовых перегородок, длина 3 м, сечение 75х50х0,6 мм</t>
        </is>
      </c>
      <c r="D450" s="357" t="inlineStr">
        <is>
          <t>м</t>
        </is>
      </c>
      <c r="E450" s="267" t="n">
        <v>276.12</v>
      </c>
      <c r="F450" s="359" t="n">
        <v>8.06</v>
      </c>
      <c r="G450" s="268">
        <f>ROUND(E450*F450,2)</f>
        <v/>
      </c>
      <c r="H450" s="269">
        <f>G450/$G$1004</f>
        <v/>
      </c>
      <c r="I450" s="268">
        <f>ROUND(F450*Прил.10!$D$13,2)</f>
        <v/>
      </c>
      <c r="J450" s="268">
        <f>ROUND(I450*E450,2)</f>
        <v/>
      </c>
    </row>
    <row r="451" hidden="1" outlineLevel="1" ht="38.25" customFormat="1" customHeight="1" s="255">
      <c r="A451" s="357" t="n">
        <v>423</v>
      </c>
      <c r="B451" s="265" t="inlineStr">
        <is>
          <t>11.1.03.01-0086</t>
        </is>
      </c>
      <c r="C451" s="356" t="inlineStr">
        <is>
          <t>Бруски обрезные, хвойных пород, длина 4-6,5 м, ширина 75-150 мм, толщина 150 мм и более, сорт II</t>
        </is>
      </c>
      <c r="D451" s="357" t="inlineStr">
        <is>
          <t>м3</t>
        </is>
      </c>
      <c r="E451" s="267" t="n">
        <v>1.0297</v>
      </c>
      <c r="F451" s="359" t="n">
        <v>2156</v>
      </c>
      <c r="G451" s="268">
        <f>ROUND(E451*F451,2)</f>
        <v/>
      </c>
      <c r="H451" s="269">
        <f>G451/$G$1004</f>
        <v/>
      </c>
      <c r="I451" s="268">
        <f>ROUND(F451*Прил.10!$D$13,2)</f>
        <v/>
      </c>
      <c r="J451" s="268">
        <f>ROUND(I451*E451,2)</f>
        <v/>
      </c>
    </row>
    <row r="452" hidden="1" outlineLevel="1" ht="25.5" customFormat="1" customHeight="1" s="255">
      <c r="A452" s="357" t="n">
        <v>424</v>
      </c>
      <c r="B452" s="265" t="inlineStr">
        <is>
          <t>Прайс из СД ОП</t>
        </is>
      </c>
      <c r="C452" s="356" t="inlineStr">
        <is>
          <t>Клапан противопожарный ГЕРМИК-ДУ-Д 800х600-1*ф-МВ220-сн-0-0 0</t>
        </is>
      </c>
      <c r="D452" s="357" t="inlineStr">
        <is>
          <t>шт.</t>
        </is>
      </c>
      <c r="E452" s="267" t="n">
        <v>1</v>
      </c>
      <c r="F452" s="359" t="n">
        <v>2216.65</v>
      </c>
      <c r="G452" s="268">
        <f>ROUND(E452*F452,2)</f>
        <v/>
      </c>
      <c r="H452" s="269">
        <f>G452/$G$1004</f>
        <v/>
      </c>
      <c r="I452" s="268">
        <f>ROUND(F452*Прил.10!$D$13,2)</f>
        <v/>
      </c>
      <c r="J452" s="268">
        <f>ROUND(I452*E452,2)</f>
        <v/>
      </c>
    </row>
    <row r="453" hidden="1" outlineLevel="1" ht="51" customFormat="1" customHeight="1" s="255">
      <c r="A453" s="357" t="n">
        <v>425</v>
      </c>
      <c r="B453" s="265" t="inlineStr">
        <is>
          <t>07.2.06.03-0112</t>
        </is>
      </c>
      <c r="C453" s="356" t="inlineStr">
        <is>
          <t>Профиль направляющий, стальной, оцинкованный, для монтажа гипсовых перегородок и подвесных потолков, длина 3 м, сечение 50х40х0,6 мм</t>
        </is>
      </c>
      <c r="D453" s="357" t="inlineStr">
        <is>
          <t>м</t>
        </is>
      </c>
      <c r="E453" s="267" t="n">
        <v>348.3</v>
      </c>
      <c r="F453" s="359" t="n">
        <v>6.16</v>
      </c>
      <c r="G453" s="268">
        <f>ROUND(E453*F453,2)</f>
        <v/>
      </c>
      <c r="H453" s="269">
        <f>G453/$G$1004</f>
        <v/>
      </c>
      <c r="I453" s="268">
        <f>ROUND(F453*Прил.10!$D$13,2)</f>
        <v/>
      </c>
      <c r="J453" s="268">
        <f>ROUND(I453*E453,2)</f>
        <v/>
      </c>
    </row>
    <row r="454" hidden="1" outlineLevel="1" ht="25.5" customFormat="1" customHeight="1" s="255">
      <c r="A454" s="357" t="n">
        <v>426</v>
      </c>
      <c r="B454" s="265" t="inlineStr">
        <is>
          <t>25.1.01.04-0031</t>
        </is>
      </c>
      <c r="C454" s="356" t="inlineStr">
        <is>
          <t>Шпалы непропитанные для железных дорог, тип I</t>
        </is>
      </c>
      <c r="D454" s="357" t="inlineStr">
        <is>
          <t>шт</t>
        </is>
      </c>
      <c r="E454" s="267" t="n">
        <v>8</v>
      </c>
      <c r="F454" s="359" t="n">
        <v>266.67</v>
      </c>
      <c r="G454" s="268">
        <f>ROUND(E454*F454,2)</f>
        <v/>
      </c>
      <c r="H454" s="269">
        <f>G454/$G$1004</f>
        <v/>
      </c>
      <c r="I454" s="268">
        <f>ROUND(F454*Прил.10!$D$13,2)</f>
        <v/>
      </c>
      <c r="J454" s="268">
        <f>ROUND(I454*E454,2)</f>
        <v/>
      </c>
    </row>
    <row r="455" hidden="1" outlineLevel="1" ht="25.5" customFormat="1" customHeight="1" s="255">
      <c r="A455" s="357" t="n">
        <v>427</v>
      </c>
      <c r="B455" s="265" t="inlineStr">
        <is>
          <t>08.3.03.06-0002</t>
        </is>
      </c>
      <c r="C455" s="356" t="inlineStr">
        <is>
          <t>Проволока горячекатаная в мотках, диаметр 6,3-6,5 мм</t>
        </is>
      </c>
      <c r="D455" s="357" t="inlineStr">
        <is>
          <t>т</t>
        </is>
      </c>
      <c r="E455" s="267" t="n">
        <v>0.4776</v>
      </c>
      <c r="F455" s="359" t="n">
        <v>4455.2</v>
      </c>
      <c r="G455" s="268">
        <f>ROUND(E455*F455,2)</f>
        <v/>
      </c>
      <c r="H455" s="269">
        <f>G455/$G$1004</f>
        <v/>
      </c>
      <c r="I455" s="268">
        <f>ROUND(F455*Прил.10!$D$13,2)</f>
        <v/>
      </c>
      <c r="J455" s="268">
        <f>ROUND(I455*E455,2)</f>
        <v/>
      </c>
    </row>
    <row r="456" hidden="1" outlineLevel="1" ht="25.5" customFormat="1" customHeight="1" s="255">
      <c r="A456" s="357" t="n">
        <v>428</v>
      </c>
      <c r="B456" s="265" t="inlineStr">
        <is>
          <t>Прайс из СД ОП</t>
        </is>
      </c>
      <c r="C456" s="356" t="inlineStr">
        <is>
          <t xml:space="preserve">Клапан воздушный ГЕРМИК-С-Н-700х500 1*LM230А-1УХЛ2 </t>
        </is>
      </c>
      <c r="D456" s="357" t="inlineStr">
        <is>
          <t>шт.</t>
        </is>
      </c>
      <c r="E456" s="267" t="n">
        <v>1</v>
      </c>
      <c r="F456" s="359" t="n">
        <v>2115.09</v>
      </c>
      <c r="G456" s="268">
        <f>ROUND(E456*F456,2)</f>
        <v/>
      </c>
      <c r="H456" s="269">
        <f>G456/$G$1004</f>
        <v/>
      </c>
      <c r="I456" s="268">
        <f>ROUND(F456*Прил.10!$D$13,2)</f>
        <v/>
      </c>
      <c r="J456" s="268">
        <f>ROUND(I456*E456,2)</f>
        <v/>
      </c>
    </row>
    <row r="457" hidden="1" outlineLevel="1" ht="38.25" customFormat="1" customHeight="1" s="255">
      <c r="A457" s="357" t="n">
        <v>429</v>
      </c>
      <c r="B457" s="265" t="inlineStr">
        <is>
          <t>20.4.04.03-0008</t>
        </is>
      </c>
      <c r="C457" s="356" t="inlineStr">
        <is>
          <t>Щиты с монтажной панелью ЩМП-4, размером 800х600х250 мм, степень защиты IP54</t>
        </is>
      </c>
      <c r="D457" s="357" t="inlineStr">
        <is>
          <t>шт</t>
        </is>
      </c>
      <c r="E457" s="267" t="n">
        <v>2</v>
      </c>
      <c r="F457" s="359" t="n">
        <v>1041.24</v>
      </c>
      <c r="G457" s="268">
        <f>ROUND(E457*F457,2)</f>
        <v/>
      </c>
      <c r="H457" s="269">
        <f>G457/$G$1004</f>
        <v/>
      </c>
      <c r="I457" s="268">
        <f>ROUND(F457*Прил.10!$D$13,2)</f>
        <v/>
      </c>
      <c r="J457" s="268">
        <f>ROUND(I457*E457,2)</f>
        <v/>
      </c>
    </row>
    <row r="458" hidden="1" outlineLevel="1" ht="14.25" customFormat="1" customHeight="1" s="255">
      <c r="A458" s="357" t="n">
        <v>430</v>
      </c>
      <c r="B458" s="265" t="inlineStr">
        <is>
          <t>25.1.04.07-0003</t>
        </is>
      </c>
      <c r="C458" s="356" t="inlineStr">
        <is>
          <t>Шурупы путевые, размер 24х170 мм</t>
        </is>
      </c>
      <c r="D458" s="357" t="inlineStr">
        <is>
          <t>т</t>
        </is>
      </c>
      <c r="E458" s="267" t="n">
        <v>0.175</v>
      </c>
      <c r="F458" s="359" t="n">
        <v>11856</v>
      </c>
      <c r="G458" s="268">
        <f>ROUND(E458*F458,2)</f>
        <v/>
      </c>
      <c r="H458" s="269">
        <f>G458/$G$1004</f>
        <v/>
      </c>
      <c r="I458" s="268">
        <f>ROUND(F458*Прил.10!$D$13,2)</f>
        <v/>
      </c>
      <c r="J458" s="268">
        <f>ROUND(I458*E458,2)</f>
        <v/>
      </c>
    </row>
    <row r="459" hidden="1" outlineLevel="1" ht="51" customFormat="1" customHeight="1" s="255">
      <c r="A459" s="357" t="n">
        <v>431</v>
      </c>
      <c r="B459" s="265" t="inlineStr">
        <is>
          <t>18.3.02.01-0002</t>
        </is>
      </c>
      <c r="C459" s="356" t="inlineStr">
        <is>
          <t>Комплекты пожарного оборудования (шкаф 400х400х70 мм, кран шаровый, рукав-шланг 15 м, комплект соединительной арматуры)</t>
        </is>
      </c>
      <c r="D459" s="357" t="inlineStr">
        <is>
          <t>компл</t>
        </is>
      </c>
      <c r="E459" s="267" t="n">
        <v>10</v>
      </c>
      <c r="F459" s="359" t="n">
        <v>206.15</v>
      </c>
      <c r="G459" s="268">
        <f>ROUND(E459*F459,2)</f>
        <v/>
      </c>
      <c r="H459" s="269">
        <f>G459/$G$1004</f>
        <v/>
      </c>
      <c r="I459" s="268">
        <f>ROUND(F459*Прил.10!$D$13,2)</f>
        <v/>
      </c>
      <c r="J459" s="268">
        <f>ROUND(I459*E459,2)</f>
        <v/>
      </c>
    </row>
    <row r="460" hidden="1" outlineLevel="1" ht="14.25" customFormat="1" customHeight="1" s="255">
      <c r="A460" s="357" t="n">
        <v>432</v>
      </c>
      <c r="B460" s="265" t="inlineStr">
        <is>
          <t>14.5.09.07-0030</t>
        </is>
      </c>
      <c r="C460" s="356" t="inlineStr">
        <is>
          <t>Растворитель Р-4</t>
        </is>
      </c>
      <c r="D460" s="357" t="inlineStr">
        <is>
          <t>кг</t>
        </is>
      </c>
      <c r="E460" s="267" t="n">
        <v>217.683</v>
      </c>
      <c r="F460" s="359" t="n">
        <v>9.42</v>
      </c>
      <c r="G460" s="268">
        <f>ROUND(E460*F460,2)</f>
        <v/>
      </c>
      <c r="H460" s="269">
        <f>G460/$G$1004</f>
        <v/>
      </c>
      <c r="I460" s="268">
        <f>ROUND(F460*Прил.10!$D$13,2)</f>
        <v/>
      </c>
      <c r="J460" s="268">
        <f>ROUND(I460*E460,2)</f>
        <v/>
      </c>
    </row>
    <row r="461" hidden="1" outlineLevel="1" ht="25.5" customFormat="1" customHeight="1" s="255">
      <c r="A461" s="357" t="n">
        <v>433</v>
      </c>
      <c r="B461" s="265" t="inlineStr">
        <is>
          <t>21.1.06.09-0178</t>
        </is>
      </c>
      <c r="C461" s="356" t="inlineStr">
        <is>
          <t>Кабель силовой с медными жилами ВВГнг(A)-LS 5х6-660</t>
        </is>
      </c>
      <c r="D461" s="357" t="inlineStr">
        <is>
          <t>1000 м</t>
        </is>
      </c>
      <c r="E461" s="267" t="n">
        <v>0.08</v>
      </c>
      <c r="F461" s="359" t="n">
        <v>25431.81</v>
      </c>
      <c r="G461" s="268">
        <f>ROUND(E461*F461,2)</f>
        <v/>
      </c>
      <c r="H461" s="269">
        <f>G461/$G$1004</f>
        <v/>
      </c>
      <c r="I461" s="268">
        <f>ROUND(F461*Прил.10!$D$13,2)</f>
        <v/>
      </c>
      <c r="J461" s="268">
        <f>ROUND(I461*E461,2)</f>
        <v/>
      </c>
    </row>
    <row r="462" hidden="1" outlineLevel="1" ht="63.75" customFormat="1" customHeight="1" s="255">
      <c r="A462" s="357" t="n">
        <v>434</v>
      </c>
      <c r="B462" s="265" t="inlineStr">
        <is>
          <t>12.1.02.10-0098</t>
        </is>
      </c>
      <c r="C462" s="356" t="inlineStr">
        <is>
          <t>Мембрана профилированная гидроизоляционная, высота шипа 8 мм, прочность 300-600 Н, относительное удлинение при разрыве не менее 24-28 %, Г4</t>
        </is>
      </c>
      <c r="D462" s="357" t="inlineStr">
        <is>
          <t>м2</t>
        </is>
      </c>
      <c r="E462" s="267" t="n">
        <v>129.03</v>
      </c>
      <c r="F462" s="359" t="n">
        <v>15.71</v>
      </c>
      <c r="G462" s="268">
        <f>ROUND(E462*F462,2)</f>
        <v/>
      </c>
      <c r="H462" s="269">
        <f>G462/$G$1004</f>
        <v/>
      </c>
      <c r="I462" s="268">
        <f>ROUND(F462*Прил.10!$D$13,2)</f>
        <v/>
      </c>
      <c r="J462" s="268">
        <f>ROUND(I462*E462,2)</f>
        <v/>
      </c>
    </row>
    <row r="463" hidden="1" outlineLevel="1" ht="38.25" customFormat="1" customHeight="1" s="255">
      <c r="A463" s="357" t="n">
        <v>435</v>
      </c>
      <c r="B463" s="265" t="inlineStr">
        <is>
          <t>21.2.01.02-0141</t>
        </is>
      </c>
      <c r="C463" s="356" t="inlineStr">
        <is>
          <t>Провод неизолированный для воздушных линий электропередачи медные, марка М, сечение 4 мм2</t>
        </is>
      </c>
      <c r="D463" s="357" t="inlineStr">
        <is>
          <t>т</t>
        </is>
      </c>
      <c r="E463" s="267" t="n">
        <v>0.0206</v>
      </c>
      <c r="F463" s="359" t="n">
        <v>96440</v>
      </c>
      <c r="G463" s="268">
        <f>ROUND(E463*F463,2)</f>
        <v/>
      </c>
      <c r="H463" s="269">
        <f>G463/$G$1004</f>
        <v/>
      </c>
      <c r="I463" s="268">
        <f>ROUND(F463*Прил.10!$D$13,2)</f>
        <v/>
      </c>
      <c r="J463" s="268">
        <f>ROUND(I463*E463,2)</f>
        <v/>
      </c>
    </row>
    <row r="464" hidden="1" outlineLevel="1" ht="25.5" customFormat="1" customHeight="1" s="255">
      <c r="A464" s="357" t="n">
        <v>436</v>
      </c>
      <c r="B464" s="265" t="inlineStr">
        <is>
          <t>01.8.01.06-0004</t>
        </is>
      </c>
      <c r="C464" s="356" t="inlineStr">
        <is>
          <t>Сетка стеклотканевая 4х4 мм, плотность 160 г/м2</t>
        </is>
      </c>
      <c r="D464" s="357" t="inlineStr">
        <is>
          <t>м2</t>
        </is>
      </c>
      <c r="E464" s="267" t="n">
        <v>170.424</v>
      </c>
      <c r="F464" s="359" t="n">
        <v>11.61</v>
      </c>
      <c r="G464" s="268">
        <f>ROUND(E464*F464,2)</f>
        <v/>
      </c>
      <c r="H464" s="269">
        <f>G464/$G$1004</f>
        <v/>
      </c>
      <c r="I464" s="268">
        <f>ROUND(F464*Прил.10!$D$13,2)</f>
        <v/>
      </c>
      <c r="J464" s="268">
        <f>ROUND(I464*E464,2)</f>
        <v/>
      </c>
    </row>
    <row r="465" hidden="1" outlineLevel="1" ht="14.25" customFormat="1" customHeight="1" s="255">
      <c r="A465" s="357" t="n">
        <v>437</v>
      </c>
      <c r="B465" s="265" t="inlineStr">
        <is>
          <t>Прайс из СД ОП</t>
        </is>
      </c>
      <c r="C465" s="356" t="inlineStr">
        <is>
          <t xml:space="preserve">Огнезащитное покрытие "Плазас" </t>
        </is>
      </c>
      <c r="D465" s="357" t="inlineStr">
        <is>
          <t>кг</t>
        </is>
      </c>
      <c r="E465" s="267" t="n">
        <v>214.9</v>
      </c>
      <c r="F465" s="359" t="n">
        <v>9.109999999999999</v>
      </c>
      <c r="G465" s="268">
        <f>ROUND(E465*F465,2)</f>
        <v/>
      </c>
      <c r="H465" s="269">
        <f>G465/$G$1004</f>
        <v/>
      </c>
      <c r="I465" s="268">
        <f>ROUND(F465*Прил.10!$D$13,2)</f>
        <v/>
      </c>
      <c r="J465" s="268">
        <f>ROUND(I465*E465,2)</f>
        <v/>
      </c>
    </row>
    <row r="466" hidden="1" outlineLevel="1" ht="14.25" customFormat="1" customHeight="1" s="255">
      <c r="A466" s="357" t="n">
        <v>438</v>
      </c>
      <c r="B466" s="265" t="inlineStr">
        <is>
          <t>21.2.02.01-0024</t>
        </is>
      </c>
      <c r="C466" s="356" t="inlineStr">
        <is>
          <t>Провод антенный МГ, сечение 6 мм2</t>
        </is>
      </c>
      <c r="D466" s="357" t="inlineStr">
        <is>
          <t>т</t>
        </is>
      </c>
      <c r="E466" s="267" t="n">
        <v>0.02601</v>
      </c>
      <c r="F466" s="359" t="n">
        <v>74944.42999999999</v>
      </c>
      <c r="G466" s="268">
        <f>ROUND(E466*F466,2)</f>
        <v/>
      </c>
      <c r="H466" s="269">
        <f>G466/$G$1004</f>
        <v/>
      </c>
      <c r="I466" s="268">
        <f>ROUND(F466*Прил.10!$D$13,2)</f>
        <v/>
      </c>
      <c r="J466" s="268">
        <f>ROUND(I466*E466,2)</f>
        <v/>
      </c>
    </row>
    <row r="467" hidden="1" outlineLevel="1" ht="25.5" customFormat="1" customHeight="1" s="255">
      <c r="A467" s="357" t="n">
        <v>439</v>
      </c>
      <c r="B467" s="265" t="inlineStr">
        <is>
          <t>04.3.01.12-0002</t>
        </is>
      </c>
      <c r="C467" s="356" t="inlineStr">
        <is>
          <t>Раствор кладочный, цементно-известковый, М25</t>
        </is>
      </c>
      <c r="D467" s="357" t="inlineStr">
        <is>
          <t>м3</t>
        </is>
      </c>
      <c r="E467" s="267" t="n">
        <v>3.861</v>
      </c>
      <c r="F467" s="359" t="n">
        <v>497</v>
      </c>
      <c r="G467" s="268">
        <f>ROUND(E467*F467,2)</f>
        <v/>
      </c>
      <c r="H467" s="269">
        <f>G467/$G$1004</f>
        <v/>
      </c>
      <c r="I467" s="268">
        <f>ROUND(F467*Прил.10!$D$13,2)</f>
        <v/>
      </c>
      <c r="J467" s="268">
        <f>ROUND(I467*E467,2)</f>
        <v/>
      </c>
    </row>
    <row r="468" hidden="1" outlineLevel="1" ht="14.25" customFormat="1" customHeight="1" s="255">
      <c r="A468" s="357" t="n">
        <v>440</v>
      </c>
      <c r="B468" s="265" t="inlineStr">
        <is>
          <t>Прайс из СД ОП</t>
        </is>
      </c>
      <c r="C468" s="356" t="inlineStr">
        <is>
          <t xml:space="preserve">Соединитель мягкий СОМ 100-ОСА-063-Ц </t>
        </is>
      </c>
      <c r="D468" s="357" t="inlineStr">
        <is>
          <t>шт.</t>
        </is>
      </c>
      <c r="E468" s="267" t="n">
        <v>12</v>
      </c>
      <c r="F468" s="359" t="n">
        <v>158.48</v>
      </c>
      <c r="G468" s="268">
        <f>ROUND(E468*F468,2)</f>
        <v/>
      </c>
      <c r="H468" s="269">
        <f>G468/$G$1004</f>
        <v/>
      </c>
      <c r="I468" s="268">
        <f>ROUND(F468*Прил.10!$D$13,2)</f>
        <v/>
      </c>
      <c r="J468" s="268">
        <f>ROUND(I468*E468,2)</f>
        <v/>
      </c>
    </row>
    <row r="469" hidden="1" outlineLevel="1" ht="51" customFormat="1" customHeight="1" s="255">
      <c r="A469" s="357" t="n">
        <v>441</v>
      </c>
      <c r="B469" s="265" t="inlineStr">
        <is>
          <t>08.3.09.05-0041</t>
        </is>
      </c>
      <c r="C469" s="356" t="inlineStr">
        <is>
          <t>Профиль гнутый из оцинкованной стали толщиной 0,5-0,55 мм, сумма размеров равная ширине исходной заготовки 101-150 мм</t>
        </is>
      </c>
      <c r="D469" s="357" t="inlineStr">
        <is>
          <t>т</t>
        </is>
      </c>
      <c r="E469" s="267" t="n">
        <v>0.117562</v>
      </c>
      <c r="F469" s="359" t="n">
        <v>16147</v>
      </c>
      <c r="G469" s="268">
        <f>ROUND(E469*F469,2)</f>
        <v/>
      </c>
      <c r="H469" s="269">
        <f>G469/$G$1004</f>
        <v/>
      </c>
      <c r="I469" s="268">
        <f>ROUND(F469*Прил.10!$D$13,2)</f>
        <v/>
      </c>
      <c r="J469" s="268">
        <f>ROUND(I469*E469,2)</f>
        <v/>
      </c>
    </row>
    <row r="470" hidden="1" outlineLevel="1" ht="14.25" customFormat="1" customHeight="1" s="255">
      <c r="A470" s="357" t="n">
        <v>442</v>
      </c>
      <c r="B470" s="265" t="inlineStr">
        <is>
          <t>Прайс из СД ОП</t>
        </is>
      </c>
      <c r="C470" s="356" t="inlineStr">
        <is>
          <t xml:space="preserve">Сетка защитная СЕБ-ОСА-063-С </t>
        </is>
      </c>
      <c r="D470" s="357" t="inlineStr">
        <is>
          <t>шт.</t>
        </is>
      </c>
      <c r="E470" s="267" t="n">
        <v>6</v>
      </c>
      <c r="F470" s="359" t="n">
        <v>313.3</v>
      </c>
      <c r="G470" s="268">
        <f>ROUND(E470*F470,2)</f>
        <v/>
      </c>
      <c r="H470" s="269">
        <f>G470/$G$1004</f>
        <v/>
      </c>
      <c r="I470" s="268">
        <f>ROUND(F470*Прил.10!$D$13,2)</f>
        <v/>
      </c>
      <c r="J470" s="268">
        <f>ROUND(I470*E470,2)</f>
        <v/>
      </c>
    </row>
    <row r="471" hidden="1" outlineLevel="1" ht="25.5" customFormat="1" customHeight="1" s="255">
      <c r="A471" s="357" t="n">
        <v>443</v>
      </c>
      <c r="B471" s="265" t="inlineStr">
        <is>
          <t>Прайс из СД ОП</t>
        </is>
      </c>
      <c r="C471" s="356" t="inlineStr">
        <is>
          <t xml:space="preserve">Клапан воздушный ГЕРМИК-С-Н-400х900-1*NM230А-1УХЛ2 </t>
        </is>
      </c>
      <c r="D471" s="357" t="inlineStr">
        <is>
          <t>шт.</t>
        </is>
      </c>
      <c r="E471" s="267" t="n">
        <v>1</v>
      </c>
      <c r="F471" s="359" t="n">
        <v>1873.28</v>
      </c>
      <c r="G471" s="268">
        <f>ROUND(E471*F471,2)</f>
        <v/>
      </c>
      <c r="H471" s="269">
        <f>G471/$G$1004</f>
        <v/>
      </c>
      <c r="I471" s="268">
        <f>ROUND(F471*Прил.10!$D$13,2)</f>
        <v/>
      </c>
      <c r="J471" s="268">
        <f>ROUND(I471*E471,2)</f>
        <v/>
      </c>
    </row>
    <row r="472" hidden="1" outlineLevel="1" ht="14.25" customFormat="1" customHeight="1" s="255">
      <c r="A472" s="357" t="n">
        <v>444</v>
      </c>
      <c r="B472" s="265" t="inlineStr">
        <is>
          <t>Прайс из СД ОП</t>
        </is>
      </c>
      <c r="C472" s="356" t="inlineStr">
        <is>
          <t xml:space="preserve">Комплект ТКТ </t>
        </is>
      </c>
      <c r="D472" s="357" t="inlineStr">
        <is>
          <t>шт.</t>
        </is>
      </c>
      <c r="E472" s="267" t="n">
        <v>27</v>
      </c>
      <c r="F472" s="359" t="n">
        <v>69.23999999999999</v>
      </c>
      <c r="G472" s="268">
        <f>ROUND(E472*F472,2)</f>
        <v/>
      </c>
      <c r="H472" s="269">
        <f>G472/$G$1004</f>
        <v/>
      </c>
      <c r="I472" s="268">
        <f>ROUND(F472*Прил.10!$D$13,2)</f>
        <v/>
      </c>
      <c r="J472" s="268">
        <f>ROUND(I472*E472,2)</f>
        <v/>
      </c>
    </row>
    <row r="473" hidden="1" outlineLevel="1" ht="14.25" customFormat="1" customHeight="1" s="255">
      <c r="A473" s="357" t="n">
        <v>445</v>
      </c>
      <c r="B473" s="265" t="inlineStr">
        <is>
          <t>14.5.01.10-0003</t>
        </is>
      </c>
      <c r="C473" s="356" t="inlineStr">
        <is>
          <t>Пена монтажная</t>
        </is>
      </c>
      <c r="D473" s="357" t="inlineStr">
        <is>
          <t>л</t>
        </is>
      </c>
      <c r="E473" s="267" t="n">
        <v>39.816</v>
      </c>
      <c r="F473" s="359" t="n">
        <v>46.86</v>
      </c>
      <c r="G473" s="268">
        <f>ROUND(E473*F473,2)</f>
        <v/>
      </c>
      <c r="H473" s="269">
        <f>G473/$G$1004</f>
        <v/>
      </c>
      <c r="I473" s="268">
        <f>ROUND(F473*Прил.10!$D$13,2)</f>
        <v/>
      </c>
      <c r="J473" s="268">
        <f>ROUND(I473*E473,2)</f>
        <v/>
      </c>
    </row>
    <row r="474" hidden="1" outlineLevel="1" ht="14.25" customFormat="1" customHeight="1" s="255">
      <c r="A474" s="357" t="n">
        <v>446</v>
      </c>
      <c r="B474" s="265" t="inlineStr">
        <is>
          <t>01.7.11.07-0041</t>
        </is>
      </c>
      <c r="C474" s="356" t="inlineStr">
        <is>
          <t>Электроды сварочные Э55, диаметр 4 мм</t>
        </is>
      </c>
      <c r="D474" s="357" t="inlineStr">
        <is>
          <t>т</t>
        </is>
      </c>
      <c r="E474" s="267" t="n">
        <v>0.1468</v>
      </c>
      <c r="F474" s="359" t="n">
        <v>12650</v>
      </c>
      <c r="G474" s="268">
        <f>ROUND(E474*F474,2)</f>
        <v/>
      </c>
      <c r="H474" s="269">
        <f>G474/$G$1004</f>
        <v/>
      </c>
      <c r="I474" s="268">
        <f>ROUND(F474*Прил.10!$D$13,2)</f>
        <v/>
      </c>
      <c r="J474" s="268">
        <f>ROUND(I474*E474,2)</f>
        <v/>
      </c>
    </row>
    <row r="475" hidden="1" outlineLevel="1" ht="38.25" customFormat="1" customHeight="1" s="255">
      <c r="A475" s="357" t="n">
        <v>447</v>
      </c>
      <c r="B475" s="265" t="inlineStr">
        <is>
          <t>22.2.02.08-0001</t>
        </is>
      </c>
      <c r="C475" s="356" t="inlineStr">
        <is>
          <t>Кронштейн крепежный с шайбой и прокладкой ККУ180, толщина металла 2 мм</t>
        </is>
      </c>
      <c r="D475" s="357" t="inlineStr">
        <is>
          <t>шт</t>
        </is>
      </c>
      <c r="E475" s="267" t="n">
        <v>170</v>
      </c>
      <c r="F475" s="359" t="n">
        <v>10.91</v>
      </c>
      <c r="G475" s="268">
        <f>ROUND(E475*F475,2)</f>
        <v/>
      </c>
      <c r="H475" s="269">
        <f>G475/$G$1004</f>
        <v/>
      </c>
      <c r="I475" s="268">
        <f>ROUND(F475*Прил.10!$D$13,2)</f>
        <v/>
      </c>
      <c r="J475" s="268">
        <f>ROUND(I475*E475,2)</f>
        <v/>
      </c>
    </row>
    <row r="476" hidden="1" outlineLevel="1" ht="25.5" customFormat="1" customHeight="1" s="255">
      <c r="A476" s="357" t="n">
        <v>448</v>
      </c>
      <c r="B476" s="265" t="inlineStr">
        <is>
          <t>Прайс из СД ОП</t>
        </is>
      </c>
      <c r="C476" s="356" t="inlineStr">
        <is>
          <t>Контактор электромагнитный ПМЛ-5160ДМ-УХЛ4Б</t>
        </is>
      </c>
      <c r="D476" s="357" t="inlineStr">
        <is>
          <t>шт.</t>
        </is>
      </c>
      <c r="E476" s="267" t="n">
        <v>4</v>
      </c>
      <c r="F476" s="359" t="n">
        <v>463.5</v>
      </c>
      <c r="G476" s="268">
        <f>ROUND(E476*F476,2)</f>
        <v/>
      </c>
      <c r="H476" s="269">
        <f>G476/$G$1004</f>
        <v/>
      </c>
      <c r="I476" s="268">
        <f>ROUND(F476*Прил.10!$D$13,2)</f>
        <v/>
      </c>
      <c r="J476" s="268">
        <f>ROUND(I476*E476,2)</f>
        <v/>
      </c>
    </row>
    <row r="477" hidden="1" outlineLevel="1" ht="14.25" customFormat="1" customHeight="1" s="255">
      <c r="A477" s="357" t="n">
        <v>449</v>
      </c>
      <c r="B477" s="265" t="inlineStr">
        <is>
          <t>Прайс из СД ОП</t>
        </is>
      </c>
      <c r="C477" s="356" t="inlineStr">
        <is>
          <t>Комплект виброизоляторов КИВ-6</t>
        </is>
      </c>
      <c r="D477" s="357" t="inlineStr">
        <is>
          <t>шт.</t>
        </is>
      </c>
      <c r="E477" s="267" t="n">
        <v>6</v>
      </c>
      <c r="F477" s="359" t="n">
        <v>307.38</v>
      </c>
      <c r="G477" s="268">
        <f>ROUND(E477*F477,2)</f>
        <v/>
      </c>
      <c r="H477" s="269">
        <f>G477/$G$1004</f>
        <v/>
      </c>
      <c r="I477" s="268">
        <f>ROUND(F477*Прил.10!$D$13,2)</f>
        <v/>
      </c>
      <c r="J477" s="268">
        <f>ROUND(I477*E477,2)</f>
        <v/>
      </c>
    </row>
    <row r="478" hidden="1" outlineLevel="1" ht="14.25" customFormat="1" customHeight="1" s="255">
      <c r="A478" s="357" t="n">
        <v>450</v>
      </c>
      <c r="B478" s="265" t="inlineStr">
        <is>
          <t>Прайс из СД ОП</t>
        </is>
      </c>
      <c r="C478" s="356" t="inlineStr">
        <is>
          <t>Решетка декоративная Р50-1100х820-С</t>
        </is>
      </c>
      <c r="D478" s="357" t="inlineStr">
        <is>
          <t>шт.</t>
        </is>
      </c>
      <c r="E478" s="267" t="n">
        <v>2</v>
      </c>
      <c r="F478" s="359" t="n">
        <v>908.29</v>
      </c>
      <c r="G478" s="268">
        <f>ROUND(E478*F478,2)</f>
        <v/>
      </c>
      <c r="H478" s="269">
        <f>G478/$G$1004</f>
        <v/>
      </c>
      <c r="I478" s="268">
        <f>ROUND(F478*Прил.10!$D$13,2)</f>
        <v/>
      </c>
      <c r="J478" s="268">
        <f>ROUND(I478*E478,2)</f>
        <v/>
      </c>
    </row>
    <row r="479" hidden="1" outlineLevel="1" ht="14.25" customFormat="1" customHeight="1" s="255">
      <c r="A479" s="357" t="n">
        <v>451</v>
      </c>
      <c r="B479" s="265" t="inlineStr">
        <is>
          <t>Прайс из СД ОП</t>
        </is>
      </c>
      <c r="C479" s="356" t="inlineStr">
        <is>
          <t xml:space="preserve">Решетка декоративная Р50-1100х820-С </t>
        </is>
      </c>
      <c r="D479" s="357" t="inlineStr">
        <is>
          <t>шт.</t>
        </is>
      </c>
      <c r="E479" s="267" t="n">
        <v>2</v>
      </c>
      <c r="F479" s="359" t="n">
        <v>908.29</v>
      </c>
      <c r="G479" s="268">
        <f>ROUND(E479*F479,2)</f>
        <v/>
      </c>
      <c r="H479" s="269">
        <f>G479/$G$1004</f>
        <v/>
      </c>
      <c r="I479" s="268">
        <f>ROUND(F479*Прил.10!$D$13,2)</f>
        <v/>
      </c>
      <c r="J479" s="268">
        <f>ROUND(I479*E479,2)</f>
        <v/>
      </c>
    </row>
    <row r="480" hidden="1" outlineLevel="1" ht="63.75" customFormat="1" customHeight="1" s="255">
      <c r="A480" s="357" t="n">
        <v>452</v>
      </c>
      <c r="B480" s="265" t="inlineStr">
        <is>
          <t>23.5.02.02-0103</t>
        </is>
      </c>
      <c r="C480" s="356" t="inlineStr">
        <is>
          <t>Трубы стальные электросварные прямошовные со снятой фаской из стали марок БСт2кп-БСт4кп и БСт2пс-БСт4пс, наружный диаметр 325 мм, толщина стенки 9 мм</t>
        </is>
      </c>
      <c r="D480" s="357" t="inlineStr">
        <is>
          <t>м</t>
        </is>
      </c>
      <c r="E480" s="267" t="n">
        <v>3.8</v>
      </c>
      <c r="F480" s="359" t="n">
        <v>477.72</v>
      </c>
      <c r="G480" s="268">
        <f>ROUND(E480*F480,2)</f>
        <v/>
      </c>
      <c r="H480" s="269">
        <f>G480/$G$1004</f>
        <v/>
      </c>
      <c r="I480" s="268">
        <f>ROUND(F480*Прил.10!$D$13,2)</f>
        <v/>
      </c>
      <c r="J480" s="268">
        <f>ROUND(I480*E480,2)</f>
        <v/>
      </c>
    </row>
    <row r="481" hidden="1" outlineLevel="1" ht="14.25" customFormat="1" customHeight="1" s="255">
      <c r="A481" s="357" t="n">
        <v>453</v>
      </c>
      <c r="B481" s="265" t="inlineStr">
        <is>
          <t>Прайс из СД ОП</t>
        </is>
      </c>
      <c r="C481" s="356" t="inlineStr">
        <is>
          <t xml:space="preserve">Зажим крепёжный СР.3-50 </t>
        </is>
      </c>
      <c r="D481" s="357" t="inlineStr">
        <is>
          <t>шт.</t>
        </is>
      </c>
      <c r="E481" s="267" t="n">
        <v>360</v>
      </c>
      <c r="F481" s="359" t="n">
        <v>5</v>
      </c>
      <c r="G481" s="268">
        <f>ROUND(E481*F481,2)</f>
        <v/>
      </c>
      <c r="H481" s="269">
        <f>G481/$G$1004</f>
        <v/>
      </c>
      <c r="I481" s="268">
        <f>ROUND(F481*Прил.10!$D$13,2)</f>
        <v/>
      </c>
      <c r="J481" s="268">
        <f>ROUND(I481*E481,2)</f>
        <v/>
      </c>
    </row>
    <row r="482" hidden="1" outlineLevel="1" ht="14.25" customFormat="1" customHeight="1" s="255">
      <c r="A482" s="357" t="n">
        <v>454</v>
      </c>
      <c r="B482" s="265" t="inlineStr">
        <is>
          <t>01.7.20.08-0071</t>
        </is>
      </c>
      <c r="C482" s="356" t="inlineStr">
        <is>
          <t>Канат пеньковый пропитанный</t>
        </is>
      </c>
      <c r="D482" s="357" t="inlineStr">
        <is>
          <t>т</t>
        </is>
      </c>
      <c r="E482" s="267" t="n">
        <v>0.0464</v>
      </c>
      <c r="F482" s="359" t="n">
        <v>37900</v>
      </c>
      <c r="G482" s="268">
        <f>ROUND(E482*F482,2)</f>
        <v/>
      </c>
      <c r="H482" s="269">
        <f>G482/$G$1004</f>
        <v/>
      </c>
      <c r="I482" s="268">
        <f>ROUND(F482*Прил.10!$D$13,2)</f>
        <v/>
      </c>
      <c r="J482" s="268">
        <f>ROUND(I482*E482,2)</f>
        <v/>
      </c>
    </row>
    <row r="483" hidden="1" outlineLevel="1" ht="25.5" customFormat="1" customHeight="1" s="255">
      <c r="A483" s="357" t="n">
        <v>455</v>
      </c>
      <c r="B483" s="265" t="inlineStr">
        <is>
          <t>08.3.05.05-0051</t>
        </is>
      </c>
      <c r="C483" s="356" t="inlineStr">
        <is>
          <t>Сталь листовая оцинкованная, толщина 0,5 мм</t>
        </is>
      </c>
      <c r="D483" s="357" t="inlineStr">
        <is>
          <t>т</t>
        </is>
      </c>
      <c r="E483" s="267" t="n">
        <v>0.1564</v>
      </c>
      <c r="F483" s="359" t="n">
        <v>11200</v>
      </c>
      <c r="G483" s="268">
        <f>ROUND(E483*F483,2)</f>
        <v/>
      </c>
      <c r="H483" s="269">
        <f>G483/$G$1004</f>
        <v/>
      </c>
      <c r="I483" s="268">
        <f>ROUND(F483*Прил.10!$D$13,2)</f>
        <v/>
      </c>
      <c r="J483" s="268">
        <f>ROUND(I483*E483,2)</f>
        <v/>
      </c>
    </row>
    <row r="484" hidden="1" outlineLevel="1" ht="51" customFormat="1" customHeight="1" s="255">
      <c r="A484" s="357" t="n">
        <v>456</v>
      </c>
      <c r="B484" s="265" t="inlineStr">
        <is>
          <t>23.2.02.02-0014</t>
        </is>
      </c>
      <c r="C484" s="356" t="inlineStr">
        <is>
          <t>Трубы медные круглые тянутые и холоднокатаные (марки меди М2, М3), наружным диаметром: 15,88 мм, толщиной стенки 1,0 мм</t>
        </is>
      </c>
      <c r="D484" s="357" t="inlineStr">
        <is>
          <t>м</t>
        </is>
      </c>
      <c r="E484" s="267" t="n">
        <v>26</v>
      </c>
      <c r="F484" s="359" t="n">
        <v>66.94</v>
      </c>
      <c r="G484" s="268">
        <f>ROUND(E484*F484,2)</f>
        <v/>
      </c>
      <c r="H484" s="269">
        <f>G484/$G$1004</f>
        <v/>
      </c>
      <c r="I484" s="268">
        <f>ROUND(F484*Прил.10!$D$13,2)</f>
        <v/>
      </c>
      <c r="J484" s="268">
        <f>ROUND(I484*E484,2)</f>
        <v/>
      </c>
    </row>
    <row r="485" hidden="1" outlineLevel="1" ht="25.5" customFormat="1" customHeight="1" s="255">
      <c r="A485" s="357" t="n">
        <v>457</v>
      </c>
      <c r="B485" s="265" t="inlineStr">
        <is>
          <t>12.1.02.10-0096</t>
        </is>
      </c>
      <c r="C485" s="356" t="inlineStr">
        <is>
          <t>Мембрана однослойная ветрозащитная гидроизоляционная Tyvek Housewrap</t>
        </is>
      </c>
      <c r="D485" s="357" t="inlineStr">
        <is>
          <t>10 м2</t>
        </is>
      </c>
      <c r="E485" s="267" t="n">
        <v>6.84</v>
      </c>
      <c r="F485" s="359" t="n">
        <v>253</v>
      </c>
      <c r="G485" s="268">
        <f>ROUND(E485*F485,2)</f>
        <v/>
      </c>
      <c r="H485" s="269">
        <f>G485/$G$1004</f>
        <v/>
      </c>
      <c r="I485" s="268">
        <f>ROUND(F485*Прил.10!$D$13,2)</f>
        <v/>
      </c>
      <c r="J485" s="268">
        <f>ROUND(I485*E485,2)</f>
        <v/>
      </c>
    </row>
    <row r="486" hidden="1" outlineLevel="1" ht="38.25" customFormat="1" customHeight="1" s="255">
      <c r="A486" s="357" t="n">
        <v>458</v>
      </c>
      <c r="B486" s="265" t="inlineStr">
        <is>
          <t>14.5.01.06-0017</t>
        </is>
      </c>
      <c r="C486" s="356" t="inlineStr">
        <is>
          <t>Герметик однокомпонентный полиуретановый тип КАТ для ликвидации протечек с большим притоком воды</t>
        </is>
      </c>
      <c r="D486" s="357" t="inlineStr">
        <is>
          <t>кг</t>
        </is>
      </c>
      <c r="E486" s="267" t="n">
        <v>20</v>
      </c>
      <c r="F486" s="359" t="n">
        <v>85.43000000000001</v>
      </c>
      <c r="G486" s="268">
        <f>ROUND(E486*F486,2)</f>
        <v/>
      </c>
      <c r="H486" s="269">
        <f>G486/$G$1004</f>
        <v/>
      </c>
      <c r="I486" s="268">
        <f>ROUND(F486*Прил.10!$D$13,2)</f>
        <v/>
      </c>
      <c r="J486" s="268">
        <f>ROUND(I486*E486,2)</f>
        <v/>
      </c>
    </row>
    <row r="487" hidden="1" outlineLevel="1" ht="25.5" customFormat="1" customHeight="1" s="255">
      <c r="A487" s="357" t="n">
        <v>459</v>
      </c>
      <c r="B487" s="265" t="inlineStr">
        <is>
          <t>19.1.01.03-0071</t>
        </is>
      </c>
      <c r="C487" s="356" t="inlineStr">
        <is>
          <t>Воздуховоды из оцинкованной стали, толщина 0,5 мм, диаметр до 200 мм</t>
        </is>
      </c>
      <c r="D487" s="357" t="inlineStr">
        <is>
          <t>м2</t>
        </is>
      </c>
      <c r="E487" s="267" t="n">
        <v>17.6311</v>
      </c>
      <c r="F487" s="359" t="n">
        <v>96.29000000000001</v>
      </c>
      <c r="G487" s="268">
        <f>ROUND(E487*F487,2)</f>
        <v/>
      </c>
      <c r="H487" s="269">
        <f>G487/$G$1004</f>
        <v/>
      </c>
      <c r="I487" s="268">
        <f>ROUND(F487*Прил.10!$D$13,2)</f>
        <v/>
      </c>
      <c r="J487" s="268">
        <f>ROUND(I487*E487,2)</f>
        <v/>
      </c>
    </row>
    <row r="488" hidden="1" outlineLevel="1" ht="25.5" customFormat="1" customHeight="1" s="255">
      <c r="A488" s="357" t="n">
        <v>460</v>
      </c>
      <c r="B488" s="265" t="inlineStr">
        <is>
          <t>Прайс из СД ОП</t>
        </is>
      </c>
      <c r="C488" s="356" t="inlineStr">
        <is>
          <t>Соединитель мягкий СОМ 100-ВРАН-80Б-Ц</t>
        </is>
      </c>
      <c r="D488" s="357" t="inlineStr">
        <is>
          <t>шт.</t>
        </is>
      </c>
      <c r="E488" s="267" t="n">
        <v>4</v>
      </c>
      <c r="F488" s="359" t="n">
        <v>415.33</v>
      </c>
      <c r="G488" s="268">
        <f>ROUND(E488*F488,2)</f>
        <v/>
      </c>
      <c r="H488" s="269">
        <f>G488/$G$1004</f>
        <v/>
      </c>
      <c r="I488" s="268">
        <f>ROUND(F488*Прил.10!$D$13,2)</f>
        <v/>
      </c>
      <c r="J488" s="268">
        <f>ROUND(I488*E488,2)</f>
        <v/>
      </c>
    </row>
    <row r="489" hidden="1" outlineLevel="1" ht="25.5" customFormat="1" customHeight="1" s="255">
      <c r="A489" s="357" t="n">
        <v>461</v>
      </c>
      <c r="B489" s="265" t="inlineStr">
        <is>
          <t>Прайс из СД ОП</t>
        </is>
      </c>
      <c r="C489" s="356" t="inlineStr">
        <is>
          <t xml:space="preserve">Клапан воздушный универсальный РЕГУЛЯР-Л-600х600-Н-1хручка-У2 </t>
        </is>
      </c>
      <c r="D489" s="357" t="inlineStr">
        <is>
          <t>шт.</t>
        </is>
      </c>
      <c r="E489" s="267" t="n">
        <v>4</v>
      </c>
      <c r="F489" s="359" t="n">
        <v>406.09</v>
      </c>
      <c r="G489" s="268">
        <f>ROUND(E489*F489,2)</f>
        <v/>
      </c>
      <c r="H489" s="269">
        <f>G489/$G$1004</f>
        <v/>
      </c>
      <c r="I489" s="268">
        <f>ROUND(F489*Прил.10!$D$13,2)</f>
        <v/>
      </c>
      <c r="J489" s="268">
        <f>ROUND(I489*E489,2)</f>
        <v/>
      </c>
    </row>
    <row r="490" hidden="1" outlineLevel="1" ht="25.5" customFormat="1" customHeight="1" s="255">
      <c r="A490" s="357" t="n">
        <v>462</v>
      </c>
      <c r="B490" s="265" t="inlineStr">
        <is>
          <t>Прайс из СД ОП</t>
        </is>
      </c>
      <c r="C490" s="356" t="inlineStr">
        <is>
          <t>Кабельный ввод для светильников ВЭЛ-51-СД.Л.10 ВК-Н-ВЭЛ4Т-G1/2-Exd-G1/2</t>
        </is>
      </c>
      <c r="D490" s="357" t="inlineStr">
        <is>
          <t>шт.</t>
        </is>
      </c>
      <c r="E490" s="267" t="n">
        <v>15</v>
      </c>
      <c r="F490" s="359" t="n">
        <v>107.54</v>
      </c>
      <c r="G490" s="268">
        <f>ROUND(E490*F490,2)</f>
        <v/>
      </c>
      <c r="H490" s="269">
        <f>G490/$G$1004</f>
        <v/>
      </c>
      <c r="I490" s="268">
        <f>ROUND(F490*Прил.10!$D$13,2)</f>
        <v/>
      </c>
      <c r="J490" s="268">
        <f>ROUND(I490*E490,2)</f>
        <v/>
      </c>
    </row>
    <row r="491" hidden="1" outlineLevel="1" ht="25.5" customFormat="1" customHeight="1" s="255">
      <c r="A491" s="357" t="n">
        <v>463</v>
      </c>
      <c r="B491" s="265" t="inlineStr">
        <is>
          <t>Прайс из СД ОП</t>
        </is>
      </c>
      <c r="C491" s="356" t="inlineStr">
        <is>
          <t xml:space="preserve">Соединитель мягкий СОМ 400-ВРАН-071А-Ц </t>
        </is>
      </c>
      <c r="D491" s="357" t="inlineStr">
        <is>
          <t>шт.</t>
        </is>
      </c>
      <c r="E491" s="267" t="n">
        <v>1</v>
      </c>
      <c r="F491" s="359" t="n">
        <v>1612.3</v>
      </c>
      <c r="G491" s="268">
        <f>ROUND(E491*F491,2)</f>
        <v/>
      </c>
      <c r="H491" s="269">
        <f>G491/$G$1004</f>
        <v/>
      </c>
      <c r="I491" s="268">
        <f>ROUND(F491*Прил.10!$D$13,2)</f>
        <v/>
      </c>
      <c r="J491" s="268">
        <f>ROUND(I491*E491,2)</f>
        <v/>
      </c>
    </row>
    <row r="492" hidden="1" outlineLevel="1" ht="38.25" customFormat="1" customHeight="1" s="255">
      <c r="A492" s="357" t="n">
        <v>464</v>
      </c>
      <c r="B492" s="265" t="inlineStr">
        <is>
          <t>08.4.03.03-0031</t>
        </is>
      </c>
      <c r="C492" s="356" t="inlineStr">
        <is>
          <t>Сталь арматурная, горячекатаная, периодического профиля, класс А-III, диаметр 10 мм (К4)</t>
        </is>
      </c>
      <c r="D492" s="357" t="inlineStr">
        <is>
          <t>т</t>
        </is>
      </c>
      <c r="E492" s="267" t="n">
        <v>0.19824</v>
      </c>
      <c r="F492" s="359" t="n">
        <v>8014.15</v>
      </c>
      <c r="G492" s="268">
        <f>ROUND(E492*F492,2)</f>
        <v/>
      </c>
      <c r="H492" s="269">
        <f>G492/$G$1004</f>
        <v/>
      </c>
      <c r="I492" s="268">
        <f>ROUND(F492*Прил.10!$D$13,2)</f>
        <v/>
      </c>
      <c r="J492" s="268">
        <f>ROUND(I492*E492,2)</f>
        <v/>
      </c>
    </row>
    <row r="493" hidden="1" outlineLevel="1" ht="63.75" customFormat="1" customHeight="1" s="255">
      <c r="A493" s="357" t="n">
        <v>465</v>
      </c>
      <c r="B493" s="265" t="inlineStr">
        <is>
          <t>14.5.11.03-0004</t>
        </is>
      </c>
      <c r="C493" s="356" t="inlineStr">
        <is>
          <t>Смесь сухая шпатлевочная на основе гипса, универсальная с полимерными добавками, крупность заполнителя не более 0,2 мм, прочность на изгиб не менее 1,0 МПа</t>
        </is>
      </c>
      <c r="D493" s="357" t="inlineStr">
        <is>
          <t>кг</t>
        </is>
      </c>
      <c r="E493" s="267" t="n">
        <v>580.6</v>
      </c>
      <c r="F493" s="359" t="n">
        <v>2.7</v>
      </c>
      <c r="G493" s="268">
        <f>ROUND(E493*F493,2)</f>
        <v/>
      </c>
      <c r="H493" s="269">
        <f>G493/$G$1004</f>
        <v/>
      </c>
      <c r="I493" s="268">
        <f>ROUND(F493*Прил.10!$D$13,2)</f>
        <v/>
      </c>
      <c r="J493" s="268">
        <f>ROUND(I493*E493,2)</f>
        <v/>
      </c>
    </row>
    <row r="494" hidden="1" outlineLevel="1" ht="25.5" customFormat="1" customHeight="1" s="255">
      <c r="A494" s="357" t="n">
        <v>466</v>
      </c>
      <c r="B494" s="265" t="inlineStr">
        <is>
          <t>08.4.03.02-0005</t>
        </is>
      </c>
      <c r="C494" s="356" t="inlineStr">
        <is>
          <t>Сталь арматурная, горячекатаная, гладкая, класс А-I, диаметр 14 мм</t>
        </is>
      </c>
      <c r="D494" s="357" t="inlineStr">
        <is>
          <t>т</t>
        </is>
      </c>
      <c r="E494" s="267" t="n">
        <v>0.2516</v>
      </c>
      <c r="F494" s="359" t="n">
        <v>6210</v>
      </c>
      <c r="G494" s="268">
        <f>ROUND(E494*F494,2)</f>
        <v/>
      </c>
      <c r="H494" s="269">
        <f>G494/$G$1004</f>
        <v/>
      </c>
      <c r="I494" s="268">
        <f>ROUND(F494*Прил.10!$D$13,2)</f>
        <v/>
      </c>
      <c r="J494" s="268">
        <f>ROUND(I494*E494,2)</f>
        <v/>
      </c>
    </row>
    <row r="495" hidden="1" outlineLevel="1" ht="25.5" customFormat="1" customHeight="1" s="255">
      <c r="A495" s="357" t="n">
        <v>467</v>
      </c>
      <c r="B495" s="265" t="inlineStr">
        <is>
          <t>01.7.06.12-0005</t>
        </is>
      </c>
      <c r="C495" s="356" t="inlineStr">
        <is>
          <t>Уплотнитель терморазделяющая полоса  45ммх30м</t>
        </is>
      </c>
      <c r="D495" s="357" t="inlineStr">
        <is>
          <t>100 м</t>
        </is>
      </c>
      <c r="E495" s="267" t="n">
        <v>10.8</v>
      </c>
      <c r="F495" s="359" t="n">
        <v>143.98</v>
      </c>
      <c r="G495" s="268">
        <f>ROUND(E495*F495,2)</f>
        <v/>
      </c>
      <c r="H495" s="269">
        <f>G495/$G$1004</f>
        <v/>
      </c>
      <c r="I495" s="268">
        <f>ROUND(F495*Прил.10!$D$13,2)</f>
        <v/>
      </c>
      <c r="J495" s="268">
        <f>ROUND(I495*E495,2)</f>
        <v/>
      </c>
    </row>
    <row r="496" hidden="1" outlineLevel="1" ht="25.5" customFormat="1" customHeight="1" s="255">
      <c r="A496" s="357" t="n">
        <v>468</v>
      </c>
      <c r="B496" s="265" t="inlineStr">
        <is>
          <t>08.3.08.02-0064</t>
        </is>
      </c>
      <c r="C496" s="356" t="inlineStr">
        <is>
          <t>Сталь угловая равнополочная, марка стали: Ст3пс, размером 70х70 мм</t>
        </is>
      </c>
      <c r="D496" s="357" t="inlineStr">
        <is>
          <t>т</t>
        </is>
      </c>
      <c r="E496" s="267" t="n">
        <v>0.23328</v>
      </c>
      <c r="F496" s="359" t="n">
        <v>6630.54</v>
      </c>
      <c r="G496" s="268">
        <f>ROUND(E496*F496,2)</f>
        <v/>
      </c>
      <c r="H496" s="269">
        <f>G496/$G$1004</f>
        <v/>
      </c>
      <c r="I496" s="268">
        <f>ROUND(F496*Прил.10!$D$13,2)</f>
        <v/>
      </c>
      <c r="J496" s="268">
        <f>ROUND(I496*E496,2)</f>
        <v/>
      </c>
    </row>
    <row r="497" hidden="1" outlineLevel="1" ht="38.25" customFormat="1" customHeight="1" s="255">
      <c r="A497" s="357" t="n">
        <v>469</v>
      </c>
      <c r="B497" s="265" t="inlineStr">
        <is>
          <t>11.1.03.06-0087</t>
        </is>
      </c>
      <c r="C497" s="356" t="inlineStr">
        <is>
          <t>Доска обрезная, хвойных пород, ширина 75-150 мм, толщина 25 мм, длина 4-6,5 м, сорт III</t>
        </is>
      </c>
      <c r="D497" s="357" t="inlineStr">
        <is>
          <t>м3</t>
        </is>
      </c>
      <c r="E497" s="267" t="n">
        <v>1.4039</v>
      </c>
      <c r="F497" s="359" t="n">
        <v>1100</v>
      </c>
      <c r="G497" s="268">
        <f>ROUND(E497*F497,2)</f>
        <v/>
      </c>
      <c r="H497" s="269">
        <f>G497/$G$1004</f>
        <v/>
      </c>
      <c r="I497" s="268">
        <f>ROUND(F497*Прил.10!$D$13,2)</f>
        <v/>
      </c>
      <c r="J497" s="268">
        <f>ROUND(I497*E497,2)</f>
        <v/>
      </c>
    </row>
    <row r="498" hidden="1" outlineLevel="1" ht="25.5" customFormat="1" customHeight="1" s="255">
      <c r="A498" s="357" t="n">
        <v>470</v>
      </c>
      <c r="B498" s="265" t="inlineStr">
        <is>
          <t>21.1.06.10-0391</t>
        </is>
      </c>
      <c r="C498" s="356" t="inlineStr">
        <is>
          <t>Кабель силовой с медными жилами ВВГнг(A)-LS 4х1,5ок(N)-1000</t>
        </is>
      </c>
      <c r="D498" s="357" t="inlineStr">
        <is>
          <t>1000 м</t>
        </is>
      </c>
      <c r="E498" s="267" t="n">
        <v>0.11628</v>
      </c>
      <c r="F498" s="359" t="n">
        <v>13169.99</v>
      </c>
      <c r="G498" s="268">
        <f>ROUND(E498*F498,2)</f>
        <v/>
      </c>
      <c r="H498" s="269">
        <f>G498/$G$1004</f>
        <v/>
      </c>
      <c r="I498" s="268">
        <f>ROUND(F498*Прил.10!$D$13,2)</f>
        <v/>
      </c>
      <c r="J498" s="268">
        <f>ROUND(I498*E498,2)</f>
        <v/>
      </c>
    </row>
    <row r="499" hidden="1" outlineLevel="1" ht="38.25" customFormat="1" customHeight="1" s="255">
      <c r="A499" s="357" t="n">
        <v>471</v>
      </c>
      <c r="B499" s="265" t="inlineStr">
        <is>
          <t>04.1.02.05-0026</t>
        </is>
      </c>
      <c r="C499" s="356" t="inlineStr">
        <is>
          <t>Смеси бетонные тяжелого бетона (БСТ), крупность заполнителя 10 мм, класс В15 (М200)</t>
        </is>
      </c>
      <c r="D499" s="357" t="inlineStr">
        <is>
          <t>м3</t>
        </is>
      </c>
      <c r="E499" s="267" t="n">
        <v>2.2821</v>
      </c>
      <c r="F499" s="359" t="n">
        <v>665</v>
      </c>
      <c r="G499" s="268">
        <f>ROUND(E499*F499,2)</f>
        <v/>
      </c>
      <c r="H499" s="269">
        <f>G499/$G$1004</f>
        <v/>
      </c>
      <c r="I499" s="268">
        <f>ROUND(F499*Прил.10!$D$13,2)</f>
        <v/>
      </c>
      <c r="J499" s="268">
        <f>ROUND(I499*E499,2)</f>
        <v/>
      </c>
    </row>
    <row r="500" hidden="1" outlineLevel="1" ht="38.25" customFormat="1" customHeight="1" s="255">
      <c r="A500" s="357" t="n">
        <v>472</v>
      </c>
      <c r="B500" s="265" t="inlineStr">
        <is>
          <t>11.1.03.06-0095</t>
        </is>
      </c>
      <c r="C500" s="356" t="inlineStr">
        <is>
          <t>Доска обрезная, хвойных пород, ширина 75-150 мм, толщина 44 мм и более, длина 4-6,5 м, сорт III</t>
        </is>
      </c>
      <c r="D500" s="357" t="inlineStr">
        <is>
          <t>м3</t>
        </is>
      </c>
      <c r="E500" s="267" t="n">
        <v>1.436</v>
      </c>
      <c r="F500" s="359" t="n">
        <v>1056</v>
      </c>
      <c r="G500" s="268">
        <f>ROUND(E500*F500,2)</f>
        <v/>
      </c>
      <c r="H500" s="269">
        <f>G500/$G$1004</f>
        <v/>
      </c>
      <c r="I500" s="268">
        <f>ROUND(F500*Прил.10!$D$13,2)</f>
        <v/>
      </c>
      <c r="J500" s="268">
        <f>ROUND(I500*E500,2)</f>
        <v/>
      </c>
    </row>
    <row r="501" hidden="1" outlineLevel="1" ht="38.25" customFormat="1" customHeight="1" s="255">
      <c r="A501" s="357" t="n">
        <v>473</v>
      </c>
      <c r="B501" s="265" t="inlineStr">
        <is>
          <t>14.4.01.02-0012</t>
        </is>
      </c>
      <c r="C501" s="356" t="inlineStr">
        <is>
          <t>Грунтовка укрепляющая, глубокого проникновения, быстросохнущая, паропроницаемая</t>
        </is>
      </c>
      <c r="D501" s="357" t="inlineStr">
        <is>
          <t>кг</t>
        </is>
      </c>
      <c r="E501" s="267" t="n">
        <v>115.645</v>
      </c>
      <c r="F501" s="359" t="n">
        <v>13.08</v>
      </c>
      <c r="G501" s="268">
        <f>ROUND(E501*F501,2)</f>
        <v/>
      </c>
      <c r="H501" s="269">
        <f>G501/$G$1004</f>
        <v/>
      </c>
      <c r="I501" s="268">
        <f>ROUND(F501*Прил.10!$D$13,2)</f>
        <v/>
      </c>
      <c r="J501" s="268">
        <f>ROUND(I501*E501,2)</f>
        <v/>
      </c>
    </row>
    <row r="502" hidden="1" outlineLevel="1" ht="38.25" customFormat="1" customHeight="1" s="255">
      <c r="A502" s="357" t="n">
        <v>474</v>
      </c>
      <c r="B502" s="265" t="inlineStr">
        <is>
          <t>24.3.01.02-0013</t>
        </is>
      </c>
      <c r="C502" s="356" t="inlineStr">
        <is>
          <t>Трубы из самозатухающего ПВХ гибкие гофрированные, легкие, без протяжки, номинальный внутренний диаметр 25 мм</t>
        </is>
      </c>
      <c r="D502" s="357" t="inlineStr">
        <is>
          <t>м</t>
        </is>
      </c>
      <c r="E502" s="267" t="n">
        <v>434</v>
      </c>
      <c r="F502" s="359" t="n">
        <v>3.47</v>
      </c>
      <c r="G502" s="268">
        <f>ROUND(E502*F502,2)</f>
        <v/>
      </c>
      <c r="H502" s="269">
        <f>G502/$G$1004</f>
        <v/>
      </c>
      <c r="I502" s="268">
        <f>ROUND(F502*Прил.10!$D$13,2)</f>
        <v/>
      </c>
      <c r="J502" s="268">
        <f>ROUND(I502*E502,2)</f>
        <v/>
      </c>
    </row>
    <row r="503" hidden="1" outlineLevel="1" ht="25.5" customFormat="1" customHeight="1" s="255">
      <c r="A503" s="357" t="n">
        <v>475</v>
      </c>
      <c r="B503" s="265" t="inlineStr">
        <is>
          <t>Прайс из СД ОП</t>
        </is>
      </c>
      <c r="C503" s="356" t="inlineStr">
        <is>
          <t xml:space="preserve">Клапан противопожарный КПУ-1Н-О-Н-200х200 </t>
        </is>
      </c>
      <c r="D503" s="357" t="inlineStr">
        <is>
          <t>шт.</t>
        </is>
      </c>
      <c r="E503" s="267" t="n">
        <v>1</v>
      </c>
      <c r="F503" s="359" t="n">
        <v>1492.64</v>
      </c>
      <c r="G503" s="268">
        <f>ROUND(E503*F503,2)</f>
        <v/>
      </c>
      <c r="H503" s="269">
        <f>G503/$G$1004</f>
        <v/>
      </c>
      <c r="I503" s="268">
        <f>ROUND(F503*Прил.10!$D$13,2)</f>
        <v/>
      </c>
      <c r="J503" s="268">
        <f>ROUND(I503*E503,2)</f>
        <v/>
      </c>
    </row>
    <row r="504" hidden="1" outlineLevel="1" ht="25.5" customFormat="1" customHeight="1" s="255">
      <c r="A504" s="357" t="n">
        <v>476</v>
      </c>
      <c r="B504" s="265" t="inlineStr">
        <is>
          <t>21.1.06.10-0362</t>
        </is>
      </c>
      <c r="C504" s="356" t="inlineStr">
        <is>
          <t>Кабель силовой с медными жилами ВВГнг(A)-LS 2х1,5ок(N)-1000</t>
        </is>
      </c>
      <c r="D504" s="357" t="inlineStr">
        <is>
          <t>1000 м</t>
        </is>
      </c>
      <c r="E504" s="267" t="n">
        <v>0.1836</v>
      </c>
      <c r="F504" s="359" t="n">
        <v>8084.81</v>
      </c>
      <c r="G504" s="268">
        <f>ROUND(E504*F504,2)</f>
        <v/>
      </c>
      <c r="H504" s="269">
        <f>G504/$G$1004</f>
        <v/>
      </c>
      <c r="I504" s="268">
        <f>ROUND(F504*Прил.10!$D$13,2)</f>
        <v/>
      </c>
      <c r="J504" s="268">
        <f>ROUND(I504*E504,2)</f>
        <v/>
      </c>
    </row>
    <row r="505" hidden="1" outlineLevel="1" ht="25.5" customFormat="1" customHeight="1" s="255">
      <c r="A505" s="357" t="n">
        <v>477</v>
      </c>
      <c r="B505" s="265" t="inlineStr">
        <is>
          <t>Прайс из СД ОП</t>
        </is>
      </c>
      <c r="C505" s="356" t="inlineStr">
        <is>
          <t xml:space="preserve">Клапан противопожарный КПУ-1Н-О-Н-200х150 </t>
        </is>
      </c>
      <c r="D505" s="357" t="inlineStr">
        <is>
          <t>шт.</t>
        </is>
      </c>
      <c r="E505" s="267" t="n">
        <v>1</v>
      </c>
      <c r="F505" s="359" t="n">
        <v>1482.81</v>
      </c>
      <c r="G505" s="268">
        <f>ROUND(E505*F505,2)</f>
        <v/>
      </c>
      <c r="H505" s="269">
        <f>G505/$G$1004</f>
        <v/>
      </c>
      <c r="I505" s="268">
        <f>ROUND(F505*Прил.10!$D$13,2)</f>
        <v/>
      </c>
      <c r="J505" s="268">
        <f>ROUND(I505*E505,2)</f>
        <v/>
      </c>
    </row>
    <row r="506" hidden="1" outlineLevel="1" ht="25.5" customFormat="1" customHeight="1" s="255">
      <c r="A506" s="357" t="n">
        <v>478</v>
      </c>
      <c r="B506" s="265" t="inlineStr">
        <is>
          <t>08.4.03.02-0006</t>
        </is>
      </c>
      <c r="C506" s="356" t="inlineStr">
        <is>
          <t>Сталь арматурная, горячекатаная, гладкая, класс А-I, диаметр 16-18 мм</t>
        </is>
      </c>
      <c r="D506" s="357" t="inlineStr">
        <is>
          <t>т</t>
        </is>
      </c>
      <c r="E506" s="267" t="n">
        <v>0.2584</v>
      </c>
      <c r="F506" s="359" t="n">
        <v>5650</v>
      </c>
      <c r="G506" s="268">
        <f>ROUND(E506*F506,2)</f>
        <v/>
      </c>
      <c r="H506" s="269">
        <f>G506/$G$1004</f>
        <v/>
      </c>
      <c r="I506" s="268">
        <f>ROUND(F506*Прил.10!$D$13,2)</f>
        <v/>
      </c>
      <c r="J506" s="268">
        <f>ROUND(I506*E506,2)</f>
        <v/>
      </c>
    </row>
    <row r="507" hidden="1" outlineLevel="1" ht="25.5" customFormat="1" customHeight="1" s="255">
      <c r="A507" s="357" t="n">
        <v>479</v>
      </c>
      <c r="B507" s="265" t="inlineStr">
        <is>
          <t>01.7.06.04-0007</t>
        </is>
      </c>
      <c r="C507" s="356" t="inlineStr">
        <is>
          <t>Лента разделительная для сопряжения потолка из ЛГК со стеной</t>
        </is>
      </c>
      <c r="D507" s="357" t="inlineStr">
        <is>
          <t>100 м</t>
        </is>
      </c>
      <c r="E507" s="267" t="n">
        <v>8.3218</v>
      </c>
      <c r="F507" s="359" t="n">
        <v>173</v>
      </c>
      <c r="G507" s="268">
        <f>ROUND(E507*F507,2)</f>
        <v/>
      </c>
      <c r="H507" s="269">
        <f>G507/$G$1004</f>
        <v/>
      </c>
      <c r="I507" s="268">
        <f>ROUND(F507*Прил.10!$D$13,2)</f>
        <v/>
      </c>
      <c r="J507" s="268">
        <f>ROUND(I507*E507,2)</f>
        <v/>
      </c>
    </row>
    <row r="508" hidden="1" outlineLevel="1" ht="14.25" customFormat="1" customHeight="1" s="255">
      <c r="A508" s="357" t="n">
        <v>480</v>
      </c>
      <c r="B508" s="265" t="inlineStr">
        <is>
          <t>Прайс из СД ОП</t>
        </is>
      </c>
      <c r="C508" s="356" t="inlineStr">
        <is>
          <t xml:space="preserve">Переходник плоский ПЕП-ОСА-063-С </t>
        </is>
      </c>
      <c r="D508" s="357" t="inlineStr">
        <is>
          <t>шт.</t>
        </is>
      </c>
      <c r="E508" s="267" t="n">
        <v>6</v>
      </c>
      <c r="F508" s="359" t="n">
        <v>238.02</v>
      </c>
      <c r="G508" s="268">
        <f>ROUND(E508*F508,2)</f>
        <v/>
      </c>
      <c r="H508" s="269">
        <f>G508/$G$1004</f>
        <v/>
      </c>
      <c r="I508" s="268">
        <f>ROUND(F508*Прил.10!$D$13,2)</f>
        <v/>
      </c>
      <c r="J508" s="268">
        <f>ROUND(I508*E508,2)</f>
        <v/>
      </c>
    </row>
    <row r="509" hidden="1" outlineLevel="1" ht="14.25" customFormat="1" customHeight="1" s="255">
      <c r="A509" s="357" t="n">
        <v>481</v>
      </c>
      <c r="B509" s="265" t="inlineStr">
        <is>
          <t>Прайс из СД ОП</t>
        </is>
      </c>
      <c r="C509" s="356" t="inlineStr">
        <is>
          <t xml:space="preserve">Решетка декоративная Р50-700х520-С </t>
        </is>
      </c>
      <c r="D509" s="357" t="inlineStr">
        <is>
          <t>шт.</t>
        </is>
      </c>
      <c r="E509" s="267" t="n">
        <v>3</v>
      </c>
      <c r="F509" s="359" t="n">
        <v>475.22</v>
      </c>
      <c r="G509" s="268">
        <f>ROUND(E509*F509,2)</f>
        <v/>
      </c>
      <c r="H509" s="269">
        <f>G509/$G$1004</f>
        <v/>
      </c>
      <c r="I509" s="268">
        <f>ROUND(F509*Прил.10!$D$13,2)</f>
        <v/>
      </c>
      <c r="J509" s="268">
        <f>ROUND(I509*E509,2)</f>
        <v/>
      </c>
    </row>
    <row r="510" hidden="1" outlineLevel="1" ht="63.75" customFormat="1" customHeight="1" s="255">
      <c r="A510" s="357" t="n">
        <v>482</v>
      </c>
      <c r="B510" s="265" t="inlineStr">
        <is>
          <t>18.1.10.02-0001</t>
        </is>
      </c>
      <c r="C510" s="356" t="inlineStr">
        <is>
          <t>Клапан запорный проходной пожарный 15Б3рА51, номинальное давление 1,0 МПа (10 кгс/см2), номинальный диаметр 50 мм, присоединение к трубопроводу муфтовое/цапковое</t>
        </is>
      </c>
      <c r="D510" s="357" t="inlineStr">
        <is>
          <t>шт</t>
        </is>
      </c>
      <c r="E510" s="267" t="n">
        <v>10</v>
      </c>
      <c r="F510" s="359" t="n">
        <v>142.42</v>
      </c>
      <c r="G510" s="268">
        <f>ROUND(E510*F510,2)</f>
        <v/>
      </c>
      <c r="H510" s="269">
        <f>G510/$G$1004</f>
        <v/>
      </c>
      <c r="I510" s="268">
        <f>ROUND(F510*Прил.10!$D$13,2)</f>
        <v/>
      </c>
      <c r="J510" s="268">
        <f>ROUND(I510*E510,2)</f>
        <v/>
      </c>
    </row>
    <row r="511" hidden="1" outlineLevel="1" ht="38.25" customFormat="1" customHeight="1" s="255">
      <c r="A511" s="357" t="n">
        <v>483</v>
      </c>
      <c r="B511" s="265" t="inlineStr">
        <is>
          <t>01.7.04.07-0003</t>
        </is>
      </c>
      <c r="C511" s="356" t="inlineStr">
        <is>
          <t>Комплект скобяных изделий для блоков входных дверей в помещение однопольных</t>
        </is>
      </c>
      <c r="D511" s="357" t="inlineStr">
        <is>
          <t>компл</t>
        </is>
      </c>
      <c r="E511" s="267" t="n">
        <v>15</v>
      </c>
      <c r="F511" s="359" t="n">
        <v>94.68000000000001</v>
      </c>
      <c r="G511" s="268">
        <f>ROUND(E511*F511,2)</f>
        <v/>
      </c>
      <c r="H511" s="269">
        <f>G511/$G$1004</f>
        <v/>
      </c>
      <c r="I511" s="268">
        <f>ROUND(F511*Прил.10!$D$13,2)</f>
        <v/>
      </c>
      <c r="J511" s="268">
        <f>ROUND(I511*E511,2)</f>
        <v/>
      </c>
    </row>
    <row r="512" hidden="1" outlineLevel="1" ht="38.25" customFormat="1" customHeight="1" s="255">
      <c r="A512" s="357" t="n">
        <v>484</v>
      </c>
      <c r="B512" s="265" t="inlineStr">
        <is>
          <t>11.1.03.01-0079</t>
        </is>
      </c>
      <c r="C512" s="356" t="inlineStr">
        <is>
          <t>Бруски обрезные, хвойных пород, длина 4-6,5 м, ширина 75-150 мм, толщина 40-75 мм, сорт III</t>
        </is>
      </c>
      <c r="D512" s="357" t="inlineStr">
        <is>
          <t>м3</t>
        </is>
      </c>
      <c r="E512" s="267" t="n">
        <v>1.097</v>
      </c>
      <c r="F512" s="359" t="n">
        <v>1287</v>
      </c>
      <c r="G512" s="268">
        <f>ROUND(E512*F512,2)</f>
        <v/>
      </c>
      <c r="H512" s="269">
        <f>G512/$G$1004</f>
        <v/>
      </c>
      <c r="I512" s="268">
        <f>ROUND(F512*Прил.10!$D$13,2)</f>
        <v/>
      </c>
      <c r="J512" s="268">
        <f>ROUND(I512*E512,2)</f>
        <v/>
      </c>
    </row>
    <row r="513" hidden="1" outlineLevel="1" ht="25.5" customFormat="1" customHeight="1" s="255">
      <c r="A513" s="357" t="n">
        <v>485</v>
      </c>
      <c r="B513" s="265" t="inlineStr">
        <is>
          <t>999-9950</t>
        </is>
      </c>
      <c r="C513" s="356" t="inlineStr">
        <is>
          <t>Вспомогательные ненормируемые ресурсы (2% от Оплаты труда рабочих)</t>
        </is>
      </c>
      <c r="D513" s="357" t="inlineStr">
        <is>
          <t>руб</t>
        </is>
      </c>
      <c r="E513" s="267" t="n">
        <v>1408.7418</v>
      </c>
      <c r="F513" s="359" t="n">
        <v>1</v>
      </c>
      <c r="G513" s="268">
        <f>ROUND(E513*F513,2)</f>
        <v/>
      </c>
      <c r="H513" s="269">
        <f>G513/$G$1004</f>
        <v/>
      </c>
      <c r="I513" s="268">
        <f>ROUND(F513*Прил.10!$D$13,2)</f>
        <v/>
      </c>
      <c r="J513" s="268">
        <f>ROUND(I513*E513,2)</f>
        <v/>
      </c>
    </row>
    <row r="514" hidden="1" outlineLevel="1" ht="25.5" customFormat="1" customHeight="1" s="255">
      <c r="A514" s="357" t="n">
        <v>486</v>
      </c>
      <c r="B514" s="265" t="inlineStr">
        <is>
          <t>Прайс из СД ОП</t>
        </is>
      </c>
      <c r="C514" s="356" t="inlineStr">
        <is>
          <t>Канат стальной оцинкованный, D=4.1 мм М2624</t>
        </is>
      </c>
      <c r="D514" s="357" t="inlineStr">
        <is>
          <t>м</t>
        </is>
      </c>
      <c r="E514" s="267" t="n">
        <v>284</v>
      </c>
      <c r="F514" s="359" t="n">
        <v>4.93</v>
      </c>
      <c r="G514" s="268">
        <f>ROUND(E514*F514,2)</f>
        <v/>
      </c>
      <c r="H514" s="269">
        <f>G514/$G$1004</f>
        <v/>
      </c>
      <c r="I514" s="268">
        <f>ROUND(F514*Прил.10!$D$13,2)</f>
        <v/>
      </c>
      <c r="J514" s="268">
        <f>ROUND(I514*E514,2)</f>
        <v/>
      </c>
    </row>
    <row r="515" hidden="1" outlineLevel="1" ht="38.25" customFormat="1" customHeight="1" s="255">
      <c r="A515" s="357" t="n">
        <v>487</v>
      </c>
      <c r="B515" s="265" t="inlineStr">
        <is>
          <t>19.1.06.01-0022</t>
        </is>
      </c>
      <c r="C515" s="356" t="inlineStr">
        <is>
          <t>Узлы прохода вытяжных вентиляционных шахт без клапана УП1-02, диаметр патрубка 315 мм</t>
        </is>
      </c>
      <c r="D515" s="357" t="inlineStr">
        <is>
          <t>шт</t>
        </is>
      </c>
      <c r="E515" s="267" t="n">
        <v>2</v>
      </c>
      <c r="F515" s="359" t="n">
        <v>697.65</v>
      </c>
      <c r="G515" s="268">
        <f>ROUND(E515*F515,2)</f>
        <v/>
      </c>
      <c r="H515" s="269">
        <f>G515/$G$1004</f>
        <v/>
      </c>
      <c r="I515" s="268">
        <f>ROUND(F515*Прил.10!$D$13,2)</f>
        <v/>
      </c>
      <c r="J515" s="268">
        <f>ROUND(I515*E515,2)</f>
        <v/>
      </c>
    </row>
    <row r="516" hidden="1" outlineLevel="1" ht="38.25" customFormat="1" customHeight="1" s="255">
      <c r="A516" s="357" t="n">
        <v>488</v>
      </c>
      <c r="B516" s="265" t="inlineStr">
        <is>
          <t>05.1.03.09-0022</t>
        </is>
      </c>
      <c r="C516" s="356" t="inlineStr">
        <is>
          <t>Перемычка брусковая 3ПБ-13-37-п, бетон B15, объем 0,034 м3, расход арматуры 2,06 кг</t>
        </is>
      </c>
      <c r="D516" s="357" t="inlineStr">
        <is>
          <t>шт</t>
        </is>
      </c>
      <c r="E516" s="267" t="n">
        <v>28</v>
      </c>
      <c r="F516" s="359" t="n">
        <v>49.23</v>
      </c>
      <c r="G516" s="268">
        <f>ROUND(E516*F516,2)</f>
        <v/>
      </c>
      <c r="H516" s="269">
        <f>G516/$G$1004</f>
        <v/>
      </c>
      <c r="I516" s="268">
        <f>ROUND(F516*Прил.10!$D$13,2)</f>
        <v/>
      </c>
      <c r="J516" s="268">
        <f>ROUND(I516*E516,2)</f>
        <v/>
      </c>
    </row>
    <row r="517" hidden="1" outlineLevel="1" ht="14.25" customFormat="1" customHeight="1" s="255">
      <c r="A517" s="357" t="n">
        <v>489</v>
      </c>
      <c r="B517" s="265" t="inlineStr">
        <is>
          <t>08.1.03.04-0001</t>
        </is>
      </c>
      <c r="C517" s="356" t="inlineStr">
        <is>
          <t>Блочки</t>
        </is>
      </c>
      <c r="D517" s="357" t="inlineStr">
        <is>
          <t>10 шт</t>
        </is>
      </c>
      <c r="E517" s="267" t="n">
        <v>6</v>
      </c>
      <c r="F517" s="359" t="n">
        <v>228</v>
      </c>
      <c r="G517" s="268">
        <f>ROUND(E517*F517,2)</f>
        <v/>
      </c>
      <c r="H517" s="269">
        <f>G517/$G$1004</f>
        <v/>
      </c>
      <c r="I517" s="268">
        <f>ROUND(F517*Прил.10!$D$13,2)</f>
        <v/>
      </c>
      <c r="J517" s="268">
        <f>ROUND(I517*E517,2)</f>
        <v/>
      </c>
    </row>
    <row r="518" hidden="1" outlineLevel="1" ht="14.25" customFormat="1" customHeight="1" s="255">
      <c r="A518" s="357" t="n">
        <v>490</v>
      </c>
      <c r="B518" s="265" t="inlineStr">
        <is>
          <t>14.4.02.09-0001</t>
        </is>
      </c>
      <c r="C518" s="356" t="inlineStr">
        <is>
          <t>Краска</t>
        </is>
      </c>
      <c r="D518" s="357" t="inlineStr">
        <is>
          <t>кг</t>
        </is>
      </c>
      <c r="E518" s="267" t="n">
        <v>47.7328</v>
      </c>
      <c r="F518" s="359" t="n">
        <v>28.6</v>
      </c>
      <c r="G518" s="268">
        <f>ROUND(E518*F518,2)</f>
        <v/>
      </c>
      <c r="H518" s="269">
        <f>G518/$G$1004</f>
        <v/>
      </c>
      <c r="I518" s="268">
        <f>ROUND(F518*Прил.10!$D$13,2)</f>
        <v/>
      </c>
      <c r="J518" s="268">
        <f>ROUND(I518*E518,2)</f>
        <v/>
      </c>
    </row>
    <row r="519" hidden="1" outlineLevel="1" ht="51" customFormat="1" customHeight="1" s="255">
      <c r="A519" s="357" t="n">
        <v>491</v>
      </c>
      <c r="B519" s="265" t="inlineStr">
        <is>
          <t>07.2.06.03-0119</t>
        </is>
      </c>
      <c r="C519" s="356" t="inlineStr">
        <is>
          <t>Профиль направляющий, стальной, оцинкованный, для монтажа гипсовых перегородок и подвесных потолков, длина 3 м, сечение 28х27х0,6 мм</t>
        </is>
      </c>
      <c r="D519" s="357" t="inlineStr">
        <is>
          <t>м</t>
        </is>
      </c>
      <c r="E519" s="267" t="n">
        <v>339.44</v>
      </c>
      <c r="F519" s="359" t="n">
        <v>4</v>
      </c>
      <c r="G519" s="268">
        <f>ROUND(E519*F519,2)</f>
        <v/>
      </c>
      <c r="H519" s="269">
        <f>G519/$G$1004</f>
        <v/>
      </c>
      <c r="I519" s="268">
        <f>ROUND(F519*Прил.10!$D$13,2)</f>
        <v/>
      </c>
      <c r="J519" s="268">
        <f>ROUND(I519*E519,2)</f>
        <v/>
      </c>
    </row>
    <row r="520" hidden="1" outlineLevel="1" ht="25.5" customFormat="1" customHeight="1" s="255">
      <c r="A520" s="357" t="n">
        <v>492</v>
      </c>
      <c r="B520" s="265" t="inlineStr">
        <is>
          <t>Прайс из СД ОП</t>
        </is>
      </c>
      <c r="C520" s="356" t="inlineStr">
        <is>
          <t xml:space="preserve">Решетки с фиксированными жалюзи АЛН 800х500 </t>
        </is>
      </c>
      <c r="D520" s="357" t="inlineStr">
        <is>
          <t>шт.</t>
        </is>
      </c>
      <c r="E520" s="267" t="n">
        <v>6</v>
      </c>
      <c r="F520" s="359" t="n">
        <v>223.7</v>
      </c>
      <c r="G520" s="268">
        <f>ROUND(E520*F520,2)</f>
        <v/>
      </c>
      <c r="H520" s="269">
        <f>G520/$G$1004</f>
        <v/>
      </c>
      <c r="I520" s="268">
        <f>ROUND(F520*Прил.10!$D$13,2)</f>
        <v/>
      </c>
      <c r="J520" s="268">
        <f>ROUND(I520*E520,2)</f>
        <v/>
      </c>
    </row>
    <row r="521" hidden="1" outlineLevel="1" ht="25.5" customFormat="1" customHeight="1" s="255">
      <c r="A521" s="357" t="n">
        <v>493</v>
      </c>
      <c r="B521" s="265" t="inlineStr">
        <is>
          <t>Прайс из СД ОП</t>
        </is>
      </c>
      <c r="C521" s="356" t="inlineStr">
        <is>
          <t xml:space="preserve">Клапан обратный универсальный КЛАРА-1100х1100-Н </t>
        </is>
      </c>
      <c r="D521" s="357" t="inlineStr">
        <is>
          <t>шт.</t>
        </is>
      </c>
      <c r="E521" s="267" t="n">
        <v>2</v>
      </c>
      <c r="F521" s="359" t="n">
        <v>667.67</v>
      </c>
      <c r="G521" s="268">
        <f>ROUND(E521*F521,2)</f>
        <v/>
      </c>
      <c r="H521" s="269">
        <f>G521/$G$1004</f>
        <v/>
      </c>
      <c r="I521" s="268">
        <f>ROUND(F521*Прил.10!$D$13,2)</f>
        <v/>
      </c>
      <c r="J521" s="268">
        <f>ROUND(I521*E521,2)</f>
        <v/>
      </c>
    </row>
    <row r="522" hidden="1" outlineLevel="1" ht="14.25" customFormat="1" customHeight="1" s="255">
      <c r="A522" s="357" t="n">
        <v>494</v>
      </c>
      <c r="B522" s="265" t="inlineStr">
        <is>
          <t>01.7.15.02-0051</t>
        </is>
      </c>
      <c r="C522" s="356" t="inlineStr">
        <is>
          <t>Болты анкерные</t>
        </is>
      </c>
      <c r="D522" s="357" t="inlineStr">
        <is>
          <t>т</t>
        </is>
      </c>
      <c r="E522" s="267" t="n">
        <v>0.1314</v>
      </c>
      <c r="F522" s="359" t="n">
        <v>10068</v>
      </c>
      <c r="G522" s="268">
        <f>ROUND(E522*F522,2)</f>
        <v/>
      </c>
      <c r="H522" s="269">
        <f>G522/$G$1004</f>
        <v/>
      </c>
      <c r="I522" s="268">
        <f>ROUND(F522*Прил.10!$D$13,2)</f>
        <v/>
      </c>
      <c r="J522" s="268">
        <f>ROUND(I522*E522,2)</f>
        <v/>
      </c>
    </row>
    <row r="523" hidden="1" outlineLevel="1" ht="51" customFormat="1" customHeight="1" s="255">
      <c r="A523" s="357" t="n">
        <v>495</v>
      </c>
      <c r="B523" s="265" t="inlineStr">
        <is>
          <t>14.5.04.07-0001</t>
        </is>
      </c>
      <c r="C523" s="356" t="inlineStr">
        <is>
          <t>Мастика (герметик) тиоколовая тип ЛТ-1, двухкомпонентная строительного назначения, герметизирующая, нетвердеющая</t>
        </is>
      </c>
      <c r="D523" s="357" t="inlineStr">
        <is>
          <t>кг</t>
        </is>
      </c>
      <c r="E523" s="267" t="n">
        <v>24</v>
      </c>
      <c r="F523" s="359" t="n">
        <v>54.21</v>
      </c>
      <c r="G523" s="268">
        <f>ROUND(E523*F523,2)</f>
        <v/>
      </c>
      <c r="H523" s="269">
        <f>G523/$G$1004</f>
        <v/>
      </c>
      <c r="I523" s="268">
        <f>ROUND(F523*Прил.10!$D$13,2)</f>
        <v/>
      </c>
      <c r="J523" s="268">
        <f>ROUND(I523*E523,2)</f>
        <v/>
      </c>
    </row>
    <row r="524" hidden="1" outlineLevel="1" ht="14.25" customFormat="1" customHeight="1" s="255">
      <c r="A524" s="357" t="n">
        <v>496</v>
      </c>
      <c r="B524" s="265" t="inlineStr">
        <is>
          <t>Прайс из СД ОП</t>
        </is>
      </c>
      <c r="C524" s="356" t="inlineStr">
        <is>
          <t>Фасадный держатель  100 мм ND2307</t>
        </is>
      </c>
      <c r="D524" s="357" t="inlineStr">
        <is>
          <t>шт.</t>
        </is>
      </c>
      <c r="E524" s="267" t="n">
        <v>65</v>
      </c>
      <c r="F524" s="359" t="n">
        <v>20</v>
      </c>
      <c r="G524" s="268">
        <f>ROUND(E524*F524,2)</f>
        <v/>
      </c>
      <c r="H524" s="269">
        <f>G524/$G$1004</f>
        <v/>
      </c>
      <c r="I524" s="268">
        <f>ROUND(F524*Прил.10!$D$13,2)</f>
        <v/>
      </c>
      <c r="J524" s="268">
        <f>ROUND(I524*E524,2)</f>
        <v/>
      </c>
    </row>
    <row r="525" hidden="1" outlineLevel="1" ht="25.5" customFormat="1" customHeight="1" s="255">
      <c r="A525" s="357" t="n">
        <v>497</v>
      </c>
      <c r="B525" s="265" t="inlineStr">
        <is>
          <t>Прайс из СД ОП</t>
        </is>
      </c>
      <c r="C525" s="356" t="inlineStr">
        <is>
          <t xml:space="preserve">Соединитель мягкий СОМ 100-ВРАН-100А-Ц </t>
        </is>
      </c>
      <c r="D525" s="357" t="inlineStr">
        <is>
          <t>шт.</t>
        </is>
      </c>
      <c r="E525" s="267" t="n">
        <v>4</v>
      </c>
      <c r="F525" s="359" t="n">
        <v>321.35</v>
      </c>
      <c r="G525" s="268">
        <f>ROUND(E525*F525,2)</f>
        <v/>
      </c>
      <c r="H525" s="269">
        <f>G525/$G$1004</f>
        <v/>
      </c>
      <c r="I525" s="268">
        <f>ROUND(F525*Прил.10!$D$13,2)</f>
        <v/>
      </c>
      <c r="J525" s="268">
        <f>ROUND(I525*E525,2)</f>
        <v/>
      </c>
    </row>
    <row r="526" hidden="1" outlineLevel="1" ht="25.5" customFormat="1" customHeight="1" s="255">
      <c r="A526" s="357" t="n">
        <v>498</v>
      </c>
      <c r="B526" s="265" t="inlineStr">
        <is>
          <t>01.7.04.01-0011</t>
        </is>
      </c>
      <c r="C526" s="356" t="inlineStr">
        <is>
          <t>Закрыватель дверной гидравлический рычажный в алюминиевом корпусе</t>
        </is>
      </c>
      <c r="D526" s="357" t="inlineStr">
        <is>
          <t>шт</t>
        </is>
      </c>
      <c r="E526" s="267" t="n">
        <v>3</v>
      </c>
      <c r="F526" s="359" t="n">
        <v>428.27</v>
      </c>
      <c r="G526" s="268">
        <f>ROUND(E526*F526,2)</f>
        <v/>
      </c>
      <c r="H526" s="269">
        <f>G526/$G$1004</f>
        <v/>
      </c>
      <c r="I526" s="268">
        <f>ROUND(F526*Прил.10!$D$13,2)</f>
        <v/>
      </c>
      <c r="J526" s="268">
        <f>ROUND(I526*E526,2)</f>
        <v/>
      </c>
    </row>
    <row r="527" hidden="1" outlineLevel="1" ht="25.5" customFormat="1" customHeight="1" s="255">
      <c r="A527" s="357" t="n">
        <v>499</v>
      </c>
      <c r="B527" s="265" t="inlineStr">
        <is>
          <t>05.1.03.11-0009</t>
        </is>
      </c>
      <c r="C527" s="356" t="inlineStr">
        <is>
          <t>Перемычка плитная 3ПП21-71, бетон B15, объем 0,173 м3, расход арматуры 13,82 кг</t>
        </is>
      </c>
      <c r="D527" s="357" t="inlineStr">
        <is>
          <t>шт</t>
        </is>
      </c>
      <c r="E527" s="267" t="n">
        <v>5</v>
      </c>
      <c r="F527" s="359" t="n">
        <v>256.11</v>
      </c>
      <c r="G527" s="268">
        <f>ROUND(E527*F527,2)</f>
        <v/>
      </c>
      <c r="H527" s="269">
        <f>G527/$G$1004</f>
        <v/>
      </c>
      <c r="I527" s="268">
        <f>ROUND(F527*Прил.10!$D$13,2)</f>
        <v/>
      </c>
      <c r="J527" s="268">
        <f>ROUND(I527*E527,2)</f>
        <v/>
      </c>
    </row>
    <row r="528" hidden="1" outlineLevel="1" ht="25.5" customFormat="1" customHeight="1" s="255">
      <c r="A528" s="357" t="n">
        <v>500</v>
      </c>
      <c r="B528" s="265" t="inlineStr">
        <is>
          <t>08.3.08.02-0076</t>
        </is>
      </c>
      <c r="C528" s="356" t="inlineStr">
        <is>
          <t>Сталь угловая равнополочная, марка стали: Ст3пс, шириной полок 160-160 мм</t>
        </is>
      </c>
      <c r="D528" s="357" t="inlineStr">
        <is>
          <t>т</t>
        </is>
      </c>
      <c r="E528" s="267" t="n">
        <v>0.276</v>
      </c>
      <c r="F528" s="359" t="n">
        <v>4635.6</v>
      </c>
      <c r="G528" s="268">
        <f>ROUND(E528*F528,2)</f>
        <v/>
      </c>
      <c r="H528" s="269">
        <f>G528/$G$1004</f>
        <v/>
      </c>
      <c r="I528" s="268">
        <f>ROUND(F528*Прил.10!$D$13,2)</f>
        <v/>
      </c>
      <c r="J528" s="268">
        <f>ROUND(I528*E528,2)</f>
        <v/>
      </c>
    </row>
    <row r="529" hidden="1" outlineLevel="1" ht="25.5" customFormat="1" customHeight="1" s="255">
      <c r="A529" s="357" t="n">
        <v>501</v>
      </c>
      <c r="B529" s="265" t="inlineStr">
        <is>
          <t>01.7.11.07-0034</t>
        </is>
      </c>
      <c r="C529" s="356" t="inlineStr">
        <is>
          <t>Электроды сварочные Э42А, диаметр 4 мм</t>
        </is>
      </c>
      <c r="D529" s="357" t="inlineStr">
        <is>
          <t>кг</t>
        </is>
      </c>
      <c r="E529" s="267" t="n">
        <v>120.7297</v>
      </c>
      <c r="F529" s="359" t="n">
        <v>10.57</v>
      </c>
      <c r="G529" s="268">
        <f>ROUND(E529*F529,2)</f>
        <v/>
      </c>
      <c r="H529" s="269">
        <f>G529/$G$1004</f>
        <v/>
      </c>
      <c r="I529" s="268">
        <f>ROUND(F529*Прил.10!$D$13,2)</f>
        <v/>
      </c>
      <c r="J529" s="268">
        <f>ROUND(I529*E529,2)</f>
        <v/>
      </c>
    </row>
    <row r="530" hidden="1" outlineLevel="1" ht="14.25" customFormat="1" customHeight="1" s="255">
      <c r="A530" s="357" t="n">
        <v>502</v>
      </c>
      <c r="B530" s="265" t="inlineStr">
        <is>
          <t>Прайс из СД ОП</t>
        </is>
      </c>
      <c r="C530" s="356" t="inlineStr">
        <is>
          <t xml:space="preserve">Решетка декоративная Р50-900х620-С </t>
        </is>
      </c>
      <c r="D530" s="357" t="inlineStr">
        <is>
          <t>шт.</t>
        </is>
      </c>
      <c r="E530" s="267" t="n">
        <v>2</v>
      </c>
      <c r="F530" s="359" t="n">
        <v>632.28</v>
      </c>
      <c r="G530" s="268">
        <f>ROUND(E530*F530,2)</f>
        <v/>
      </c>
      <c r="H530" s="269">
        <f>G530/$G$1004</f>
        <v/>
      </c>
      <c r="I530" s="268">
        <f>ROUND(F530*Прил.10!$D$13,2)</f>
        <v/>
      </c>
      <c r="J530" s="268">
        <f>ROUND(I530*E530,2)</f>
        <v/>
      </c>
    </row>
    <row r="531" hidden="1" outlineLevel="1" ht="38.25" customFormat="1" customHeight="1" s="255">
      <c r="A531" s="357" t="n">
        <v>503</v>
      </c>
      <c r="B531" s="265" t="inlineStr">
        <is>
          <t>08.3.05.02-0074</t>
        </is>
      </c>
      <c r="C531" s="356" t="inlineStr">
        <is>
          <t>Прокат толстолистовой горячекатаный в листах, марка стали Ст3пс, толщина 12-14 мм</t>
        </is>
      </c>
      <c r="D531" s="357" t="inlineStr">
        <is>
          <t>т</t>
        </is>
      </c>
      <c r="E531" s="267" t="n">
        <v>0.198</v>
      </c>
      <c r="F531" s="359" t="n">
        <v>6366.42</v>
      </c>
      <c r="G531" s="268">
        <f>ROUND(E531*F531,2)</f>
        <v/>
      </c>
      <c r="H531" s="269">
        <f>G531/$G$1004</f>
        <v/>
      </c>
      <c r="I531" s="268">
        <f>ROUND(F531*Прил.10!$D$13,2)</f>
        <v/>
      </c>
      <c r="J531" s="268">
        <f>ROUND(I531*E531,2)</f>
        <v/>
      </c>
    </row>
    <row r="532" hidden="1" outlineLevel="1" ht="14.25" customFormat="1" customHeight="1" s="255">
      <c r="A532" s="357" t="n">
        <v>504</v>
      </c>
      <c r="B532" s="265" t="inlineStr">
        <is>
          <t>01.7.06.11-0011</t>
        </is>
      </c>
      <c r="C532" s="356" t="inlineStr">
        <is>
          <t>Лента уплотнительная шириной 30 мм</t>
        </is>
      </c>
      <c r="D532" s="357" t="inlineStr">
        <is>
          <t>м</t>
        </is>
      </c>
      <c r="E532" s="267" t="n">
        <v>2280</v>
      </c>
      <c r="F532" s="359" t="n">
        <v>0.55</v>
      </c>
      <c r="G532" s="268">
        <f>ROUND(E532*F532,2)</f>
        <v/>
      </c>
      <c r="H532" s="269">
        <f>G532/$G$1004</f>
        <v/>
      </c>
      <c r="I532" s="268">
        <f>ROUND(F532*Прил.10!$D$13,2)</f>
        <v/>
      </c>
      <c r="J532" s="268">
        <f>ROUND(I532*E532,2)</f>
        <v/>
      </c>
    </row>
    <row r="533" hidden="1" outlineLevel="1" ht="14.25" customFormat="1" customHeight="1" s="255">
      <c r="A533" s="357" t="n">
        <v>505</v>
      </c>
      <c r="B533" s="265" t="inlineStr">
        <is>
          <t>Прайс из СД ОП</t>
        </is>
      </c>
      <c r="C533" s="356" t="inlineStr">
        <is>
          <t xml:space="preserve">Кабель установочный НУД 3х2,5 </t>
        </is>
      </c>
      <c r="D533" s="357" t="inlineStr">
        <is>
          <t>м</t>
        </is>
      </c>
      <c r="E533" s="267" t="n">
        <v>90</v>
      </c>
      <c r="F533" s="359" t="n">
        <v>13.85</v>
      </c>
      <c r="G533" s="268">
        <f>ROUND(E533*F533,2)</f>
        <v/>
      </c>
      <c r="H533" s="269">
        <f>G533/$G$1004</f>
        <v/>
      </c>
      <c r="I533" s="268">
        <f>ROUND(F533*Прил.10!$D$13,2)</f>
        <v/>
      </c>
      <c r="J533" s="268">
        <f>ROUND(I533*E533,2)</f>
        <v/>
      </c>
    </row>
    <row r="534" hidden="1" outlineLevel="1" ht="25.5" customFormat="1" customHeight="1" s="255">
      <c r="A534" s="357" t="n">
        <v>506</v>
      </c>
      <c r="B534" s="265" t="inlineStr">
        <is>
          <t>02.2.05.04-1777</t>
        </is>
      </c>
      <c r="C534" s="356" t="inlineStr">
        <is>
          <t>Щебень М 800, фракция 20-40 мм, группа 2</t>
        </is>
      </c>
      <c r="D534" s="357" t="inlineStr">
        <is>
          <t>м3</t>
        </is>
      </c>
      <c r="E534" s="267" t="n">
        <v>11.44</v>
      </c>
      <c r="F534" s="359" t="n">
        <v>108.4</v>
      </c>
      <c r="G534" s="268">
        <f>ROUND(E534*F534,2)</f>
        <v/>
      </c>
      <c r="H534" s="269">
        <f>G534/$G$1004</f>
        <v/>
      </c>
      <c r="I534" s="268">
        <f>ROUND(F534*Прил.10!$D$13,2)</f>
        <v/>
      </c>
      <c r="J534" s="268">
        <f>ROUND(I534*E534,2)</f>
        <v/>
      </c>
    </row>
    <row r="535" hidden="1" outlineLevel="1" ht="51" customFormat="1" customHeight="1" s="255">
      <c r="A535" s="357" t="n">
        <v>507</v>
      </c>
      <c r="B535" s="265" t="inlineStr">
        <is>
          <t>08.4.01.02-0011</t>
        </is>
      </c>
      <c r="C535" s="356" t="inlineStr">
        <is>
          <t>Детали закладные и накладные, изготовленные без применения сварки, гнутья, сверления (пробивки) отверстий, поставляемые отдельно</t>
        </is>
      </c>
      <c r="D535" s="357" t="inlineStr">
        <is>
          <t>т</t>
        </is>
      </c>
      <c r="E535" s="267" t="n">
        <v>0.2123</v>
      </c>
      <c r="F535" s="359" t="n">
        <v>5804</v>
      </c>
      <c r="G535" s="268">
        <f>ROUND(E535*F535,2)</f>
        <v/>
      </c>
      <c r="H535" s="269">
        <f>G535/$G$1004</f>
        <v/>
      </c>
      <c r="I535" s="268">
        <f>ROUND(F535*Прил.10!$D$13,2)</f>
        <v/>
      </c>
      <c r="J535" s="268">
        <f>ROUND(I535*E535,2)</f>
        <v/>
      </c>
    </row>
    <row r="536" hidden="1" outlineLevel="1" ht="38.25" customFormat="1" customHeight="1" s="255">
      <c r="A536" s="357" t="n">
        <v>508</v>
      </c>
      <c r="B536" s="265" t="inlineStr">
        <is>
          <t>04.1.02.05-0026</t>
        </is>
      </c>
      <c r="C536" s="356" t="inlineStr">
        <is>
          <t>Смеси бетонные тяжелого бетона (БСТ), крупность заполнителя 10 мм, класс B15 (М200)</t>
        </is>
      </c>
      <c r="D536" s="357" t="inlineStr">
        <is>
          <t>м3</t>
        </is>
      </c>
      <c r="E536" s="267" t="n">
        <v>1.8474</v>
      </c>
      <c r="F536" s="359" t="n">
        <v>665</v>
      </c>
      <c r="G536" s="268">
        <f>ROUND(E536*F536,2)</f>
        <v/>
      </c>
      <c r="H536" s="269">
        <f>G536/$G$1004</f>
        <v/>
      </c>
      <c r="I536" s="268">
        <f>ROUND(F536*Прил.10!$D$13,2)</f>
        <v/>
      </c>
      <c r="J536" s="268">
        <f>ROUND(I536*E536,2)</f>
        <v/>
      </c>
    </row>
    <row r="537" hidden="1" outlineLevel="1" ht="14.25" customFormat="1" customHeight="1" s="255">
      <c r="A537" s="357" t="n">
        <v>509</v>
      </c>
      <c r="B537" s="265" t="inlineStr">
        <is>
          <t>12.1.02.11-0016</t>
        </is>
      </c>
      <c r="C537" s="356" t="inlineStr">
        <is>
          <t>ИЗОСПАН: B</t>
        </is>
      </c>
      <c r="D537" s="357" t="inlineStr">
        <is>
          <t>10 м2</t>
        </is>
      </c>
      <c r="E537" s="267" t="n">
        <v>44.596</v>
      </c>
      <c r="F537" s="359" t="n">
        <v>27.5</v>
      </c>
      <c r="G537" s="268">
        <f>ROUND(E537*F537,2)</f>
        <v/>
      </c>
      <c r="H537" s="269">
        <f>G537/$G$1004</f>
        <v/>
      </c>
      <c r="I537" s="268">
        <f>ROUND(F537*Прил.10!$D$13,2)</f>
        <v/>
      </c>
      <c r="J537" s="268">
        <f>ROUND(I537*E537,2)</f>
        <v/>
      </c>
    </row>
    <row r="538" hidden="1" outlineLevel="1" ht="38.25" customFormat="1" customHeight="1" s="255">
      <c r="A538" s="357" t="n">
        <v>510</v>
      </c>
      <c r="B538" s="265" t="inlineStr">
        <is>
          <t>Прайс из СД ОП</t>
        </is>
      </c>
      <c r="C538" s="356" t="inlineStr">
        <is>
          <t>Переключатель одноклавишный скрытой установки, 10 А, IP20 Legrand Valena, арт. 774425</t>
        </is>
      </c>
      <c r="D538" s="357" t="inlineStr">
        <is>
          <t>шт.</t>
        </is>
      </c>
      <c r="E538" s="267" t="n">
        <v>24</v>
      </c>
      <c r="F538" s="359" t="n">
        <v>50.69</v>
      </c>
      <c r="G538" s="268">
        <f>ROUND(E538*F538,2)</f>
        <v/>
      </c>
      <c r="H538" s="269">
        <f>G538/$G$1004</f>
        <v/>
      </c>
      <c r="I538" s="268">
        <f>ROUND(F538*Прил.10!$D$13,2)</f>
        <v/>
      </c>
      <c r="J538" s="268">
        <f>ROUND(I538*E538,2)</f>
        <v/>
      </c>
    </row>
    <row r="539" hidden="1" outlineLevel="1" ht="38.25" customFormat="1" customHeight="1" s="255">
      <c r="A539" s="357" t="n">
        <v>511</v>
      </c>
      <c r="B539" s="265" t="inlineStr">
        <is>
          <t>08.1.02.17-0033</t>
        </is>
      </c>
      <c r="C539" s="356" t="inlineStr">
        <is>
          <t>Сетка плетеная из проволоки без покрытия, диаметр проволоки 1,6 мм, размер ячейки 20х20 мм</t>
        </is>
      </c>
      <c r="D539" s="357" t="inlineStr">
        <is>
          <t>м2</t>
        </is>
      </c>
      <c r="E539" s="267" t="n">
        <v>52.0668</v>
      </c>
      <c r="F539" s="359" t="n">
        <v>23.08</v>
      </c>
      <c r="G539" s="268">
        <f>ROUND(E539*F539,2)</f>
        <v/>
      </c>
      <c r="H539" s="269">
        <f>G539/$G$1004</f>
        <v/>
      </c>
      <c r="I539" s="268">
        <f>ROUND(F539*Прил.10!$D$13,2)</f>
        <v/>
      </c>
      <c r="J539" s="268">
        <f>ROUND(I539*E539,2)</f>
        <v/>
      </c>
    </row>
    <row r="540" hidden="1" outlineLevel="1" ht="51" customFormat="1" customHeight="1" s="255">
      <c r="A540" s="357" t="n">
        <v>512</v>
      </c>
      <c r="B540" s="265" t="inlineStr">
        <is>
          <t>23.3.06.04-0008</t>
        </is>
      </c>
      <c r="C540" s="356" t="inlineStr">
        <is>
          <t>Трубы стальные сварные неоцинкованные водогазопроводные с резьбой, легкие, номинальный диаметр 25 мм, толщина стенки 2,8 мм</t>
        </is>
      </c>
      <c r="D540" s="357" t="inlineStr">
        <is>
          <t>м</t>
        </is>
      </c>
      <c r="E540" s="267" t="n">
        <v>78</v>
      </c>
      <c r="F540" s="359" t="n">
        <v>15.33</v>
      </c>
      <c r="G540" s="268">
        <f>ROUND(E540*F540,2)</f>
        <v/>
      </c>
      <c r="H540" s="269">
        <f>G540/$G$1004</f>
        <v/>
      </c>
      <c r="I540" s="268">
        <f>ROUND(F540*Прил.10!$D$13,2)</f>
        <v/>
      </c>
      <c r="J540" s="268">
        <f>ROUND(I540*E540,2)</f>
        <v/>
      </c>
    </row>
    <row r="541" hidden="1" outlineLevel="1" ht="25.5" customFormat="1" customHeight="1" s="255">
      <c r="A541" s="357" t="n">
        <v>513</v>
      </c>
      <c r="B541" s="265" t="inlineStr">
        <is>
          <t>Прайс из СД ОП</t>
        </is>
      </c>
      <c r="C541" s="356" t="inlineStr">
        <is>
          <t xml:space="preserve">Клапан обратный универсальный КЛАРА-1000-Н </t>
        </is>
      </c>
      <c r="D541" s="357" t="inlineStr">
        <is>
          <t>шт.</t>
        </is>
      </c>
      <c r="E541" s="267" t="n">
        <v>2</v>
      </c>
      <c r="F541" s="359" t="n">
        <v>597.72</v>
      </c>
      <c r="G541" s="268">
        <f>ROUND(E541*F541,2)</f>
        <v/>
      </c>
      <c r="H541" s="269">
        <f>G541/$G$1004</f>
        <v/>
      </c>
      <c r="I541" s="268">
        <f>ROUND(F541*Прил.10!$D$13,2)</f>
        <v/>
      </c>
      <c r="J541" s="268">
        <f>ROUND(I541*E541,2)</f>
        <v/>
      </c>
    </row>
    <row r="542" hidden="1" outlineLevel="1" ht="25.5" customFormat="1" customHeight="1" s="255">
      <c r="A542" s="357" t="n">
        <v>514</v>
      </c>
      <c r="B542" s="265" t="inlineStr">
        <is>
          <t>Прайс из СД ОП</t>
        </is>
      </c>
      <c r="C542" s="356" t="inlineStr">
        <is>
          <t xml:space="preserve">Клапан обратный универсальный КЛАРА-1000х600-Н </t>
        </is>
      </c>
      <c r="D542" s="357" t="inlineStr">
        <is>
          <t>шт.</t>
        </is>
      </c>
      <c r="E542" s="267" t="n">
        <v>2</v>
      </c>
      <c r="F542" s="359" t="n">
        <v>590.62</v>
      </c>
      <c r="G542" s="268">
        <f>ROUND(E542*F542,2)</f>
        <v/>
      </c>
      <c r="H542" s="269">
        <f>G542/$G$1004</f>
        <v/>
      </c>
      <c r="I542" s="268">
        <f>ROUND(F542*Прил.10!$D$13,2)</f>
        <v/>
      </c>
      <c r="J542" s="268">
        <f>ROUND(I542*E542,2)</f>
        <v/>
      </c>
    </row>
    <row r="543" hidden="1" outlineLevel="1" ht="14.25" customFormat="1" customHeight="1" s="255">
      <c r="A543" s="357" t="n">
        <v>515</v>
      </c>
      <c r="B543" s="265" t="inlineStr">
        <is>
          <t>Прайс из СД ОП</t>
        </is>
      </c>
      <c r="C543" s="356" t="inlineStr">
        <is>
          <t>Решетка декоративная Р50-800х620-С</t>
        </is>
      </c>
      <c r="D543" s="357" t="inlineStr">
        <is>
          <t>шт.</t>
        </is>
      </c>
      <c r="E543" s="267" t="n">
        <v>2</v>
      </c>
      <c r="F543" s="359" t="n">
        <v>586.24</v>
      </c>
      <c r="G543" s="268">
        <f>ROUND(E543*F543,2)</f>
        <v/>
      </c>
      <c r="H543" s="269">
        <f>G543/$G$1004</f>
        <v/>
      </c>
      <c r="I543" s="268">
        <f>ROUND(F543*Прил.10!$D$13,2)</f>
        <v/>
      </c>
      <c r="J543" s="268">
        <f>ROUND(I543*E543,2)</f>
        <v/>
      </c>
    </row>
    <row r="544" hidden="1" outlineLevel="1" ht="14.25" customFormat="1" customHeight="1" s="255">
      <c r="A544" s="357" t="n">
        <v>516</v>
      </c>
      <c r="B544" s="265" t="inlineStr">
        <is>
          <t>Прайс из СД ОП</t>
        </is>
      </c>
      <c r="C544" s="356" t="inlineStr">
        <is>
          <t>Решетка декоративная Р50-800х620-С</t>
        </is>
      </c>
      <c r="D544" s="357" t="inlineStr">
        <is>
          <t>шт.</t>
        </is>
      </c>
      <c r="E544" s="267" t="n">
        <v>2</v>
      </c>
      <c r="F544" s="359" t="n">
        <v>586.24</v>
      </c>
      <c r="G544" s="268">
        <f>ROUND(E544*F544,2)</f>
        <v/>
      </c>
      <c r="H544" s="269">
        <f>G544/$G$1004</f>
        <v/>
      </c>
      <c r="I544" s="268">
        <f>ROUND(F544*Прил.10!$D$13,2)</f>
        <v/>
      </c>
      <c r="J544" s="268">
        <f>ROUND(I544*E544,2)</f>
        <v/>
      </c>
    </row>
    <row r="545" hidden="1" outlineLevel="1" ht="14.25" customFormat="1" customHeight="1" s="255">
      <c r="A545" s="357" t="n">
        <v>517</v>
      </c>
      <c r="B545" s="265" t="inlineStr">
        <is>
          <t>11.3.03.01-0005</t>
        </is>
      </c>
      <c r="C545" s="356" t="inlineStr">
        <is>
          <t>Доски подоконные из ПВХ, ширина 300 мм</t>
        </is>
      </c>
      <c r="D545" s="357" t="inlineStr">
        <is>
          <t>м</t>
        </is>
      </c>
      <c r="E545" s="267" t="n">
        <v>32.2</v>
      </c>
      <c r="F545" s="359" t="n">
        <v>36.37</v>
      </c>
      <c r="G545" s="268">
        <f>ROUND(E545*F545,2)</f>
        <v/>
      </c>
      <c r="H545" s="269">
        <f>G545/$G$1004</f>
        <v/>
      </c>
      <c r="I545" s="268">
        <f>ROUND(F545*Прил.10!$D$13,2)</f>
        <v/>
      </c>
      <c r="J545" s="268">
        <f>ROUND(I545*E545,2)</f>
        <v/>
      </c>
    </row>
    <row r="546" hidden="1" outlineLevel="1" ht="25.5" customFormat="1" customHeight="1" s="255">
      <c r="A546" s="357" t="n">
        <v>518</v>
      </c>
      <c r="B546" s="265" t="inlineStr">
        <is>
          <t>01.7.15.14-0078</t>
        </is>
      </c>
      <c r="C546" s="356" t="inlineStr">
        <is>
          <t>Шурупы-саморезы кровельные окрашенные 5,5х38 мм</t>
        </is>
      </c>
      <c r="D546" s="357" t="inlineStr">
        <is>
          <t>100 шт</t>
        </is>
      </c>
      <c r="E546" s="267" t="n">
        <v>18.96</v>
      </c>
      <c r="F546" s="359" t="n">
        <v>59.2</v>
      </c>
      <c r="G546" s="268">
        <f>ROUND(E546*F546,2)</f>
        <v/>
      </c>
      <c r="H546" s="269">
        <f>G546/$G$1004</f>
        <v/>
      </c>
      <c r="I546" s="268">
        <f>ROUND(F546*Прил.10!$D$13,2)</f>
        <v/>
      </c>
      <c r="J546" s="268">
        <f>ROUND(I546*E546,2)</f>
        <v/>
      </c>
    </row>
    <row r="547" hidden="1" outlineLevel="1" ht="14.25" customFormat="1" customHeight="1" s="255">
      <c r="A547" s="357" t="n">
        <v>519</v>
      </c>
      <c r="B547" s="265" t="inlineStr">
        <is>
          <t>01.7.11.07-0039</t>
        </is>
      </c>
      <c r="C547" s="356" t="inlineStr">
        <is>
          <t>Электроды сварочные Э50, диаметр 4 мм</t>
        </is>
      </c>
      <c r="D547" s="357" t="inlineStr">
        <is>
          <t>кг</t>
        </is>
      </c>
      <c r="E547" s="267" t="n">
        <v>98.95999999999999</v>
      </c>
      <c r="F547" s="359" t="n">
        <v>11.22</v>
      </c>
      <c r="G547" s="268">
        <f>ROUND(E547*F547,2)</f>
        <v/>
      </c>
      <c r="H547" s="269">
        <f>G547/$G$1004</f>
        <v/>
      </c>
      <c r="I547" s="268">
        <f>ROUND(F547*Прил.10!$D$13,2)</f>
        <v/>
      </c>
      <c r="J547" s="268">
        <f>ROUND(I547*E547,2)</f>
        <v/>
      </c>
    </row>
    <row r="548" hidden="1" outlineLevel="1" ht="25.5" customFormat="1" customHeight="1" s="255">
      <c r="A548" s="357" t="n">
        <v>520</v>
      </c>
      <c r="B548" s="265" t="inlineStr">
        <is>
          <t>08.3.04.02-0071</t>
        </is>
      </c>
      <c r="C548" s="356" t="inlineStr">
        <is>
          <t>Сталь круглая и квадратная, марка: Ст3пс размером 18х18 мм</t>
        </is>
      </c>
      <c r="D548" s="357" t="inlineStr">
        <is>
          <t>т</t>
        </is>
      </c>
      <c r="E548" s="267" t="n">
        <v>0.21</v>
      </c>
      <c r="F548" s="359" t="n">
        <v>5254.31</v>
      </c>
      <c r="G548" s="268">
        <f>ROUND(E548*F548,2)</f>
        <v/>
      </c>
      <c r="H548" s="269">
        <f>G548/$G$1004</f>
        <v/>
      </c>
      <c r="I548" s="268">
        <f>ROUND(F548*Прил.10!$D$13,2)</f>
        <v/>
      </c>
      <c r="J548" s="268">
        <f>ROUND(I548*E548,2)</f>
        <v/>
      </c>
    </row>
    <row r="549" hidden="1" outlineLevel="1" ht="14.25" customFormat="1" customHeight="1" s="255">
      <c r="A549" s="357" t="n">
        <v>521</v>
      </c>
      <c r="B549" s="265" t="inlineStr">
        <is>
          <t>08.1.02.11-0013</t>
        </is>
      </c>
      <c r="C549" s="356" t="inlineStr">
        <is>
          <t>Поковки оцинкованные, масса 2,825 кг</t>
        </is>
      </c>
      <c r="D549" s="357" t="inlineStr">
        <is>
          <t>т</t>
        </is>
      </c>
      <c r="E549" s="267" t="n">
        <v>0.1382</v>
      </c>
      <c r="F549" s="359" t="n">
        <v>7977</v>
      </c>
      <c r="G549" s="268">
        <f>ROUND(E549*F549,2)</f>
        <v/>
      </c>
      <c r="H549" s="269">
        <f>G549/$G$1004</f>
        <v/>
      </c>
      <c r="I549" s="268">
        <f>ROUND(F549*Прил.10!$D$13,2)</f>
        <v/>
      </c>
      <c r="J549" s="268">
        <f>ROUND(I549*E549,2)</f>
        <v/>
      </c>
    </row>
    <row r="550" hidden="1" outlineLevel="1" ht="14.25" customFormat="1" customHeight="1" s="255">
      <c r="A550" s="357" t="n">
        <v>522</v>
      </c>
      <c r="B550" s="265" t="inlineStr">
        <is>
          <t>01.3.02.11-0023</t>
        </is>
      </c>
      <c r="C550" s="356" t="inlineStr">
        <is>
          <t>Фреон R410A (разовый баллон 11,30 кг)</t>
        </is>
      </c>
      <c r="D550" s="357" t="inlineStr">
        <is>
          <t>шт</t>
        </is>
      </c>
      <c r="E550" s="267" t="n">
        <v>1.789</v>
      </c>
      <c r="F550" s="359" t="n">
        <v>614.85</v>
      </c>
      <c r="G550" s="268">
        <f>ROUND(E550*F550,2)</f>
        <v/>
      </c>
      <c r="H550" s="269">
        <f>G550/$G$1004</f>
        <v/>
      </c>
      <c r="I550" s="268">
        <f>ROUND(F550*Прил.10!$D$13,2)</f>
        <v/>
      </c>
      <c r="J550" s="268">
        <f>ROUND(I550*E550,2)</f>
        <v/>
      </c>
    </row>
    <row r="551" hidden="1" outlineLevel="1" ht="51" customFormat="1" customHeight="1" s="255">
      <c r="A551" s="357" t="n">
        <v>523</v>
      </c>
      <c r="B551" s="265" t="inlineStr">
        <is>
          <t>05.2.02.01-0036</t>
        </is>
      </c>
      <c r="C551" s="356" t="inlineStr">
        <is>
          <t>Блоки бетонные для стен подвалов полнотелые ФБС9-4-6-Т, бетон B7,5 (М100, объем 0,195 м3, расход арматуры 0,76 кг (примю Блок ФБС8.6.6-Т )</t>
        </is>
      </c>
      <c r="D551" s="357" t="inlineStr">
        <is>
          <t>шт</t>
        </is>
      </c>
      <c r="E551" s="267" t="n">
        <v>9</v>
      </c>
      <c r="F551" s="359" t="n">
        <v>120.9</v>
      </c>
      <c r="G551" s="268">
        <f>ROUND(E551*F551,2)</f>
        <v/>
      </c>
      <c r="H551" s="269">
        <f>G551/$G$1004</f>
        <v/>
      </c>
      <c r="I551" s="268">
        <f>ROUND(F551*Прил.10!$D$13,2)</f>
        <v/>
      </c>
      <c r="J551" s="268">
        <f>ROUND(I551*E551,2)</f>
        <v/>
      </c>
    </row>
    <row r="552" hidden="1" outlineLevel="1" ht="25.5" customFormat="1" customHeight="1" s="255">
      <c r="A552" s="357" t="n">
        <v>524</v>
      </c>
      <c r="B552" s="265" t="inlineStr">
        <is>
          <t>Прайс из СД ОП</t>
        </is>
      </c>
      <c r="C552" s="356" t="inlineStr">
        <is>
          <t>Лампа светодиодная, 20 Bm, 220 В, 4500К LED20-HW/845/E27 4500K</t>
        </is>
      </c>
      <c r="D552" s="357" t="inlineStr">
        <is>
          <t>шт.</t>
        </is>
      </c>
      <c r="E552" s="267" t="n">
        <v>15</v>
      </c>
      <c r="F552" s="359" t="n">
        <v>70.90000000000001</v>
      </c>
      <c r="G552" s="268">
        <f>ROUND(E552*F552,2)</f>
        <v/>
      </c>
      <c r="H552" s="269">
        <f>G552/$G$1004</f>
        <v/>
      </c>
      <c r="I552" s="268">
        <f>ROUND(F552*Прил.10!$D$13,2)</f>
        <v/>
      </c>
      <c r="J552" s="268">
        <f>ROUND(I552*E552,2)</f>
        <v/>
      </c>
    </row>
    <row r="553" hidden="1" outlineLevel="1" ht="63.75" customFormat="1" customHeight="1" s="255">
      <c r="A553" s="357" t="n">
        <v>525</v>
      </c>
      <c r="B553" s="265" t="inlineStr">
        <is>
          <t>04.1.01.01-0008</t>
        </is>
      </c>
      <c r="C553" s="356" t="inlineStr">
        <is>
          <t>Смеси бетонные легкого бетона (БСЛ) на пористых заполнителях, средняя плотность D800 кг/м3, крупность заполнителя более 10 мм, класс B7,5 (М100)</t>
        </is>
      </c>
      <c r="D553" s="357" t="inlineStr">
        <is>
          <t>м3</t>
        </is>
      </c>
      <c r="E553" s="267" t="n">
        <v>1.818252</v>
      </c>
      <c r="F553" s="359" t="n">
        <v>580</v>
      </c>
      <c r="G553" s="268">
        <f>ROUND(E553*F553,2)</f>
        <v/>
      </c>
      <c r="H553" s="269">
        <f>G553/$G$1004</f>
        <v/>
      </c>
      <c r="I553" s="268">
        <f>ROUND(F553*Прил.10!$D$13,2)</f>
        <v/>
      </c>
      <c r="J553" s="268">
        <f>ROUND(I553*E553,2)</f>
        <v/>
      </c>
    </row>
    <row r="554" hidden="1" outlineLevel="1" ht="38.25" customFormat="1" customHeight="1" s="255">
      <c r="A554" s="357" t="n">
        <v>526</v>
      </c>
      <c r="B554" s="265" t="inlineStr">
        <is>
          <t>08.3.05.02-0102</t>
        </is>
      </c>
      <c r="C554" s="356" t="inlineStr">
        <is>
          <t>Прокат толстолистовой горячекатаный в листах, марка стали ВСт3пс5, толщина 8-20 мм</t>
        </is>
      </c>
      <c r="D554" s="357" t="inlineStr">
        <is>
          <t>т</t>
        </is>
      </c>
      <c r="E554" s="267" t="n">
        <v>0.18048</v>
      </c>
      <c r="F554" s="359" t="n">
        <v>5763</v>
      </c>
      <c r="G554" s="268">
        <f>ROUND(E554*F554,2)</f>
        <v/>
      </c>
      <c r="H554" s="269">
        <f>G554/$G$1004</f>
        <v/>
      </c>
      <c r="I554" s="268">
        <f>ROUND(F554*Прил.10!$D$13,2)</f>
        <v/>
      </c>
      <c r="J554" s="268">
        <f>ROUND(I554*E554,2)</f>
        <v/>
      </c>
    </row>
    <row r="555" hidden="1" outlineLevel="1" ht="14.25" customFormat="1" customHeight="1" s="255">
      <c r="A555" s="357" t="n">
        <v>527</v>
      </c>
      <c r="B555" s="265" t="inlineStr">
        <is>
          <t>Прайс из СД ОП</t>
        </is>
      </c>
      <c r="C555" s="356" t="inlineStr">
        <is>
          <t>Трос</t>
        </is>
      </c>
      <c r="D555" s="357" t="inlineStr">
        <is>
          <t>м</t>
        </is>
      </c>
      <c r="E555" s="267" t="n">
        <v>150</v>
      </c>
      <c r="F555" s="359" t="n">
        <v>6.92</v>
      </c>
      <c r="G555" s="268">
        <f>ROUND(E555*F555,2)</f>
        <v/>
      </c>
      <c r="H555" s="269">
        <f>G555/$G$1004</f>
        <v/>
      </c>
      <c r="I555" s="268">
        <f>ROUND(F555*Прил.10!$D$13,2)</f>
        <v/>
      </c>
      <c r="J555" s="268">
        <f>ROUND(I555*E555,2)</f>
        <v/>
      </c>
    </row>
    <row r="556" hidden="1" outlineLevel="1" ht="25.5" customFormat="1" customHeight="1" s="255">
      <c r="A556" s="357" t="n">
        <v>528</v>
      </c>
      <c r="B556" s="265" t="inlineStr">
        <is>
          <t>12.2.07.04-0183</t>
        </is>
      </c>
      <c r="C556" s="356" t="inlineStr">
        <is>
          <t>Трубки из вспененного каучука, толщина 9 мм, диаметр 12 мм</t>
        </is>
      </c>
      <c r="D556" s="357" t="inlineStr">
        <is>
          <t>10 м</t>
        </is>
      </c>
      <c r="E556" s="267" t="n">
        <v>5</v>
      </c>
      <c r="F556" s="359" t="n">
        <v>207.4</v>
      </c>
      <c r="G556" s="268">
        <f>ROUND(E556*F556,2)</f>
        <v/>
      </c>
      <c r="H556" s="269">
        <f>G556/$G$1004</f>
        <v/>
      </c>
      <c r="I556" s="268">
        <f>ROUND(F556*Прил.10!$D$13,2)</f>
        <v/>
      </c>
      <c r="J556" s="268">
        <f>ROUND(I556*E556,2)</f>
        <v/>
      </c>
    </row>
    <row r="557" hidden="1" outlineLevel="1" ht="51" customFormat="1" customHeight="1" s="255">
      <c r="A557" s="357" t="n">
        <v>529</v>
      </c>
      <c r="B557" s="265" t="inlineStr">
        <is>
          <t>23.8.03.11-0123</t>
        </is>
      </c>
      <c r="C557" s="356" t="inlineStr">
        <is>
          <t>Фланцы стальные плоские приварные с соединительным выступом, марка стали ВСт3сп2, ВСт3сп3, номинальное давление 1 МПа, номинальный диаметр 15 мм</t>
        </is>
      </c>
      <c r="D557" s="357" t="inlineStr">
        <is>
          <t>компл</t>
        </is>
      </c>
      <c r="E557" s="267" t="n">
        <v>46</v>
      </c>
      <c r="F557" s="359" t="n">
        <v>22.23</v>
      </c>
      <c r="G557" s="268">
        <f>ROUND(E557*F557,2)</f>
        <v/>
      </c>
      <c r="H557" s="269">
        <f>G557/$G$1004</f>
        <v/>
      </c>
      <c r="I557" s="268">
        <f>ROUND(F557*Прил.10!$D$13,2)</f>
        <v/>
      </c>
      <c r="J557" s="268">
        <f>ROUND(I557*E557,2)</f>
        <v/>
      </c>
    </row>
    <row r="558" hidden="1" outlineLevel="1" ht="38.25" customFormat="1" customHeight="1" s="255">
      <c r="A558" s="357" t="n">
        <v>530</v>
      </c>
      <c r="B558" s="265" t="inlineStr">
        <is>
          <t>Прайс из СД ОП</t>
        </is>
      </c>
      <c r="C558" s="356" t="inlineStr">
        <is>
          <t xml:space="preserve">Розетка двухклавишная наружной установки, 16 А, IP44 Этюд, арт. РА16-044В </t>
        </is>
      </c>
      <c r="D558" s="357" t="inlineStr">
        <is>
          <t>шт.</t>
        </is>
      </c>
      <c r="E558" s="267" t="n">
        <v>44</v>
      </c>
      <c r="F558" s="359" t="n">
        <v>22.96</v>
      </c>
      <c r="G558" s="268">
        <f>ROUND(E558*F558,2)</f>
        <v/>
      </c>
      <c r="H558" s="269">
        <f>G558/$G$1004</f>
        <v/>
      </c>
      <c r="I558" s="268">
        <f>ROUND(F558*Прил.10!$D$13,2)</f>
        <v/>
      </c>
      <c r="J558" s="268">
        <f>ROUND(I558*E558,2)</f>
        <v/>
      </c>
    </row>
    <row r="559" hidden="1" outlineLevel="1" ht="25.5" customFormat="1" customHeight="1" s="255">
      <c r="A559" s="357" t="n">
        <v>531</v>
      </c>
      <c r="B559" s="265" t="inlineStr">
        <is>
          <t>Прайс из СД ОП</t>
        </is>
      </c>
      <c r="C559" s="356" t="inlineStr">
        <is>
          <t>Коробка распределительная на 6 вводов, 85х85х40 мм, IP55, Tyco 85х85х40</t>
        </is>
      </c>
      <c r="D559" s="357" t="inlineStr">
        <is>
          <t>шт.</t>
        </is>
      </c>
      <c r="E559" s="267" t="n">
        <v>217</v>
      </c>
      <c r="F559" s="359" t="n">
        <v>4.63</v>
      </c>
      <c r="G559" s="268">
        <f>ROUND(E559*F559,2)</f>
        <v/>
      </c>
      <c r="H559" s="269">
        <f>G559/$G$1004</f>
        <v/>
      </c>
      <c r="I559" s="268">
        <f>ROUND(F559*Прил.10!$D$13,2)</f>
        <v/>
      </c>
      <c r="J559" s="268">
        <f>ROUND(I559*E559,2)</f>
        <v/>
      </c>
    </row>
    <row r="560" hidden="1" outlineLevel="1" ht="51" customFormat="1" customHeight="1" s="255">
      <c r="A560" s="357" t="n">
        <v>532</v>
      </c>
      <c r="B560" s="265" t="inlineStr">
        <is>
          <t>07.2.06.03-0116</t>
        </is>
      </c>
      <c r="C560" s="356" t="inlineStr">
        <is>
          <t>Профиль направляющий, стальной, оцинкованный, для монтажа гипсовых перегородок и подвесных потолков, длина 3 м, сечение 75х40х0,6 мм</t>
        </is>
      </c>
      <c r="D560" s="357" t="inlineStr">
        <is>
          <t>м</t>
        </is>
      </c>
      <c r="E560" s="267" t="n">
        <v>143.99</v>
      </c>
      <c r="F560" s="359" t="n">
        <v>6.91</v>
      </c>
      <c r="G560" s="268">
        <f>ROUND(E560*F560,2)</f>
        <v/>
      </c>
      <c r="H560" s="269">
        <f>G560/$G$1004</f>
        <v/>
      </c>
      <c r="I560" s="268">
        <f>ROUND(F560*Прил.10!$D$13,2)</f>
        <v/>
      </c>
      <c r="J560" s="268">
        <f>ROUND(I560*E560,2)</f>
        <v/>
      </c>
    </row>
    <row r="561" hidden="1" outlineLevel="1" ht="14.25" customFormat="1" customHeight="1" s="255">
      <c r="A561" s="357" t="n">
        <v>533</v>
      </c>
      <c r="B561" s="265" t="inlineStr">
        <is>
          <t>08.4.02.01-0021</t>
        </is>
      </c>
      <c r="C561" s="356" t="inlineStr">
        <is>
          <t>Сетка арматурная сварная</t>
        </is>
      </c>
      <c r="D561" s="357" t="inlineStr">
        <is>
          <t>т</t>
        </is>
      </c>
      <c r="E561" s="267" t="n">
        <v>0.13805</v>
      </c>
      <c r="F561" s="359" t="n">
        <v>7200</v>
      </c>
      <c r="G561" s="268">
        <f>ROUND(E561*F561,2)</f>
        <v/>
      </c>
      <c r="H561" s="269">
        <f>G561/$G$1004</f>
        <v/>
      </c>
      <c r="I561" s="268">
        <f>ROUND(F561*Прил.10!$D$13,2)</f>
        <v/>
      </c>
      <c r="J561" s="268">
        <f>ROUND(I561*E561,2)</f>
        <v/>
      </c>
    </row>
    <row r="562" hidden="1" outlineLevel="1" ht="51" customFormat="1" customHeight="1" s="255">
      <c r="A562" s="357" t="n">
        <v>534</v>
      </c>
      <c r="B562" s="265" t="inlineStr">
        <is>
          <t>23.2.02.02-0012</t>
        </is>
      </c>
      <c r="C562" s="356" t="inlineStr">
        <is>
          <t>Трубы медные круглые тянутые и холоднокатаные (марки меди М2, М3), наружным диаметром: 9,52 мм, толщиной стенки 0,8 мм</t>
        </is>
      </c>
      <c r="D562" s="357" t="inlineStr">
        <is>
          <t>м</t>
        </is>
      </c>
      <c r="E562" s="267" t="n">
        <v>28</v>
      </c>
      <c r="F562" s="359" t="n">
        <v>35.18</v>
      </c>
      <c r="G562" s="268">
        <f>ROUND(E562*F562,2)</f>
        <v/>
      </c>
      <c r="H562" s="269">
        <f>G562/$G$1004</f>
        <v/>
      </c>
      <c r="I562" s="268">
        <f>ROUND(F562*Прил.10!$D$13,2)</f>
        <v/>
      </c>
      <c r="J562" s="268">
        <f>ROUND(I562*E562,2)</f>
        <v/>
      </c>
    </row>
    <row r="563" hidden="1" outlineLevel="1" ht="14.25" customFormat="1" customHeight="1" s="255">
      <c r="A563" s="357" t="n">
        <v>535</v>
      </c>
      <c r="B563" s="265" t="inlineStr">
        <is>
          <t>Прайс из СД ОП</t>
        </is>
      </c>
      <c r="C563" s="356" t="inlineStr">
        <is>
          <t>Решетка декоративная Р50-1400х720-С</t>
        </is>
      </c>
      <c r="D563" s="357" t="inlineStr">
        <is>
          <t>шт.</t>
        </is>
      </c>
      <c r="E563" s="267" t="n">
        <v>1</v>
      </c>
      <c r="F563" s="359" t="n">
        <v>974.6900000000001</v>
      </c>
      <c r="G563" s="268">
        <f>ROUND(E563*F563,2)</f>
        <v/>
      </c>
      <c r="H563" s="269">
        <f>G563/$G$1004</f>
        <v/>
      </c>
      <c r="I563" s="268">
        <f>ROUND(F563*Прил.10!$D$13,2)</f>
        <v/>
      </c>
      <c r="J563" s="268">
        <f>ROUND(I563*E563,2)</f>
        <v/>
      </c>
    </row>
    <row r="564" hidden="1" outlineLevel="1" ht="38.25" customFormat="1" customHeight="1" s="255">
      <c r="A564" s="357" t="n">
        <v>536</v>
      </c>
      <c r="B564" s="265" t="inlineStr">
        <is>
          <t>05.1.03.09-0032</t>
        </is>
      </c>
      <c r="C564" s="356" t="inlineStr">
        <is>
          <t>Перемычка брусковая 5ПБ21-27-п, бетон B15, объем 0,114 м3, расход арматуры 6,06 кг</t>
        </is>
      </c>
      <c r="D564" s="357" t="inlineStr">
        <is>
          <t>шт</t>
        </is>
      </c>
      <c r="E564" s="267" t="n">
        <v>6</v>
      </c>
      <c r="F564" s="359" t="n">
        <v>161.97</v>
      </c>
      <c r="G564" s="268">
        <f>ROUND(E564*F564,2)</f>
        <v/>
      </c>
      <c r="H564" s="269">
        <f>G564/$G$1004</f>
        <v/>
      </c>
      <c r="I564" s="268">
        <f>ROUND(F564*Прил.10!$D$13,2)</f>
        <v/>
      </c>
      <c r="J564" s="268">
        <f>ROUND(I564*E564,2)</f>
        <v/>
      </c>
    </row>
    <row r="565" hidden="1" outlineLevel="1" ht="25.5" customFormat="1" customHeight="1" s="255">
      <c r="A565" s="357" t="n">
        <v>537</v>
      </c>
      <c r="B565" s="265" t="inlineStr">
        <is>
          <t>01.7.15.06-0121</t>
        </is>
      </c>
      <c r="C565" s="356" t="inlineStr">
        <is>
          <t>Гвозди строительные с плоской головкой, размер 1,6х50 мм</t>
        </is>
      </c>
      <c r="D565" s="357" t="inlineStr">
        <is>
          <t>т</t>
        </is>
      </c>
      <c r="E565" s="267" t="n">
        <v>0.1141</v>
      </c>
      <c r="F565" s="359" t="n">
        <v>8475</v>
      </c>
      <c r="G565" s="268">
        <f>ROUND(E565*F565,2)</f>
        <v/>
      </c>
      <c r="H565" s="269">
        <f>G565/$G$1004</f>
        <v/>
      </c>
      <c r="I565" s="268">
        <f>ROUND(F565*Прил.10!$D$13,2)</f>
        <v/>
      </c>
      <c r="J565" s="268">
        <f>ROUND(I565*E565,2)</f>
        <v/>
      </c>
    </row>
    <row r="566" hidden="1" outlineLevel="1" ht="14.25" customFormat="1" customHeight="1" s="255">
      <c r="A566" s="357" t="n">
        <v>538</v>
      </c>
      <c r="B566" s="265" t="inlineStr">
        <is>
          <t>Прайс из СД ОП</t>
        </is>
      </c>
      <c r="C566" s="356" t="inlineStr">
        <is>
          <t xml:space="preserve">Зажим крепёжный СР/Т.2-50 </t>
        </is>
      </c>
      <c r="D566" s="357" t="inlineStr">
        <is>
          <t>шт.</t>
        </is>
      </c>
      <c r="E566" s="267" t="n">
        <v>250</v>
      </c>
      <c r="F566" s="359" t="n">
        <v>3.85</v>
      </c>
      <c r="G566" s="268">
        <f>ROUND(E566*F566,2)</f>
        <v/>
      </c>
      <c r="H566" s="269">
        <f>G566/$G$1004</f>
        <v/>
      </c>
      <c r="I566" s="268">
        <f>ROUND(F566*Прил.10!$D$13,2)</f>
        <v/>
      </c>
      <c r="J566" s="268">
        <f>ROUND(I566*E566,2)</f>
        <v/>
      </c>
    </row>
    <row r="567" hidden="1" outlineLevel="1" ht="14.25" customFormat="1" customHeight="1" s="255">
      <c r="A567" s="357" t="n">
        <v>539</v>
      </c>
      <c r="B567" s="265" t="inlineStr">
        <is>
          <t>14.5.09.02-0002</t>
        </is>
      </c>
      <c r="C567" s="356" t="inlineStr">
        <is>
          <t>Ксилол нефтяной, марка А</t>
        </is>
      </c>
      <c r="D567" s="357" t="inlineStr">
        <is>
          <t>т</t>
        </is>
      </c>
      <c r="E567" s="267" t="n">
        <v>0.1231</v>
      </c>
      <c r="F567" s="359" t="n">
        <v>7640</v>
      </c>
      <c r="G567" s="268">
        <f>ROUND(E567*F567,2)</f>
        <v/>
      </c>
      <c r="H567" s="269">
        <f>G567/$G$1004</f>
        <v/>
      </c>
      <c r="I567" s="268">
        <f>ROUND(F567*Прил.10!$D$13,2)</f>
        <v/>
      </c>
      <c r="J567" s="268">
        <f>ROUND(I567*E567,2)</f>
        <v/>
      </c>
    </row>
    <row r="568" hidden="1" outlineLevel="1" ht="14.25" customFormat="1" customHeight="1" s="255">
      <c r="A568" s="357" t="n">
        <v>540</v>
      </c>
      <c r="B568" s="265" t="inlineStr">
        <is>
          <t>Прайс из СД ОП</t>
        </is>
      </c>
      <c r="C568" s="356" t="inlineStr">
        <is>
          <t xml:space="preserve">Зажим крепёжный СР.1-25 </t>
        </is>
      </c>
      <c r="D568" s="357" t="inlineStr">
        <is>
          <t>шт.</t>
        </is>
      </c>
      <c r="E568" s="267" t="n">
        <v>300</v>
      </c>
      <c r="F568" s="359" t="n">
        <v>3.08</v>
      </c>
      <c r="G568" s="268">
        <f>ROUND(E568*F568,2)</f>
        <v/>
      </c>
      <c r="H568" s="269">
        <f>G568/$G$1004</f>
        <v/>
      </c>
      <c r="I568" s="268">
        <f>ROUND(F568*Прил.10!$D$13,2)</f>
        <v/>
      </c>
      <c r="J568" s="268">
        <f>ROUND(I568*E568,2)</f>
        <v/>
      </c>
    </row>
    <row r="569" hidden="1" outlineLevel="1" ht="25.5" customFormat="1" customHeight="1" s="255">
      <c r="A569" s="357" t="n">
        <v>541</v>
      </c>
      <c r="B569" s="265" t="inlineStr">
        <is>
          <t>Прайс из СД ОП</t>
        </is>
      </c>
      <c r="C569" s="356" t="inlineStr">
        <is>
          <t>Соединитель мягкий СОМ 100-ВРАН-80А-Ц</t>
        </is>
      </c>
      <c r="D569" s="357" t="inlineStr">
        <is>
          <t>шт.</t>
        </is>
      </c>
      <c r="E569" s="267" t="n">
        <v>4</v>
      </c>
      <c r="F569" s="359" t="n">
        <v>230.57</v>
      </c>
      <c r="G569" s="268">
        <f>ROUND(E569*F569,2)</f>
        <v/>
      </c>
      <c r="H569" s="269">
        <f>G569/$G$1004</f>
        <v/>
      </c>
      <c r="I569" s="268">
        <f>ROUND(F569*Прил.10!$D$13,2)</f>
        <v/>
      </c>
      <c r="J569" s="268">
        <f>ROUND(I569*E569,2)</f>
        <v/>
      </c>
    </row>
    <row r="570" hidden="1" outlineLevel="1" ht="14.25" customFormat="1" customHeight="1" s="255">
      <c r="A570" s="357" t="n">
        <v>542</v>
      </c>
      <c r="B570" s="265" t="inlineStr">
        <is>
          <t>01.2.03.03-0044</t>
        </is>
      </c>
      <c r="C570" s="356" t="inlineStr">
        <is>
          <t>Мастика битумно-латексная кровельная</t>
        </is>
      </c>
      <c r="D570" s="357" t="inlineStr">
        <is>
          <t>т</t>
        </is>
      </c>
      <c r="E570" s="267" t="n">
        <v>0.2992</v>
      </c>
      <c r="F570" s="359" t="n">
        <v>3039.7</v>
      </c>
      <c r="G570" s="268">
        <f>ROUND(E570*F570,2)</f>
        <v/>
      </c>
      <c r="H570" s="269">
        <f>G570/$G$1004</f>
        <v/>
      </c>
      <c r="I570" s="268">
        <f>ROUND(F570*Прил.10!$D$13,2)</f>
        <v/>
      </c>
      <c r="J570" s="268">
        <f>ROUND(I570*E570,2)</f>
        <v/>
      </c>
    </row>
    <row r="571" hidden="1" outlineLevel="1" ht="14.25" customFormat="1" customHeight="1" s="255">
      <c r="A571" s="357" t="n">
        <v>543</v>
      </c>
      <c r="B571" s="265" t="inlineStr">
        <is>
          <t>01.7.03.01-0001</t>
        </is>
      </c>
      <c r="C571" s="356" t="inlineStr">
        <is>
          <t>Вода</t>
        </is>
      </c>
      <c r="D571" s="357" t="inlineStr">
        <is>
          <t>м3</t>
        </is>
      </c>
      <c r="E571" s="267" t="n">
        <v>371.9025</v>
      </c>
      <c r="F571" s="359" t="n">
        <v>2.44</v>
      </c>
      <c r="G571" s="268">
        <f>ROUND(E571*F571,2)</f>
        <v/>
      </c>
      <c r="H571" s="269">
        <f>G571/$G$1004</f>
        <v/>
      </c>
      <c r="I571" s="268">
        <f>ROUND(F571*Прил.10!$D$13,2)</f>
        <v/>
      </c>
      <c r="J571" s="268">
        <f>ROUND(I571*E571,2)</f>
        <v/>
      </c>
    </row>
    <row r="572" hidden="1" outlineLevel="1" ht="14.25" customFormat="1" customHeight="1" s="255">
      <c r="A572" s="357" t="n">
        <v>544</v>
      </c>
      <c r="B572" s="265" t="inlineStr">
        <is>
          <t>08.3.03.04-0012</t>
        </is>
      </c>
      <c r="C572" s="356" t="inlineStr">
        <is>
          <t>Проволока светлая, диаметр 1,1 мм</t>
        </is>
      </c>
      <c r="D572" s="357" t="inlineStr">
        <is>
          <t>т</t>
        </is>
      </c>
      <c r="E572" s="267" t="n">
        <v>0.08790000000000001</v>
      </c>
      <c r="F572" s="359" t="n">
        <v>10200</v>
      </c>
      <c r="G572" s="268">
        <f>ROUND(E572*F572,2)</f>
        <v/>
      </c>
      <c r="H572" s="269">
        <f>G572/$G$1004</f>
        <v/>
      </c>
      <c r="I572" s="268">
        <f>ROUND(F572*Прил.10!$D$13,2)</f>
        <v/>
      </c>
      <c r="J572" s="268">
        <f>ROUND(I572*E572,2)</f>
        <v/>
      </c>
    </row>
    <row r="573" hidden="1" outlineLevel="1" ht="25.5" customFormat="1" customHeight="1" s="255">
      <c r="A573" s="357" t="n">
        <v>545</v>
      </c>
      <c r="B573" s="265" t="inlineStr">
        <is>
          <t>Прайс из СД ОП</t>
        </is>
      </c>
      <c r="C573" s="356" t="inlineStr">
        <is>
          <t xml:space="preserve">Рейка прижимная алюминиевая Технониколь </t>
        </is>
      </c>
      <c r="D573" s="357" t="inlineStr">
        <is>
          <t>м</t>
        </is>
      </c>
      <c r="E573" s="267" t="n">
        <v>110</v>
      </c>
      <c r="F573" s="359" t="n">
        <v>8.130000000000001</v>
      </c>
      <c r="G573" s="268">
        <f>ROUND(E573*F573,2)</f>
        <v/>
      </c>
      <c r="H573" s="269">
        <f>G573/$G$1004</f>
        <v/>
      </c>
      <c r="I573" s="268">
        <f>ROUND(F573*Прил.10!$D$13,2)</f>
        <v/>
      </c>
      <c r="J573" s="268">
        <f>ROUND(I573*E573,2)</f>
        <v/>
      </c>
    </row>
    <row r="574" hidden="1" outlineLevel="1" ht="25.5" customFormat="1" customHeight="1" s="255">
      <c r="A574" s="357" t="n">
        <v>546</v>
      </c>
      <c r="B574" s="265" t="inlineStr">
        <is>
          <t>08.3.08.02-0070</t>
        </is>
      </c>
      <c r="C574" s="356" t="inlineStr">
        <is>
          <t>Сталь угловая равнополочная, марка стали: Ст3пс, шириной полок 50-50 мм</t>
        </is>
      </c>
      <c r="D574" s="357" t="inlineStr">
        <is>
          <t>т</t>
        </is>
      </c>
      <c r="E574" s="267" t="n">
        <v>0.18306</v>
      </c>
      <c r="F574" s="359" t="n">
        <v>4840.65</v>
      </c>
      <c r="G574" s="268">
        <f>ROUND(E574*F574,2)</f>
        <v/>
      </c>
      <c r="H574" s="269">
        <f>G574/$G$1004</f>
        <v/>
      </c>
      <c r="I574" s="268">
        <f>ROUND(F574*Прил.10!$D$13,2)</f>
        <v/>
      </c>
      <c r="J574" s="268">
        <f>ROUND(I574*E574,2)</f>
        <v/>
      </c>
    </row>
    <row r="575" hidden="1" outlineLevel="1" ht="14.25" customFormat="1" customHeight="1" s="255">
      <c r="A575" s="357" t="n">
        <v>547</v>
      </c>
      <c r="B575" s="265" t="inlineStr">
        <is>
          <t>Прайс из СД ОП</t>
        </is>
      </c>
      <c r="C575" s="356" t="inlineStr">
        <is>
          <t xml:space="preserve">Решетка декоративная Р50-900х920-С </t>
        </is>
      </c>
      <c r="D575" s="357" t="inlineStr">
        <is>
          <t>шт.</t>
        </is>
      </c>
      <c r="E575" s="267" t="n">
        <v>1</v>
      </c>
      <c r="F575" s="359" t="n">
        <v>867.8200000000001</v>
      </c>
      <c r="G575" s="268">
        <f>ROUND(E575*F575,2)</f>
        <v/>
      </c>
      <c r="H575" s="269">
        <f>G575/$G$1004</f>
        <v/>
      </c>
      <c r="I575" s="268">
        <f>ROUND(F575*Прил.10!$D$13,2)</f>
        <v/>
      </c>
      <c r="J575" s="268">
        <f>ROUND(I575*E575,2)</f>
        <v/>
      </c>
    </row>
    <row r="576" hidden="1" outlineLevel="1" ht="25.5" customFormat="1" customHeight="1" s="255">
      <c r="A576" s="357" t="n">
        <v>548</v>
      </c>
      <c r="B576" s="265" t="inlineStr">
        <is>
          <t>12.2.07.04-0181</t>
        </is>
      </c>
      <c r="C576" s="356" t="inlineStr">
        <is>
          <t>Трубки из вспененного каучука, толщина 9 мм, диаметр 8 мм</t>
        </is>
      </c>
      <c r="D576" s="357" t="inlineStr">
        <is>
          <t>10 м</t>
        </is>
      </c>
      <c r="E576" s="267" t="n">
        <v>5</v>
      </c>
      <c r="F576" s="359" t="n">
        <v>171.11</v>
      </c>
      <c r="G576" s="268">
        <f>ROUND(E576*F576,2)</f>
        <v/>
      </c>
      <c r="H576" s="269">
        <f>G576/$G$1004</f>
        <v/>
      </c>
      <c r="I576" s="268">
        <f>ROUND(F576*Прил.10!$D$13,2)</f>
        <v/>
      </c>
      <c r="J576" s="268">
        <f>ROUND(I576*E576,2)</f>
        <v/>
      </c>
    </row>
    <row r="577" hidden="1" outlineLevel="1" ht="38.25" customFormat="1" customHeight="1" s="255">
      <c r="A577" s="357" t="n">
        <v>549</v>
      </c>
      <c r="B577" s="265" t="inlineStr">
        <is>
          <t>Прайс из СД ОП</t>
        </is>
      </c>
      <c r="C577" s="356" t="inlineStr">
        <is>
          <t>Выключатель-разъединитель (рубильник)трехполюсный, Iн=100А, ВР32-31-А30220-100</t>
        </is>
      </c>
      <c r="D577" s="357" t="inlineStr">
        <is>
          <t>шт.</t>
        </is>
      </c>
      <c r="E577" s="267" t="n">
        <v>8</v>
      </c>
      <c r="F577" s="359" t="n">
        <v>106.52</v>
      </c>
      <c r="G577" s="268">
        <f>ROUND(E577*F577,2)</f>
        <v/>
      </c>
      <c r="H577" s="269">
        <f>G577/$G$1004</f>
        <v/>
      </c>
      <c r="I577" s="268">
        <f>ROUND(F577*Прил.10!$D$13,2)</f>
        <v/>
      </c>
      <c r="J577" s="268">
        <f>ROUND(I577*E577,2)</f>
        <v/>
      </c>
    </row>
    <row r="578" hidden="1" outlineLevel="1" ht="38.25" customFormat="1" customHeight="1" s="255">
      <c r="A578" s="357" t="n">
        <v>550</v>
      </c>
      <c r="B578" s="265" t="inlineStr">
        <is>
          <t>24.3.03.15-0101</t>
        </is>
      </c>
      <c r="C578" s="356" t="inlineStr">
        <is>
          <t>Трубопроводы для внутренней канализации из полиэтиленовых труб, номинальный наружный диаметр 100 мм</t>
        </is>
      </c>
      <c r="D578" s="357" t="inlineStr">
        <is>
          <t>м</t>
        </is>
      </c>
      <c r="E578" s="267" t="n">
        <v>15.97</v>
      </c>
      <c r="F578" s="359" t="n">
        <v>53.2</v>
      </c>
      <c r="G578" s="268">
        <f>ROUND(E578*F578,2)</f>
        <v/>
      </c>
      <c r="H578" s="269">
        <f>G578/$G$1004</f>
        <v/>
      </c>
      <c r="I578" s="268">
        <f>ROUND(F578*Прил.10!$D$13,2)</f>
        <v/>
      </c>
      <c r="J578" s="268">
        <f>ROUND(I578*E578,2)</f>
        <v/>
      </c>
    </row>
    <row r="579" hidden="1" outlineLevel="1" ht="25.5" customFormat="1" customHeight="1" s="255">
      <c r="A579" s="357" t="n">
        <v>551</v>
      </c>
      <c r="B579" s="265" t="inlineStr">
        <is>
          <t>Прайс из СД ОП</t>
        </is>
      </c>
      <c r="C579" s="356" t="inlineStr">
        <is>
          <t>Автоматический выключатель трехполюсный, OptiDin BM63-3С16</t>
        </is>
      </c>
      <c r="D579" s="357" t="inlineStr">
        <is>
          <t>шт.</t>
        </is>
      </c>
      <c r="E579" s="267" t="n">
        <v>15</v>
      </c>
      <c r="F579" s="359" t="n">
        <v>56.56</v>
      </c>
      <c r="G579" s="268">
        <f>ROUND(E579*F579,2)</f>
        <v/>
      </c>
      <c r="H579" s="269">
        <f>G579/$G$1004</f>
        <v/>
      </c>
      <c r="I579" s="268">
        <f>ROUND(F579*Прил.10!$D$13,2)</f>
        <v/>
      </c>
      <c r="J579" s="268">
        <f>ROUND(I579*E579,2)</f>
        <v/>
      </c>
    </row>
    <row r="580" hidden="1" outlineLevel="1" ht="38.25" customFormat="1" customHeight="1" s="255">
      <c r="A580" s="357" t="n">
        <v>552</v>
      </c>
      <c r="B580" s="265" t="inlineStr">
        <is>
          <t>Прайс из СД ОП</t>
        </is>
      </c>
      <c r="C580" s="356" t="inlineStr">
        <is>
          <t xml:space="preserve">Розетка двухклавишная скрытой установки, 16 А, IP20 Legrand Valena, арт. 774420 </t>
        </is>
      </c>
      <c r="D580" s="357" t="inlineStr">
        <is>
          <t>шт.</t>
        </is>
      </c>
      <c r="E580" s="267" t="n">
        <v>37</v>
      </c>
      <c r="F580" s="359" t="n">
        <v>22.84</v>
      </c>
      <c r="G580" s="268">
        <f>ROUND(E580*F580,2)</f>
        <v/>
      </c>
      <c r="H580" s="269">
        <f>G580/$G$1004</f>
        <v/>
      </c>
      <c r="I580" s="268">
        <f>ROUND(F580*Прил.10!$D$13,2)</f>
        <v/>
      </c>
      <c r="J580" s="268">
        <f>ROUND(I580*E580,2)</f>
        <v/>
      </c>
    </row>
    <row r="581" hidden="1" outlineLevel="1" ht="14.25" customFormat="1" customHeight="1" s="255">
      <c r="A581" s="357" t="n">
        <v>553</v>
      </c>
      <c r="B581" s="265" t="inlineStr">
        <is>
          <t>01.7.20.08-0051</t>
        </is>
      </c>
      <c r="C581" s="356" t="inlineStr">
        <is>
          <t>Ветошь</t>
        </is>
      </c>
      <c r="D581" s="357" t="inlineStr">
        <is>
          <t>кг</t>
        </is>
      </c>
      <c r="E581" s="267" t="n">
        <v>462.1077</v>
      </c>
      <c r="F581" s="359" t="n">
        <v>1.82</v>
      </c>
      <c r="G581" s="268">
        <f>ROUND(E581*F581,2)</f>
        <v/>
      </c>
      <c r="H581" s="269">
        <f>G581/$G$1004</f>
        <v/>
      </c>
      <c r="I581" s="268">
        <f>ROUND(F581*Прил.10!$D$13,2)</f>
        <v/>
      </c>
      <c r="J581" s="268">
        <f>ROUND(I581*E581,2)</f>
        <v/>
      </c>
    </row>
    <row r="582" hidden="1" outlineLevel="1" ht="38.25" customFormat="1" customHeight="1" s="255">
      <c r="A582" s="357" t="n">
        <v>554</v>
      </c>
      <c r="B582" s="265" t="inlineStr">
        <is>
          <t>18.5.14.01-0004</t>
        </is>
      </c>
      <c r="C582" s="356" t="inlineStr">
        <is>
          <t>Фильтры для очистки воды в трубопроводах систем отопления, диаметр 50 мм</t>
        </is>
      </c>
      <c r="D582" s="357" t="inlineStr">
        <is>
          <t>шт</t>
        </is>
      </c>
      <c r="E582" s="267" t="n">
        <v>1</v>
      </c>
      <c r="F582" s="359" t="n">
        <v>823.6</v>
      </c>
      <c r="G582" s="268">
        <f>ROUND(E582*F582,2)</f>
        <v/>
      </c>
      <c r="H582" s="269">
        <f>G582/$G$1004</f>
        <v/>
      </c>
      <c r="I582" s="268">
        <f>ROUND(F582*Прил.10!$D$13,2)</f>
        <v/>
      </c>
      <c r="J582" s="268">
        <f>ROUND(I582*E582,2)</f>
        <v/>
      </c>
    </row>
    <row r="583" hidden="1" outlineLevel="1" ht="38.25" customFormat="1" customHeight="1" s="255">
      <c r="A583" s="357" t="n">
        <v>555</v>
      </c>
      <c r="B583" s="265" t="inlineStr">
        <is>
          <t>24.2.06.04-0001</t>
        </is>
      </c>
      <c r="C583" s="356" t="inlineStr">
        <is>
          <t>Муфты хризотилцементные БНМ для безнапорных труб, номинальный диаметр 100 мм</t>
        </is>
      </c>
      <c r="D583" s="357" t="inlineStr">
        <is>
          <t>шт</t>
        </is>
      </c>
      <c r="E583" s="267" t="n">
        <v>108</v>
      </c>
      <c r="F583" s="359" t="n">
        <v>7.55</v>
      </c>
      <c r="G583" s="268">
        <f>ROUND(E583*F583,2)</f>
        <v/>
      </c>
      <c r="H583" s="269">
        <f>G583/$G$1004</f>
        <v/>
      </c>
      <c r="I583" s="268">
        <f>ROUND(F583*Прил.10!$D$13,2)</f>
        <v/>
      </c>
      <c r="J583" s="268">
        <f>ROUND(I583*E583,2)</f>
        <v/>
      </c>
    </row>
    <row r="584" hidden="1" outlineLevel="1" ht="14.25" customFormat="1" customHeight="1" s="255">
      <c r="A584" s="357" t="n">
        <v>556</v>
      </c>
      <c r="B584" s="265" t="inlineStr">
        <is>
          <t>01.7.15.04-0042</t>
        </is>
      </c>
      <c r="C584" s="356" t="inlineStr">
        <is>
          <t>Винты самонарезающие: MN 22</t>
        </is>
      </c>
      <c r="D584" s="357" t="inlineStr">
        <is>
          <t>100 шт</t>
        </is>
      </c>
      <c r="E584" s="267" t="n">
        <v>22.4</v>
      </c>
      <c r="F584" s="359" t="n">
        <v>36</v>
      </c>
      <c r="G584" s="268">
        <f>ROUND(E584*F584,2)</f>
        <v/>
      </c>
      <c r="H584" s="269">
        <f>G584/$G$1004</f>
        <v/>
      </c>
      <c r="I584" s="268">
        <f>ROUND(F584*Прил.10!$D$13,2)</f>
        <v/>
      </c>
      <c r="J584" s="268">
        <f>ROUND(I584*E584,2)</f>
        <v/>
      </c>
    </row>
    <row r="585" hidden="1" outlineLevel="1" ht="14.25" customFormat="1" customHeight="1" s="255">
      <c r="A585" s="357" t="n">
        <v>557</v>
      </c>
      <c r="B585" s="265" t="inlineStr">
        <is>
          <t>Прайс из СД ОП</t>
        </is>
      </c>
      <c r="C585" s="356" t="inlineStr">
        <is>
          <t xml:space="preserve">Решетка РОН-1250х700-30-С </t>
        </is>
      </c>
      <c r="D585" s="357" t="inlineStr">
        <is>
          <t>шт.</t>
        </is>
      </c>
      <c r="E585" s="267" t="n">
        <v>2</v>
      </c>
      <c r="F585" s="359" t="n">
        <v>396.98</v>
      </c>
      <c r="G585" s="268">
        <f>ROUND(E585*F585,2)</f>
        <v/>
      </c>
      <c r="H585" s="269">
        <f>G585/$G$1004</f>
        <v/>
      </c>
      <c r="I585" s="268">
        <f>ROUND(F585*Прил.10!$D$13,2)</f>
        <v/>
      </c>
      <c r="J585" s="268">
        <f>ROUND(I585*E585,2)</f>
        <v/>
      </c>
    </row>
    <row r="586" hidden="1" outlineLevel="1" ht="25.5" customFormat="1" customHeight="1" s="255">
      <c r="A586" s="357" t="n">
        <v>558</v>
      </c>
      <c r="B586" s="265" t="inlineStr">
        <is>
          <t>01.7.19.04-0024</t>
        </is>
      </c>
      <c r="C586" s="356" t="inlineStr">
        <is>
          <t>Пластины резиновые технические типа ТМКЩ, толщина от 2 до 40 мм</t>
        </is>
      </c>
      <c r="D586" s="357" t="inlineStr">
        <is>
          <t>кг</t>
        </is>
      </c>
      <c r="E586" s="267" t="n">
        <v>52.4</v>
      </c>
      <c r="F586" s="359" t="n">
        <v>15.03</v>
      </c>
      <c r="G586" s="268">
        <f>ROUND(E586*F586,2)</f>
        <v/>
      </c>
      <c r="H586" s="269">
        <f>G586/$G$1004</f>
        <v/>
      </c>
      <c r="I586" s="268">
        <f>ROUND(F586*Прил.10!$D$13,2)</f>
        <v/>
      </c>
      <c r="J586" s="268">
        <f>ROUND(I586*E586,2)</f>
        <v/>
      </c>
    </row>
    <row r="587" hidden="1" outlineLevel="1" ht="51" customFormat="1" customHeight="1" s="255">
      <c r="A587" s="357" t="n">
        <v>559</v>
      </c>
      <c r="B587" s="265" t="inlineStr">
        <is>
          <t>23.2.02.02-0013</t>
        </is>
      </c>
      <c r="C587" s="356" t="inlineStr">
        <is>
          <t>Трубы медные круглые тянутые и холоднокатаные (марки меди М2, М3), наружным диаметром: 12,7 мм, толщиной стенки 0,8 мм</t>
        </is>
      </c>
      <c r="D587" s="357" t="inlineStr">
        <is>
          <t>м</t>
        </is>
      </c>
      <c r="E587" s="267" t="n">
        <v>16</v>
      </c>
      <c r="F587" s="359" t="n">
        <v>48.22</v>
      </c>
      <c r="G587" s="268">
        <f>ROUND(E587*F587,2)</f>
        <v/>
      </c>
      <c r="H587" s="269">
        <f>G587/$G$1004</f>
        <v/>
      </c>
      <c r="I587" s="268">
        <f>ROUND(F587*Прил.10!$D$13,2)</f>
        <v/>
      </c>
      <c r="J587" s="268">
        <f>ROUND(I587*E587,2)</f>
        <v/>
      </c>
    </row>
    <row r="588" hidden="1" outlineLevel="1" ht="38.25" customFormat="1" customHeight="1" s="255">
      <c r="A588" s="357" t="n">
        <v>560</v>
      </c>
      <c r="B588" s="265" t="inlineStr">
        <is>
          <t>12.1.01.05-0051</t>
        </is>
      </c>
      <c r="C588" s="356" t="inlineStr">
        <is>
          <t>Колено трубы 60° металлическое для водосточных систем, покрытие полиэстер, диаметр 150 мм</t>
        </is>
      </c>
      <c r="D588" s="357" t="inlineStr">
        <is>
          <t>шт</t>
        </is>
      </c>
      <c r="E588" s="267" t="n">
        <v>9</v>
      </c>
      <c r="F588" s="359" t="n">
        <v>83.12</v>
      </c>
      <c r="G588" s="268">
        <f>ROUND(E588*F588,2)</f>
        <v/>
      </c>
      <c r="H588" s="269">
        <f>G588/$G$1004</f>
        <v/>
      </c>
      <c r="I588" s="268">
        <f>ROUND(F588*Прил.10!$D$13,2)</f>
        <v/>
      </c>
      <c r="J588" s="268">
        <f>ROUND(I588*E588,2)</f>
        <v/>
      </c>
    </row>
    <row r="589" hidden="1" outlineLevel="1" ht="14.25" customFormat="1" customHeight="1" s="255">
      <c r="A589" s="357" t="n">
        <v>561</v>
      </c>
      <c r="B589" s="265" t="inlineStr">
        <is>
          <t>11.1.03.01-0001</t>
        </is>
      </c>
      <c r="C589" s="356" t="inlineStr">
        <is>
          <t>Бруски деревянные, размер 50х50 мм</t>
        </is>
      </c>
      <c r="D589" s="357" t="inlineStr">
        <is>
          <t>м3</t>
        </is>
      </c>
      <c r="E589" s="267" t="n">
        <v>0.4404</v>
      </c>
      <c r="F589" s="359" t="n">
        <v>1668</v>
      </c>
      <c r="G589" s="268">
        <f>ROUND(E589*F589,2)</f>
        <v/>
      </c>
      <c r="H589" s="269">
        <f>G589/$G$1004</f>
        <v/>
      </c>
      <c r="I589" s="268">
        <f>ROUND(F589*Прил.10!$D$13,2)</f>
        <v/>
      </c>
      <c r="J589" s="268">
        <f>ROUND(I589*E589,2)</f>
        <v/>
      </c>
    </row>
    <row r="590" hidden="1" outlineLevel="1" ht="14.25" customFormat="1" customHeight="1" s="255">
      <c r="A590" s="357" t="n">
        <v>562</v>
      </c>
      <c r="B590" s="265" t="inlineStr">
        <is>
          <t>Прайс из СД ОП</t>
        </is>
      </c>
      <c r="C590" s="356" t="inlineStr">
        <is>
          <t>Подвес тросовый КЛ-ПТ УЗ, ТУ 36-13-80</t>
        </is>
      </c>
      <c r="D590" s="357" t="inlineStr">
        <is>
          <t>шт.</t>
        </is>
      </c>
      <c r="E590" s="267" t="n">
        <v>81</v>
      </c>
      <c r="F590" s="359" t="n">
        <v>8.98</v>
      </c>
      <c r="G590" s="268">
        <f>ROUND(E590*F590,2)</f>
        <v/>
      </c>
      <c r="H590" s="269">
        <f>G590/$G$1004</f>
        <v/>
      </c>
      <c r="I590" s="268">
        <f>ROUND(F590*Прил.10!$D$13,2)</f>
        <v/>
      </c>
      <c r="J590" s="268">
        <f>ROUND(I590*E590,2)</f>
        <v/>
      </c>
    </row>
    <row r="591" hidden="1" outlineLevel="1" ht="14.25" customFormat="1" customHeight="1" s="255">
      <c r="A591" s="357" t="n">
        <v>563</v>
      </c>
      <c r="B591" s="265" t="inlineStr">
        <is>
          <t>03.1.01.01-0002</t>
        </is>
      </c>
      <c r="C591" s="356" t="inlineStr">
        <is>
          <t>Гипс строительный Г-3</t>
        </is>
      </c>
      <c r="D591" s="357" t="inlineStr">
        <is>
          <t>т</t>
        </is>
      </c>
      <c r="E591" s="267" t="n">
        <v>0.9956</v>
      </c>
      <c r="F591" s="359" t="n">
        <v>729.98</v>
      </c>
      <c r="G591" s="268">
        <f>ROUND(E591*F591,2)</f>
        <v/>
      </c>
      <c r="H591" s="269">
        <f>G591/$G$1004</f>
        <v/>
      </c>
      <c r="I591" s="268">
        <f>ROUND(F591*Прил.10!$D$13,2)</f>
        <v/>
      </c>
      <c r="J591" s="268">
        <f>ROUND(I591*E591,2)</f>
        <v/>
      </c>
    </row>
    <row r="592" hidden="1" outlineLevel="1" ht="89.45" customFormat="1" customHeight="1" s="255">
      <c r="A592" s="357" t="n">
        <v>564</v>
      </c>
      <c r="B592" s="265" t="inlineStr">
        <is>
          <t>14.5.01.10-0029</t>
        </is>
      </c>
      <c r="C592" s="356" t="inlineStr">
        <is>
          <t>Пена монтажная полиуретановая противопожарная однокомпонентная модифицированная для заполнения, уплотнения, утепления, изоляции и соединения швов и стыков в местах с повышенными требованиями пожарной безопасности (0,88 л)</t>
        </is>
      </c>
      <c r="D592" s="357" t="inlineStr">
        <is>
          <t>шт</t>
        </is>
      </c>
      <c r="E592" s="267" t="n">
        <v>6.559</v>
      </c>
      <c r="F592" s="359" t="n">
        <v>110.11</v>
      </c>
      <c r="G592" s="268">
        <f>ROUND(E592*F592,2)</f>
        <v/>
      </c>
      <c r="H592" s="269">
        <f>G592/$G$1004</f>
        <v/>
      </c>
      <c r="I592" s="268">
        <f>ROUND(F592*Прил.10!$D$13,2)</f>
        <v/>
      </c>
      <c r="J592" s="268">
        <f>ROUND(I592*E592,2)</f>
        <v/>
      </c>
    </row>
    <row r="593" hidden="1" outlineLevel="1" ht="14.25" customFormat="1" customHeight="1" s="255">
      <c r="A593" s="357" t="n">
        <v>565</v>
      </c>
      <c r="B593" s="265" t="inlineStr">
        <is>
          <t>20.1.02.19-0012</t>
        </is>
      </c>
      <c r="C593" s="356" t="inlineStr">
        <is>
          <t>Трос</t>
        </is>
      </c>
      <c r="D593" s="357" t="inlineStr">
        <is>
          <t>м</t>
        </is>
      </c>
      <c r="E593" s="267" t="n">
        <v>60</v>
      </c>
      <c r="F593" s="359" t="n">
        <v>12.03</v>
      </c>
      <c r="G593" s="268">
        <f>ROUND(E593*F593,2)</f>
        <v/>
      </c>
      <c r="H593" s="269">
        <f>G593/$G$1004</f>
        <v/>
      </c>
      <c r="I593" s="268">
        <f>ROUND(F593*Прил.10!$D$13,2)</f>
        <v/>
      </c>
      <c r="J593" s="268">
        <f>ROUND(I593*E593,2)</f>
        <v/>
      </c>
    </row>
    <row r="594" hidden="1" outlineLevel="1" ht="14.25" customFormat="1" customHeight="1" s="255">
      <c r="A594" s="357" t="n">
        <v>566</v>
      </c>
      <c r="B594" s="265" t="inlineStr">
        <is>
          <t>01.7.15.07-0152</t>
        </is>
      </c>
      <c r="C594" s="356" t="inlineStr">
        <is>
          <t>Дюбели с шурупом, размер 6х35 мм</t>
        </is>
      </c>
      <c r="D594" s="357" t="inlineStr">
        <is>
          <t>100 шт</t>
        </is>
      </c>
      <c r="E594" s="267" t="n">
        <v>89.2542</v>
      </c>
      <c r="F594" s="359" t="n">
        <v>8</v>
      </c>
      <c r="G594" s="268">
        <f>ROUND(E594*F594,2)</f>
        <v/>
      </c>
      <c r="H594" s="269">
        <f>G594/$G$1004</f>
        <v/>
      </c>
      <c r="I594" s="268">
        <f>ROUND(F594*Прил.10!$D$13,2)</f>
        <v/>
      </c>
      <c r="J594" s="268">
        <f>ROUND(I594*E594,2)</f>
        <v/>
      </c>
    </row>
    <row r="595" hidden="1" outlineLevel="1" ht="14.25" customFormat="1" customHeight="1" s="255">
      <c r="A595" s="357" t="n">
        <v>567</v>
      </c>
      <c r="B595" s="265" t="inlineStr">
        <is>
          <t>20.1.02.14-0001</t>
        </is>
      </c>
      <c r="C595" s="356" t="inlineStr">
        <is>
          <t>Серьга</t>
        </is>
      </c>
      <c r="D595" s="357" t="inlineStr">
        <is>
          <t>шт</t>
        </is>
      </c>
      <c r="E595" s="267" t="n">
        <v>67.48</v>
      </c>
      <c r="F595" s="359" t="n">
        <v>10.54</v>
      </c>
      <c r="G595" s="268">
        <f>ROUND(E595*F595,2)</f>
        <v/>
      </c>
      <c r="H595" s="269">
        <f>G595/$G$1004</f>
        <v/>
      </c>
      <c r="I595" s="268">
        <f>ROUND(F595*Прил.10!$D$13,2)</f>
        <v/>
      </c>
      <c r="J595" s="268">
        <f>ROUND(I595*E595,2)</f>
        <v/>
      </c>
    </row>
    <row r="596" hidden="1" outlineLevel="1" ht="14.25" customFormat="1" customHeight="1" s="255">
      <c r="A596" s="357" t="n">
        <v>568</v>
      </c>
      <c r="B596" s="265" t="inlineStr">
        <is>
          <t>Прайс из СД ОП</t>
        </is>
      </c>
      <c r="C596" s="356" t="inlineStr">
        <is>
          <t>Комплект виброизоляторов КИВ-4</t>
        </is>
      </c>
      <c r="D596" s="357" t="inlineStr">
        <is>
          <t>шт.</t>
        </is>
      </c>
      <c r="E596" s="267" t="n">
        <v>5</v>
      </c>
      <c r="F596" s="359" t="n">
        <v>141.8</v>
      </c>
      <c r="G596" s="268">
        <f>ROUND(E596*F596,2)</f>
        <v/>
      </c>
      <c r="H596" s="269">
        <f>G596/$G$1004</f>
        <v/>
      </c>
      <c r="I596" s="268">
        <f>ROUND(F596*Прил.10!$D$13,2)</f>
        <v/>
      </c>
      <c r="J596" s="268">
        <f>ROUND(I596*E596,2)</f>
        <v/>
      </c>
    </row>
    <row r="597" hidden="1" outlineLevel="1" ht="38.25" customFormat="1" customHeight="1" s="255">
      <c r="A597" s="357" t="n">
        <v>569</v>
      </c>
      <c r="B597" s="265" t="inlineStr">
        <is>
          <t>24.3.03.02-0001</t>
        </is>
      </c>
      <c r="C597" s="356" t="inlineStr">
        <is>
          <t>Блок трубопровода полиэтиленовый для систем водоотведения из труб высокой плотности, диаметр 50 мм, с гильзами</t>
        </is>
      </c>
      <c r="D597" s="357" t="inlineStr">
        <is>
          <t>м</t>
        </is>
      </c>
      <c r="E597" s="267" t="n">
        <v>17.96</v>
      </c>
      <c r="F597" s="359" t="n">
        <v>39.36</v>
      </c>
      <c r="G597" s="268">
        <f>ROUND(E597*F597,2)</f>
        <v/>
      </c>
      <c r="H597" s="269">
        <f>G597/$G$1004</f>
        <v/>
      </c>
      <c r="I597" s="268">
        <f>ROUND(F597*Прил.10!$D$13,2)</f>
        <v/>
      </c>
      <c r="J597" s="268">
        <f>ROUND(I597*E597,2)</f>
        <v/>
      </c>
    </row>
    <row r="598" hidden="1" outlineLevel="1" ht="14.25" customFormat="1" customHeight="1" s="255">
      <c r="A598" s="357" t="n">
        <v>570</v>
      </c>
      <c r="B598" s="265" t="inlineStr">
        <is>
          <t>20.1.02.23-0082</t>
        </is>
      </c>
      <c r="C598" s="356" t="inlineStr">
        <is>
          <t>Перемычки гибкие, тип ПГС-50</t>
        </is>
      </c>
      <c r="D598" s="357" t="inlineStr">
        <is>
          <t>10 шт</t>
        </is>
      </c>
      <c r="E598" s="267" t="n">
        <v>17.9376</v>
      </c>
      <c r="F598" s="359" t="n">
        <v>39</v>
      </c>
      <c r="G598" s="268">
        <f>ROUND(E598*F598,2)</f>
        <v/>
      </c>
      <c r="H598" s="269">
        <f>G598/$G$1004</f>
        <v/>
      </c>
      <c r="I598" s="268">
        <f>ROUND(F598*Прил.10!$D$13,2)</f>
        <v/>
      </c>
      <c r="J598" s="268">
        <f>ROUND(I598*E598,2)</f>
        <v/>
      </c>
    </row>
    <row r="599" hidden="1" outlineLevel="1" ht="38.25" customFormat="1" customHeight="1" s="255">
      <c r="A599" s="357" t="n">
        <v>571</v>
      </c>
      <c r="B599" s="265" t="inlineStr">
        <is>
          <t>11.1.03.01-0077</t>
        </is>
      </c>
      <c r="C599" s="356" t="inlineStr">
        <is>
          <t>Бруски обрезные, хвойных пород, длина 4-6,5 м, ширина 75-150 мм, толщина 40-75 мм, сорт I</t>
        </is>
      </c>
      <c r="D599" s="357" t="inlineStr">
        <is>
          <t>м3</t>
        </is>
      </c>
      <c r="E599" s="267" t="n">
        <v>0.4029</v>
      </c>
      <c r="F599" s="359" t="n">
        <v>1700</v>
      </c>
      <c r="G599" s="268">
        <f>ROUND(E599*F599,2)</f>
        <v/>
      </c>
      <c r="H599" s="269">
        <f>G599/$G$1004</f>
        <v/>
      </c>
      <c r="I599" s="268">
        <f>ROUND(F599*Прил.10!$D$13,2)</f>
        <v/>
      </c>
      <c r="J599" s="268">
        <f>ROUND(I599*E599,2)</f>
        <v/>
      </c>
    </row>
    <row r="600" hidden="1" outlineLevel="1" ht="14.25" customFormat="1" customHeight="1" s="255">
      <c r="A600" s="357" t="n">
        <v>572</v>
      </c>
      <c r="B600" s="265" t="inlineStr">
        <is>
          <t>18.2.02.07-0001</t>
        </is>
      </c>
      <c r="C600" s="356" t="inlineStr">
        <is>
          <t>Поддоны душевые</t>
        </is>
      </c>
      <c r="D600" s="357" t="inlineStr">
        <is>
          <t>компл</t>
        </is>
      </c>
      <c r="E600" s="267" t="n">
        <v>2</v>
      </c>
      <c r="F600" s="359" t="n">
        <v>341.5</v>
      </c>
      <c r="G600" s="268">
        <f>ROUND(E600*F600,2)</f>
        <v/>
      </c>
      <c r="H600" s="269">
        <f>G600/$G$1004</f>
        <v/>
      </c>
      <c r="I600" s="268">
        <f>ROUND(F600*Прил.10!$D$13,2)</f>
        <v/>
      </c>
      <c r="J600" s="268">
        <f>ROUND(I600*E600,2)</f>
        <v/>
      </c>
    </row>
    <row r="601" hidden="1" outlineLevel="1" ht="25.5" customFormat="1" customHeight="1" s="255">
      <c r="A601" s="357" t="n">
        <v>573</v>
      </c>
      <c r="B601" s="265" t="inlineStr">
        <is>
          <t>14.5.04.03-0005</t>
        </is>
      </c>
      <c r="C601" s="356" t="inlineStr">
        <is>
          <t>Мастика герметизирующая нетвердеющая строительная</t>
        </is>
      </c>
      <c r="D601" s="357" t="inlineStr">
        <is>
          <t>т</t>
        </is>
      </c>
      <c r="E601" s="267" t="n">
        <v>0.054</v>
      </c>
      <c r="F601" s="359" t="n">
        <v>12585</v>
      </c>
      <c r="G601" s="268">
        <f>ROUND(E601*F601,2)</f>
        <v/>
      </c>
      <c r="H601" s="269">
        <f>G601/$G$1004</f>
        <v/>
      </c>
      <c r="I601" s="268">
        <f>ROUND(F601*Прил.10!$D$13,2)</f>
        <v/>
      </c>
      <c r="J601" s="268">
        <f>ROUND(I601*E601,2)</f>
        <v/>
      </c>
    </row>
    <row r="602" hidden="1" outlineLevel="1" ht="14.25" customFormat="1" customHeight="1" s="255">
      <c r="A602" s="357" t="n">
        <v>574</v>
      </c>
      <c r="B602" s="265" t="inlineStr">
        <is>
          <t>01.3.01.03-0002</t>
        </is>
      </c>
      <c r="C602" s="356" t="inlineStr">
        <is>
          <t>Керосин для технических целей</t>
        </is>
      </c>
      <c r="D602" s="357" t="inlineStr">
        <is>
          <t>т</t>
        </is>
      </c>
      <c r="E602" s="267" t="n">
        <v>0.2579</v>
      </c>
      <c r="F602" s="359" t="n">
        <v>2606.9</v>
      </c>
      <c r="G602" s="268">
        <f>ROUND(E602*F602,2)</f>
        <v/>
      </c>
      <c r="H602" s="269">
        <f>G602/$G$1004</f>
        <v/>
      </c>
      <c r="I602" s="268">
        <f>ROUND(F602*Прил.10!$D$13,2)</f>
        <v/>
      </c>
      <c r="J602" s="268">
        <f>ROUND(I602*E602,2)</f>
        <v/>
      </c>
    </row>
    <row r="603" hidden="1" outlineLevel="1" ht="51" customFormat="1" customHeight="1" s="255">
      <c r="A603" s="357" t="n">
        <v>575</v>
      </c>
      <c r="B603" s="265" t="inlineStr">
        <is>
          <t>23.8.03.11-0125</t>
        </is>
      </c>
      <c r="C603" s="356" t="inlineStr">
        <is>
          <t>Фланцы стальные плоские приварные с соединительным выступом, марка стали ВСт3сп2, ВСт3сп3, номинальное давление 1 МПа, номинальный диаметр 25 мм</t>
        </is>
      </c>
      <c r="D603" s="357" t="inlineStr">
        <is>
          <t>шт</t>
        </is>
      </c>
      <c r="E603" s="267" t="n">
        <v>24</v>
      </c>
      <c r="F603" s="359" t="n">
        <v>27.26</v>
      </c>
      <c r="G603" s="268">
        <f>ROUND(E603*F603,2)</f>
        <v/>
      </c>
      <c r="H603" s="269">
        <f>G603/$G$1004</f>
        <v/>
      </c>
      <c r="I603" s="268">
        <f>ROUND(F603*Прил.10!$D$13,2)</f>
        <v/>
      </c>
      <c r="J603" s="268">
        <f>ROUND(I603*E603,2)</f>
        <v/>
      </c>
    </row>
    <row r="604" hidden="1" outlineLevel="1" ht="14.25" customFormat="1" customHeight="1" s="255">
      <c r="A604" s="357" t="n">
        <v>576</v>
      </c>
      <c r="B604" s="265" t="inlineStr">
        <is>
          <t>02.2.02.02-0001</t>
        </is>
      </c>
      <c r="C604" s="356" t="inlineStr">
        <is>
          <t>Каменная мелочь М 300</t>
        </is>
      </c>
      <c r="D604" s="357" t="inlineStr">
        <is>
          <t>м3</t>
        </is>
      </c>
      <c r="E604" s="267" t="n">
        <v>1.258</v>
      </c>
      <c r="F604" s="359" t="n">
        <v>518.5700000000001</v>
      </c>
      <c r="G604" s="268">
        <f>ROUND(E604*F604,2)</f>
        <v/>
      </c>
      <c r="H604" s="269">
        <f>G604/$G$1004</f>
        <v/>
      </c>
      <c r="I604" s="268">
        <f>ROUND(F604*Прил.10!$D$13,2)</f>
        <v/>
      </c>
      <c r="J604" s="268">
        <f>ROUND(I604*E604,2)</f>
        <v/>
      </c>
    </row>
    <row r="605" hidden="1" outlineLevel="1" ht="14.25" customFormat="1" customHeight="1" s="255">
      <c r="A605" s="357" t="n">
        <v>577</v>
      </c>
      <c r="B605" s="265" t="inlineStr">
        <is>
          <t>08.3.11.01-0050</t>
        </is>
      </c>
      <c r="C605" s="356" t="inlineStr">
        <is>
          <t>Швеллеры № 10, марка стали Ст3пс5</t>
        </is>
      </c>
      <c r="D605" s="357" t="inlineStr">
        <is>
          <t>т</t>
        </is>
      </c>
      <c r="E605" s="267" t="n">
        <v>0.0958</v>
      </c>
      <c r="F605" s="359" t="n">
        <v>6780</v>
      </c>
      <c r="G605" s="268">
        <f>ROUND(E605*F605,2)</f>
        <v/>
      </c>
      <c r="H605" s="269">
        <f>G605/$G$1004</f>
        <v/>
      </c>
      <c r="I605" s="268">
        <f>ROUND(F605*Прил.10!$D$13,2)</f>
        <v/>
      </c>
      <c r="J605" s="268">
        <f>ROUND(I605*E605,2)</f>
        <v/>
      </c>
    </row>
    <row r="606" hidden="1" outlineLevel="1" ht="38.25" customFormat="1" customHeight="1" s="255">
      <c r="A606" s="357" t="n">
        <v>578</v>
      </c>
      <c r="B606" s="265" t="inlineStr">
        <is>
          <t>24.3.01.02-0022</t>
        </is>
      </c>
      <c r="C606" s="356" t="inlineStr">
        <is>
          <t>Трубы гибкие гофрированные легкие из самозатухающего ПВХ (IP55) серии FL, с зондом, диаметром: 20 мм</t>
        </is>
      </c>
      <c r="D606" s="357" t="inlineStr">
        <is>
          <t>10 м</t>
        </is>
      </c>
      <c r="E606" s="267" t="n">
        <v>30.36</v>
      </c>
      <c r="F606" s="359" t="n">
        <v>21.2</v>
      </c>
      <c r="G606" s="268">
        <f>ROUND(E606*F606,2)</f>
        <v/>
      </c>
      <c r="H606" s="269">
        <f>G606/$G$1004</f>
        <v/>
      </c>
      <c r="I606" s="268">
        <f>ROUND(F606*Прил.10!$D$13,2)</f>
        <v/>
      </c>
      <c r="J606" s="268">
        <f>ROUND(I606*E606,2)</f>
        <v/>
      </c>
    </row>
    <row r="607" hidden="1" outlineLevel="1" ht="25.5" customFormat="1" customHeight="1" s="255">
      <c r="A607" s="357" t="n">
        <v>579</v>
      </c>
      <c r="B607" s="265" t="inlineStr">
        <is>
          <t>Прайс из СД ОП</t>
        </is>
      </c>
      <c r="C607" s="356" t="inlineStr">
        <is>
          <t xml:space="preserve">Соединитель мягкий СОМ 100-ВРАН-100А-Ц </t>
        </is>
      </c>
      <c r="D607" s="357" t="inlineStr">
        <is>
          <t>шт.</t>
        </is>
      </c>
      <c r="E607" s="267" t="n">
        <v>2</v>
      </c>
      <c r="F607" s="359" t="n">
        <v>321.35</v>
      </c>
      <c r="G607" s="268">
        <f>ROUND(E607*F607,2)</f>
        <v/>
      </c>
      <c r="H607" s="269">
        <f>G607/$G$1004</f>
        <v/>
      </c>
      <c r="I607" s="268">
        <f>ROUND(F607*Прил.10!$D$13,2)</f>
        <v/>
      </c>
      <c r="J607" s="268">
        <f>ROUND(I607*E607,2)</f>
        <v/>
      </c>
    </row>
    <row r="608" hidden="1" outlineLevel="1" ht="38.25" customFormat="1" customHeight="1" s="255">
      <c r="A608" s="357" t="n">
        <v>580</v>
      </c>
      <c r="B608" s="265" t="inlineStr">
        <is>
          <t>01.7.15.03-0013</t>
        </is>
      </c>
      <c r="C608" s="356" t="inlineStr">
        <is>
          <t>Болты с гайками и шайбами для санитарно-технических работ, диаметр 12 мм</t>
        </is>
      </c>
      <c r="D608" s="357" t="inlineStr">
        <is>
          <t>т</t>
        </is>
      </c>
      <c r="E608" s="267" t="n">
        <v>0.0417</v>
      </c>
      <c r="F608" s="359" t="n">
        <v>15323</v>
      </c>
      <c r="G608" s="268">
        <f>ROUND(E608*F608,2)</f>
        <v/>
      </c>
      <c r="H608" s="269">
        <f>G608/$G$1004</f>
        <v/>
      </c>
      <c r="I608" s="268">
        <f>ROUND(F608*Прил.10!$D$13,2)</f>
        <v/>
      </c>
      <c r="J608" s="268">
        <f>ROUND(I608*E608,2)</f>
        <v/>
      </c>
    </row>
    <row r="609" hidden="1" outlineLevel="1" ht="14.25" customFormat="1" customHeight="1" s="255">
      <c r="A609" s="357" t="n">
        <v>581</v>
      </c>
      <c r="B609" s="265" t="inlineStr">
        <is>
          <t>Прайс из СД ОП</t>
        </is>
      </c>
      <c r="C609" s="356" t="inlineStr">
        <is>
          <t xml:space="preserve">Решетка декоративная Р25-900х620-С </t>
        </is>
      </c>
      <c r="D609" s="357" t="inlineStr">
        <is>
          <t>шт.</t>
        </is>
      </c>
      <c r="E609" s="267" t="n">
        <v>1</v>
      </c>
      <c r="F609" s="359" t="n">
        <v>632.28</v>
      </c>
      <c r="G609" s="268">
        <f>ROUND(E609*F609,2)</f>
        <v/>
      </c>
      <c r="H609" s="269">
        <f>G609/$G$1004</f>
        <v/>
      </c>
      <c r="I609" s="268">
        <f>ROUND(F609*Прил.10!$D$13,2)</f>
        <v/>
      </c>
      <c r="J609" s="268">
        <f>ROUND(I609*E609,2)</f>
        <v/>
      </c>
    </row>
    <row r="610" hidden="1" outlineLevel="1" ht="14.25" customFormat="1" customHeight="1" s="255">
      <c r="A610" s="357" t="n">
        <v>582</v>
      </c>
      <c r="B610" s="265" t="inlineStr">
        <is>
          <t>Прайс из СД ОП</t>
        </is>
      </c>
      <c r="C610" s="356" t="inlineStr">
        <is>
          <t xml:space="preserve">Решетка декоративная Р50-900*620-С </t>
        </is>
      </c>
      <c r="D610" s="357" t="inlineStr">
        <is>
          <t>шт.</t>
        </is>
      </c>
      <c r="E610" s="267" t="n">
        <v>1</v>
      </c>
      <c r="F610" s="359" t="n">
        <v>632.28</v>
      </c>
      <c r="G610" s="268">
        <f>ROUND(E610*F610,2)</f>
        <v/>
      </c>
      <c r="H610" s="269">
        <f>G610/$G$1004</f>
        <v/>
      </c>
      <c r="I610" s="268">
        <f>ROUND(F610*Прил.10!$D$13,2)</f>
        <v/>
      </c>
      <c r="J610" s="268">
        <f>ROUND(I610*E610,2)</f>
        <v/>
      </c>
    </row>
    <row r="611" hidden="1" outlineLevel="1" ht="38.25" customFormat="1" customHeight="1" s="255">
      <c r="A611" s="357" t="n">
        <v>583</v>
      </c>
      <c r="B611" s="265" t="inlineStr">
        <is>
          <t>19.2.03.02-0112</t>
        </is>
      </c>
      <c r="C611" s="356" t="inlineStr">
        <is>
          <t>Решетки вентиляционные алюминиевые "АРКТОС" типа: АМР, размером 150х300 мм</t>
        </is>
      </c>
      <c r="D611" s="357" t="inlineStr">
        <is>
          <t>шт</t>
        </is>
      </c>
      <c r="E611" s="267" t="n">
        <v>4</v>
      </c>
      <c r="F611" s="359" t="n">
        <v>158.07</v>
      </c>
      <c r="G611" s="268">
        <f>ROUND(E611*F611,2)</f>
        <v/>
      </c>
      <c r="H611" s="269">
        <f>G611/$G$1004</f>
        <v/>
      </c>
      <c r="I611" s="268">
        <f>ROUND(F611*Прил.10!$D$13,2)</f>
        <v/>
      </c>
      <c r="J611" s="268">
        <f>ROUND(I611*E611,2)</f>
        <v/>
      </c>
    </row>
    <row r="612" hidden="1" outlineLevel="1" ht="25.5" customFormat="1" customHeight="1" s="255">
      <c r="A612" s="357" t="n">
        <v>584</v>
      </c>
      <c r="B612" s="265" t="inlineStr">
        <is>
          <t>21.1.06.10-0169</t>
        </is>
      </c>
      <c r="C612" s="356" t="inlineStr">
        <is>
          <t>Кабель силовой с медными жилами ВВГнг(A)-FRLS 3х2,5ок-1000</t>
        </is>
      </c>
      <c r="D612" s="357" t="inlineStr">
        <is>
          <t>1000 м</t>
        </is>
      </c>
      <c r="E612" s="267" t="n">
        <v>0.0255</v>
      </c>
      <c r="F612" s="359" t="n">
        <v>24712.04</v>
      </c>
      <c r="G612" s="268">
        <f>ROUND(E612*F612,2)</f>
        <v/>
      </c>
      <c r="H612" s="269">
        <f>G612/$G$1004</f>
        <v/>
      </c>
      <c r="I612" s="268">
        <f>ROUND(F612*Прил.10!$D$13,2)</f>
        <v/>
      </c>
      <c r="J612" s="268">
        <f>ROUND(I612*E612,2)</f>
        <v/>
      </c>
    </row>
    <row r="613" hidden="1" outlineLevel="1" ht="14.25" customFormat="1" customHeight="1" s="255">
      <c r="A613" s="357" t="n">
        <v>585</v>
      </c>
      <c r="B613" s="265" t="inlineStr">
        <is>
          <t>Прайс из СД ОП</t>
        </is>
      </c>
      <c r="C613" s="356" t="inlineStr">
        <is>
          <t>Решетка декоративная Р50-600х620-С</t>
        </is>
      </c>
      <c r="D613" s="357" t="inlineStr">
        <is>
          <t>шт.</t>
        </is>
      </c>
      <c r="E613" s="267" t="n">
        <v>1</v>
      </c>
      <c r="F613" s="359" t="n">
        <v>625.0599999999999</v>
      </c>
      <c r="G613" s="268">
        <f>ROUND(E613*F613,2)</f>
        <v/>
      </c>
      <c r="H613" s="269">
        <f>G613/$G$1004</f>
        <v/>
      </c>
      <c r="I613" s="268">
        <f>ROUND(F613*Прил.10!$D$13,2)</f>
        <v/>
      </c>
      <c r="J613" s="268">
        <f>ROUND(I613*E613,2)</f>
        <v/>
      </c>
    </row>
    <row r="614" hidden="1" outlineLevel="1" ht="14.25" customFormat="1" customHeight="1" s="255">
      <c r="A614" s="357" t="n">
        <v>586</v>
      </c>
      <c r="B614" s="265" t="inlineStr">
        <is>
          <t>24.3.03.01-0218</t>
        </is>
      </c>
      <c r="C614" s="356" t="inlineStr">
        <is>
          <t>Трубка термоусаживаемая</t>
        </is>
      </c>
      <c r="D614" s="357" t="inlineStr">
        <is>
          <t>м</t>
        </is>
      </c>
      <c r="E614" s="267" t="n">
        <v>50</v>
      </c>
      <c r="F614" s="359" t="n">
        <v>12.5</v>
      </c>
      <c r="G614" s="268">
        <f>ROUND(E614*F614,2)</f>
        <v/>
      </c>
      <c r="H614" s="269">
        <f>G614/$G$1004</f>
        <v/>
      </c>
      <c r="I614" s="268">
        <f>ROUND(F614*Прил.10!$D$13,2)</f>
        <v/>
      </c>
      <c r="J614" s="268">
        <f>ROUND(I614*E614,2)</f>
        <v/>
      </c>
    </row>
    <row r="615" hidden="1" outlineLevel="1" ht="25.5" customFormat="1" customHeight="1" s="255">
      <c r="A615" s="357" t="n">
        <v>587</v>
      </c>
      <c r="B615" s="265" t="inlineStr">
        <is>
          <t>04.3.01.09-0015</t>
        </is>
      </c>
      <c r="C615" s="356" t="inlineStr">
        <is>
          <t>Раствор готовый кладочный, цементный, М150</t>
        </is>
      </c>
      <c r="D615" s="357" t="inlineStr">
        <is>
          <t>м3</t>
        </is>
      </c>
      <c r="E615" s="267" t="n">
        <v>1.1142</v>
      </c>
      <c r="F615" s="359" t="n">
        <v>548.3</v>
      </c>
      <c r="G615" s="268">
        <f>ROUND(E615*F615,2)</f>
        <v/>
      </c>
      <c r="H615" s="269">
        <f>G615/$G$1004</f>
        <v/>
      </c>
      <c r="I615" s="268">
        <f>ROUND(F615*Прил.10!$D$13,2)</f>
        <v/>
      </c>
      <c r="J615" s="268">
        <f>ROUND(I615*E615,2)</f>
        <v/>
      </c>
    </row>
    <row r="616" hidden="1" outlineLevel="1" ht="38.25" customFormat="1" customHeight="1" s="255">
      <c r="A616" s="357" t="n">
        <v>588</v>
      </c>
      <c r="B616" s="265" t="inlineStr">
        <is>
          <t>21.1.06.09-0145</t>
        </is>
      </c>
      <c r="C616" s="356" t="inlineStr">
        <is>
          <t>Кабель силовой с медными жилами ВВГнг-LS 2х1,5-660 (прим. ВВГнг(А)-LS-0,66 2х0,75)</t>
        </is>
      </c>
      <c r="D616" s="357" t="inlineStr">
        <is>
          <t>1000 м</t>
        </is>
      </c>
      <c r="E616" s="267" t="n">
        <v>0.1632</v>
      </c>
      <c r="F616" s="359" t="n">
        <v>3708.36</v>
      </c>
      <c r="G616" s="268">
        <f>ROUND(E616*F616,2)</f>
        <v/>
      </c>
      <c r="H616" s="269">
        <f>G616/$G$1004</f>
        <v/>
      </c>
      <c r="I616" s="268">
        <f>ROUND(F616*Прил.10!$D$13,2)</f>
        <v/>
      </c>
      <c r="J616" s="268">
        <f>ROUND(I616*E616,2)</f>
        <v/>
      </c>
    </row>
    <row r="617" hidden="1" outlineLevel="1" ht="25.5" customFormat="1" customHeight="1" s="255">
      <c r="A617" s="357" t="n">
        <v>589</v>
      </c>
      <c r="B617" s="265" t="inlineStr">
        <is>
          <t>Прайс из СД ОП</t>
        </is>
      </c>
      <c r="C617" s="356" t="inlineStr">
        <is>
          <t>Реле контроля напряжения РКН-3-15-15-УХЛ4</t>
        </is>
      </c>
      <c r="D617" s="357" t="inlineStr">
        <is>
          <t>шт.</t>
        </is>
      </c>
      <c r="E617" s="267" t="n">
        <v>2</v>
      </c>
      <c r="F617" s="359" t="n">
        <v>299.45</v>
      </c>
      <c r="G617" s="268">
        <f>ROUND(E617*F617,2)</f>
        <v/>
      </c>
      <c r="H617" s="269">
        <f>G617/$G$1004</f>
        <v/>
      </c>
      <c r="I617" s="268">
        <f>ROUND(F617*Прил.10!$D$13,2)</f>
        <v/>
      </c>
      <c r="J617" s="268">
        <f>ROUND(I617*E617,2)</f>
        <v/>
      </c>
    </row>
    <row r="618" hidden="1" outlineLevel="1" ht="63.75" customFormat="1" customHeight="1" s="255">
      <c r="A618" s="357" t="n">
        <v>590</v>
      </c>
      <c r="B618" s="265" t="inlineStr">
        <is>
          <t>14.5.11.03-0001</t>
        </is>
      </c>
      <c r="C618" s="356" t="inlineStr">
        <is>
          <t>Смесь сухая шпатлевочная на основе высокопрочного гипса с полимерными добавками, крупность заполнителя не более 0,15 мм, прочность на изгиб 2,7 МПа</t>
        </is>
      </c>
      <c r="D618" s="357" t="inlineStr">
        <is>
          <t>кг</t>
        </is>
      </c>
      <c r="E618" s="267" t="n">
        <v>80.06999999999999</v>
      </c>
      <c r="F618" s="359" t="n">
        <v>7.46</v>
      </c>
      <c r="G618" s="268">
        <f>ROUND(E618*F618,2)</f>
        <v/>
      </c>
      <c r="H618" s="269">
        <f>G618/$G$1004</f>
        <v/>
      </c>
      <c r="I618" s="268">
        <f>ROUND(F618*Прил.10!$D$13,2)</f>
        <v/>
      </c>
      <c r="J618" s="268">
        <f>ROUND(I618*E618,2)</f>
        <v/>
      </c>
    </row>
    <row r="619" hidden="1" outlineLevel="1" ht="25.5" customFormat="1" customHeight="1" s="255">
      <c r="A619" s="357" t="n">
        <v>591</v>
      </c>
      <c r="B619" s="265" t="inlineStr">
        <is>
          <t>21.1.06.10-0155</t>
        </is>
      </c>
      <c r="C619" s="356" t="inlineStr">
        <is>
          <t>Кабель силовой с медными жилами ВВГнг(A)-FRLS 2х1,5ок(N)-1000</t>
        </is>
      </c>
      <c r="D619" s="357" t="inlineStr">
        <is>
          <t>1000 м</t>
        </is>
      </c>
      <c r="E619" s="267" t="n">
        <v>0.0357</v>
      </c>
      <c r="F619" s="359" t="n">
        <v>16712.36</v>
      </c>
      <c r="G619" s="268">
        <f>ROUND(E619*F619,2)</f>
        <v/>
      </c>
      <c r="H619" s="269">
        <f>G619/$G$1004</f>
        <v/>
      </c>
      <c r="I619" s="268">
        <f>ROUND(F619*Прил.10!$D$13,2)</f>
        <v/>
      </c>
      <c r="J619" s="268">
        <f>ROUND(I619*E619,2)</f>
        <v/>
      </c>
    </row>
    <row r="620" hidden="1" outlineLevel="1" ht="38.25" customFormat="1" customHeight="1" s="255">
      <c r="A620" s="357" t="n">
        <v>592</v>
      </c>
      <c r="B620" s="265" t="inlineStr">
        <is>
          <t>08.3.07.01-0076</t>
        </is>
      </c>
      <c r="C620" s="356" t="inlineStr">
        <is>
          <t>Прокат полосовой, горячекатаный, марка стали Ст3сп, ширина 50-200 мм, толщина 4-5 мм</t>
        </is>
      </c>
      <c r="D620" s="357" t="inlineStr">
        <is>
          <t>т</t>
        </is>
      </c>
      <c r="E620" s="267" t="n">
        <v>0.1185</v>
      </c>
      <c r="F620" s="359" t="n">
        <v>5000</v>
      </c>
      <c r="G620" s="268">
        <f>ROUND(E620*F620,2)</f>
        <v/>
      </c>
      <c r="H620" s="269">
        <f>G620/$G$1004</f>
        <v/>
      </c>
      <c r="I620" s="268">
        <f>ROUND(F620*Прил.10!$D$13,2)</f>
        <v/>
      </c>
      <c r="J620" s="268">
        <f>ROUND(I620*E620,2)</f>
        <v/>
      </c>
    </row>
    <row r="621" hidden="1" outlineLevel="1" ht="25.5" customFormat="1" customHeight="1" s="255">
      <c r="A621" s="357" t="n">
        <v>593</v>
      </c>
      <c r="B621" s="265" t="inlineStr">
        <is>
          <t>Прайс из СД ОП</t>
        </is>
      </c>
      <c r="C621" s="356" t="inlineStr">
        <is>
          <t>Заклепка вытяжная со стандартным буртиком DIN 7337</t>
        </is>
      </c>
      <c r="D621" s="357" t="inlineStr">
        <is>
          <t>шт.</t>
        </is>
      </c>
      <c r="E621" s="267" t="n">
        <v>1900</v>
      </c>
      <c r="F621" s="359" t="n">
        <v>0.31</v>
      </c>
      <c r="G621" s="268">
        <f>ROUND(E621*F621,2)</f>
        <v/>
      </c>
      <c r="H621" s="269">
        <f>G621/$G$1004</f>
        <v/>
      </c>
      <c r="I621" s="268">
        <f>ROUND(F621*Прил.10!$D$13,2)</f>
        <v/>
      </c>
      <c r="J621" s="268">
        <f>ROUND(I621*E621,2)</f>
        <v/>
      </c>
    </row>
    <row r="622" hidden="1" outlineLevel="1" ht="14.25" customFormat="1" customHeight="1" s="255">
      <c r="A622" s="357" t="n">
        <v>594</v>
      </c>
      <c r="B622" s="265" t="inlineStr">
        <is>
          <t>01.7.06.02-0001</t>
        </is>
      </c>
      <c r="C622" s="356" t="inlineStr">
        <is>
          <t>Лента бутиловая</t>
        </is>
      </c>
      <c r="D622" s="357" t="inlineStr">
        <is>
          <t>м</t>
        </is>
      </c>
      <c r="E622" s="267" t="n">
        <v>90.54000000000001</v>
      </c>
      <c r="F622" s="359" t="n">
        <v>6.38</v>
      </c>
      <c r="G622" s="268">
        <f>ROUND(E622*F622,2)</f>
        <v/>
      </c>
      <c r="H622" s="269">
        <f>G622/$G$1004</f>
        <v/>
      </c>
      <c r="I622" s="268">
        <f>ROUND(F622*Прил.10!$D$13,2)</f>
        <v/>
      </c>
      <c r="J622" s="268">
        <f>ROUND(I622*E622,2)</f>
        <v/>
      </c>
    </row>
    <row r="623" hidden="1" outlineLevel="1" ht="51" customFormat="1" customHeight="1" s="255">
      <c r="A623" s="357" t="n">
        <v>595</v>
      </c>
      <c r="B623" s="265" t="inlineStr">
        <is>
          <t>23.2.02.02-0011</t>
        </is>
      </c>
      <c r="C623" s="356" t="inlineStr">
        <is>
          <t>Трубы медные круглые тянутые и холоднокатаные (марки меди М2, М3), наружным диаметром: 6,3 мм, толщиной стенки 0,8 мм</t>
        </is>
      </c>
      <c r="D623" s="357" t="inlineStr">
        <is>
          <t>м</t>
        </is>
      </c>
      <c r="E623" s="267" t="n">
        <v>24</v>
      </c>
      <c r="F623" s="359" t="n">
        <v>22.83</v>
      </c>
      <c r="G623" s="268">
        <f>ROUND(E623*F623,2)</f>
        <v/>
      </c>
      <c r="H623" s="269">
        <f>G623/$G$1004</f>
        <v/>
      </c>
      <c r="I623" s="268">
        <f>ROUND(F623*Прил.10!$D$13,2)</f>
        <v/>
      </c>
      <c r="J623" s="268">
        <f>ROUND(I623*E623,2)</f>
        <v/>
      </c>
    </row>
    <row r="624" hidden="1" outlineLevel="1" ht="63.75" customFormat="1" customHeight="1" s="255">
      <c r="A624" s="357" t="n">
        <v>596</v>
      </c>
      <c r="B624" s="265" t="inlineStr">
        <is>
          <t>06.2.02.01-0081</t>
        </is>
      </c>
      <c r="C624" s="356" t="inlineStr">
        <is>
          <t>Плитка керамическая глазурованная для полов рельефная, квадратная и прямоугольная с многоцветным рисунком, декорированная методом сериографии, толщина 11 мм</t>
        </is>
      </c>
      <c r="D624" s="357" t="inlineStr">
        <is>
          <t>м2</t>
        </is>
      </c>
      <c r="E624" s="267" t="n">
        <v>6.63</v>
      </c>
      <c r="F624" s="359" t="n">
        <v>82.5</v>
      </c>
      <c r="G624" s="268">
        <f>ROUND(E624*F624,2)</f>
        <v/>
      </c>
      <c r="H624" s="269">
        <f>G624/$G$1004</f>
        <v/>
      </c>
      <c r="I624" s="268">
        <f>ROUND(F624*Прил.10!$D$13,2)</f>
        <v/>
      </c>
      <c r="J624" s="268">
        <f>ROUND(I624*E624,2)</f>
        <v/>
      </c>
    </row>
    <row r="625" hidden="1" outlineLevel="1" ht="14.25" customFormat="1" customHeight="1" s="255">
      <c r="A625" s="357" t="n">
        <v>597</v>
      </c>
      <c r="B625" s="265" t="inlineStr">
        <is>
          <t>01.7.15.10-0052</t>
        </is>
      </c>
      <c r="C625" s="356" t="inlineStr">
        <is>
          <t>Скобы двухлапковые</t>
        </is>
      </c>
      <c r="D625" s="357" t="inlineStr">
        <is>
          <t>10 шт</t>
        </is>
      </c>
      <c r="E625" s="267" t="n">
        <v>46</v>
      </c>
      <c r="F625" s="359" t="n">
        <v>11.89</v>
      </c>
      <c r="G625" s="268">
        <f>ROUND(E625*F625,2)</f>
        <v/>
      </c>
      <c r="H625" s="269">
        <f>G625/$G$1004</f>
        <v/>
      </c>
      <c r="I625" s="268">
        <f>ROUND(F625*Прил.10!$D$13,2)</f>
        <v/>
      </c>
      <c r="J625" s="268">
        <f>ROUND(I625*E625,2)</f>
        <v/>
      </c>
    </row>
    <row r="626" hidden="1" outlineLevel="1" ht="14.25" customFormat="1" customHeight="1" s="255">
      <c r="A626" s="357" t="n">
        <v>598</v>
      </c>
      <c r="B626" s="265" t="inlineStr">
        <is>
          <t>14.5.09.07-0022</t>
        </is>
      </c>
      <c r="C626" s="356" t="inlineStr">
        <is>
          <t>Растворитель № 646</t>
        </is>
      </c>
      <c r="D626" s="357" t="inlineStr">
        <is>
          <t>т</t>
        </is>
      </c>
      <c r="E626" s="267" t="n">
        <v>0.052</v>
      </c>
      <c r="F626" s="359" t="n">
        <v>10465</v>
      </c>
      <c r="G626" s="268">
        <f>ROUND(E626*F626,2)</f>
        <v/>
      </c>
      <c r="H626" s="269">
        <f>G626/$G$1004</f>
        <v/>
      </c>
      <c r="I626" s="268">
        <f>ROUND(F626*Прил.10!$D$13,2)</f>
        <v/>
      </c>
      <c r="J626" s="268">
        <f>ROUND(I626*E626,2)</f>
        <v/>
      </c>
    </row>
    <row r="627" hidden="1" outlineLevel="1" ht="51" customFormat="1" customHeight="1" s="255">
      <c r="A627" s="357" t="n">
        <v>599</v>
      </c>
      <c r="B627" s="265" t="inlineStr">
        <is>
          <t>19.3.02.08-0021</t>
        </is>
      </c>
      <c r="C627" s="356" t="inlineStr">
        <is>
          <t>Кронштейны для крепления внешнего блока сплит-системы, рекомендуемая нагрузка до 80 кг (два кронштейна, болты, гайки, шайбы)</t>
        </is>
      </c>
      <c r="D627" s="357" t="inlineStr">
        <is>
          <t>компл</t>
        </is>
      </c>
      <c r="E627" s="267" t="n">
        <v>6</v>
      </c>
      <c r="F627" s="359" t="n">
        <v>90.27</v>
      </c>
      <c r="G627" s="268">
        <f>ROUND(E627*F627,2)</f>
        <v/>
      </c>
      <c r="H627" s="269">
        <f>G627/$G$1004</f>
        <v/>
      </c>
      <c r="I627" s="268">
        <f>ROUND(F627*Прил.10!$D$13,2)</f>
        <v/>
      </c>
      <c r="J627" s="268">
        <f>ROUND(I627*E627,2)</f>
        <v/>
      </c>
    </row>
    <row r="628" hidden="1" outlineLevel="1" ht="38.25" customFormat="1" customHeight="1" s="255">
      <c r="A628" s="357" t="n">
        <v>600</v>
      </c>
      <c r="B628" s="265" t="inlineStr">
        <is>
          <t>Прайс из СД ОП</t>
        </is>
      </c>
      <c r="C628" s="356" t="inlineStr">
        <is>
          <t>Cветильник настенно-потолочный под лампу с цоколем Е27 до 60 Bm,  220 В, IP54, УХЛ4 НПП 03-60-001</t>
        </is>
      </c>
      <c r="D628" s="357" t="inlineStr">
        <is>
          <t>шт.</t>
        </is>
      </c>
      <c r="E628" s="267" t="n">
        <v>15</v>
      </c>
      <c r="F628" s="359" t="n">
        <v>35.74</v>
      </c>
      <c r="G628" s="268">
        <f>ROUND(E628*F628,2)</f>
        <v/>
      </c>
      <c r="H628" s="269">
        <f>G628/$G$1004</f>
        <v/>
      </c>
      <c r="I628" s="268">
        <f>ROUND(F628*Прил.10!$D$13,2)</f>
        <v/>
      </c>
      <c r="J628" s="268">
        <f>ROUND(I628*E628,2)</f>
        <v/>
      </c>
    </row>
    <row r="629" hidden="1" outlineLevel="1" ht="25.5" customFormat="1" customHeight="1" s="255">
      <c r="A629" s="357" t="n">
        <v>601</v>
      </c>
      <c r="B629" s="265" t="inlineStr">
        <is>
          <t>07.2.06.05-0017</t>
        </is>
      </c>
      <c r="C629" s="356" t="inlineStr">
        <is>
          <t>Соединитель профиля одноуровневый потолочный</t>
        </is>
      </c>
      <c r="D629" s="357" t="inlineStr">
        <is>
          <t>100 шт</t>
        </is>
      </c>
      <c r="E629" s="267" t="n">
        <v>3.266</v>
      </c>
      <c r="F629" s="359" t="n">
        <v>160</v>
      </c>
      <c r="G629" s="268">
        <f>ROUND(E629*F629,2)</f>
        <v/>
      </c>
      <c r="H629" s="269">
        <f>G629/$G$1004</f>
        <v/>
      </c>
      <c r="I629" s="268">
        <f>ROUND(F629*Прил.10!$D$13,2)</f>
        <v/>
      </c>
      <c r="J629" s="268">
        <f>ROUND(I629*E629,2)</f>
        <v/>
      </c>
    </row>
    <row r="630" hidden="1" outlineLevel="1" ht="38.25" customFormat="1" customHeight="1" s="255">
      <c r="A630" s="357" t="n">
        <v>602</v>
      </c>
      <c r="B630" s="265" t="inlineStr">
        <is>
          <t>19.2.03.02-0135</t>
        </is>
      </c>
      <c r="C630" s="356" t="inlineStr">
        <is>
          <t>Решетки вентиляционные алюминиевые "АРКТОС" типа: АРН размером 250х500 мм</t>
        </is>
      </c>
      <c r="D630" s="357" t="inlineStr">
        <is>
          <t>шт</t>
        </is>
      </c>
      <c r="E630" s="267" t="n">
        <v>2</v>
      </c>
      <c r="F630" s="359" t="n">
        <v>260.06</v>
      </c>
      <c r="G630" s="268">
        <f>ROUND(E630*F630,2)</f>
        <v/>
      </c>
      <c r="H630" s="269">
        <f>G630/$G$1004</f>
        <v/>
      </c>
      <c r="I630" s="268">
        <f>ROUND(F630*Прил.10!$D$13,2)</f>
        <v/>
      </c>
      <c r="J630" s="268">
        <f>ROUND(I630*E630,2)</f>
        <v/>
      </c>
    </row>
    <row r="631" hidden="1" outlineLevel="1" ht="25.5" customFormat="1" customHeight="1" s="255">
      <c r="A631" s="357" t="n">
        <v>603</v>
      </c>
      <c r="B631" s="265" t="inlineStr">
        <is>
          <t>14.5.01.10-0025</t>
        </is>
      </c>
      <c r="C631" s="356" t="inlineStr">
        <is>
          <t>Пена монтажная для герметизации стыков в баллончике емкостью 0,85 л</t>
        </is>
      </c>
      <c r="D631" s="357" t="inlineStr">
        <is>
          <t>шт</t>
        </is>
      </c>
      <c r="E631" s="267" t="n">
        <v>7.078</v>
      </c>
      <c r="F631" s="359" t="n">
        <v>72.8</v>
      </c>
      <c r="G631" s="268">
        <f>ROUND(E631*F631,2)</f>
        <v/>
      </c>
      <c r="H631" s="269">
        <f>G631/$G$1004</f>
        <v/>
      </c>
      <c r="I631" s="268">
        <f>ROUND(F631*Прил.10!$D$13,2)</f>
        <v/>
      </c>
      <c r="J631" s="268">
        <f>ROUND(I631*E631,2)</f>
        <v/>
      </c>
    </row>
    <row r="632" hidden="1" outlineLevel="1" ht="25.5" customFormat="1" customHeight="1" s="255">
      <c r="A632" s="357" t="n">
        <v>604</v>
      </c>
      <c r="B632" s="265" t="inlineStr">
        <is>
          <t>Прайс из СД ОП</t>
        </is>
      </c>
      <c r="C632" s="356" t="inlineStr">
        <is>
          <t xml:space="preserve">Шумоглушитель трубчатый Канал-ГКК-160-900 </t>
        </is>
      </c>
      <c r="D632" s="357" t="inlineStr">
        <is>
          <t>шт.</t>
        </is>
      </c>
      <c r="E632" s="267" t="n">
        <v>2</v>
      </c>
      <c r="F632" s="359" t="n">
        <v>257.31</v>
      </c>
      <c r="G632" s="268">
        <f>ROUND(E632*F632,2)</f>
        <v/>
      </c>
      <c r="H632" s="269">
        <f>G632/$G$1004</f>
        <v/>
      </c>
      <c r="I632" s="268">
        <f>ROUND(F632*Прил.10!$D$13,2)</f>
        <v/>
      </c>
      <c r="J632" s="268">
        <f>ROUND(I632*E632,2)</f>
        <v/>
      </c>
    </row>
    <row r="633" hidden="1" outlineLevel="1" ht="14.25" customFormat="1" customHeight="1" s="255">
      <c r="A633" s="357" t="n">
        <v>605</v>
      </c>
      <c r="B633" s="265" t="inlineStr">
        <is>
          <t>Прайс из СД ОП</t>
        </is>
      </c>
      <c r="C633" s="356" t="inlineStr">
        <is>
          <t>Саморез 5,5х140 оцинкованный</t>
        </is>
      </c>
      <c r="D633" s="357" t="inlineStr">
        <is>
          <t>шт</t>
        </is>
      </c>
      <c r="E633" s="267" t="n">
        <v>212</v>
      </c>
      <c r="F633" s="359" t="n">
        <v>2.42</v>
      </c>
      <c r="G633" s="268">
        <f>ROUND(E633*F633,2)</f>
        <v/>
      </c>
      <c r="H633" s="269">
        <f>G633/$G$1004</f>
        <v/>
      </c>
      <c r="I633" s="268">
        <f>ROUND(F633*Прил.10!$D$13,2)</f>
        <v/>
      </c>
      <c r="J633" s="268">
        <f>ROUND(I633*E633,2)</f>
        <v/>
      </c>
    </row>
    <row r="634" hidden="1" outlineLevel="1" ht="14.25" customFormat="1" customHeight="1" s="255">
      <c r="A634" s="357" t="n">
        <v>606</v>
      </c>
      <c r="B634" s="265" t="inlineStr">
        <is>
          <t>Прайс из СД ОП</t>
        </is>
      </c>
      <c r="C634" s="356" t="inlineStr">
        <is>
          <t xml:space="preserve">Решетка декоративная Р25-600х800-С </t>
        </is>
      </c>
      <c r="D634" s="357" t="inlineStr">
        <is>
          <t>шт.</t>
        </is>
      </c>
      <c r="E634" s="267" t="n">
        <v>2</v>
      </c>
      <c r="F634" s="359" t="n">
        <v>253.53</v>
      </c>
      <c r="G634" s="268">
        <f>ROUND(E634*F634,2)</f>
        <v/>
      </c>
      <c r="H634" s="269">
        <f>G634/$G$1004</f>
        <v/>
      </c>
      <c r="I634" s="268">
        <f>ROUND(F634*Прил.10!$D$13,2)</f>
        <v/>
      </c>
      <c r="J634" s="268">
        <f>ROUND(I634*E634,2)</f>
        <v/>
      </c>
    </row>
    <row r="635" hidden="1" outlineLevel="1" ht="14.25" customFormat="1" customHeight="1" s="255">
      <c r="A635" s="357" t="n">
        <v>607</v>
      </c>
      <c r="B635" s="265" t="inlineStr">
        <is>
          <t>01.7.15.03-0042</t>
        </is>
      </c>
      <c r="C635" s="356" t="inlineStr">
        <is>
          <t>Болты с гайками и шайбами строительные</t>
        </is>
      </c>
      <c r="D635" s="357" t="inlineStr">
        <is>
          <t>кг</t>
        </is>
      </c>
      <c r="E635" s="267" t="n">
        <v>56</v>
      </c>
      <c r="F635" s="359" t="n">
        <v>9.039999999999999</v>
      </c>
      <c r="G635" s="268">
        <f>ROUND(E635*F635,2)</f>
        <v/>
      </c>
      <c r="H635" s="269">
        <f>G635/$G$1004</f>
        <v/>
      </c>
      <c r="I635" s="268">
        <f>ROUND(F635*Прил.10!$D$13,2)</f>
        <v/>
      </c>
      <c r="J635" s="268">
        <f>ROUND(I635*E635,2)</f>
        <v/>
      </c>
    </row>
    <row r="636" hidden="1" outlineLevel="1" ht="38.25" customFormat="1" customHeight="1" s="255">
      <c r="A636" s="357" t="n">
        <v>608</v>
      </c>
      <c r="B636" s="265" t="inlineStr">
        <is>
          <t>12.1.01.05-0083</t>
        </is>
      </c>
      <c r="C636" s="356" t="inlineStr">
        <is>
          <t>Угол желоба 90° металлический универсальный для водосточных систем, покрытие полиэстер, диаметр 185 мм</t>
        </is>
      </c>
      <c r="D636" s="357" t="inlineStr">
        <is>
          <t>шт</t>
        </is>
      </c>
      <c r="E636" s="267" t="n">
        <v>2</v>
      </c>
      <c r="F636" s="359" t="n">
        <v>252.99</v>
      </c>
      <c r="G636" s="268">
        <f>ROUND(E636*F636,2)</f>
        <v/>
      </c>
      <c r="H636" s="269">
        <f>G636/$G$1004</f>
        <v/>
      </c>
      <c r="I636" s="268">
        <f>ROUND(F636*Прил.10!$D$13,2)</f>
        <v/>
      </c>
      <c r="J636" s="268">
        <f>ROUND(I636*E636,2)</f>
        <v/>
      </c>
    </row>
    <row r="637" hidden="1" outlineLevel="1" ht="51" customFormat="1" customHeight="1" s="255">
      <c r="A637" s="357" t="n">
        <v>609</v>
      </c>
      <c r="B637" s="265" t="inlineStr">
        <is>
          <t>14.5.04.03-0002</t>
        </is>
      </c>
      <c r="C637" s="356" t="inlineStr">
        <is>
          <t>Мастика герметизирующая нетвердеющая из синтетического каучука, для заполнения и герметизации швов стеклянного ограждения теплиц</t>
        </is>
      </c>
      <c r="D637" s="357" t="inlineStr">
        <is>
          <t>т</t>
        </is>
      </c>
      <c r="E637" s="267" t="n">
        <v>0.0289</v>
      </c>
      <c r="F637" s="359" t="n">
        <v>17183</v>
      </c>
      <c r="G637" s="268">
        <f>ROUND(E637*F637,2)</f>
        <v/>
      </c>
      <c r="H637" s="269">
        <f>G637/$G$1004</f>
        <v/>
      </c>
      <c r="I637" s="268">
        <f>ROUND(F637*Прил.10!$D$13,2)</f>
        <v/>
      </c>
      <c r="J637" s="268">
        <f>ROUND(I637*E637,2)</f>
        <v/>
      </c>
    </row>
    <row r="638" hidden="1" outlineLevel="1" ht="51" customFormat="1" customHeight="1" s="255">
      <c r="A638" s="357" t="n">
        <v>610</v>
      </c>
      <c r="B638" s="265" t="inlineStr">
        <is>
          <t>14.5.11.03-0003</t>
        </is>
      </c>
      <c r="C638" s="356" t="inlineStr">
        <is>
          <t>Смесь сухая шпатлевочная на основе гипса с полимерными добавками, крупность заполнителя не более 0,2 мм, прочность на изгиб не более 1,0 МПа</t>
        </is>
      </c>
      <c r="D638" s="357" t="inlineStr">
        <is>
          <t>кг</t>
        </is>
      </c>
      <c r="E638" s="267" t="n">
        <v>164.54</v>
      </c>
      <c r="F638" s="359" t="n">
        <v>2.94</v>
      </c>
      <c r="G638" s="268">
        <f>ROUND(E638*F638,2)</f>
        <v/>
      </c>
      <c r="H638" s="269">
        <f>G638/$G$1004</f>
        <v/>
      </c>
      <c r="I638" s="268">
        <f>ROUND(F638*Прил.10!$D$13,2)</f>
        <v/>
      </c>
      <c r="J638" s="268">
        <f>ROUND(I638*E638,2)</f>
        <v/>
      </c>
    </row>
    <row r="639" hidden="1" outlineLevel="1" ht="38.25" customFormat="1" customHeight="1" s="255">
      <c r="A639" s="357" t="n">
        <v>611</v>
      </c>
      <c r="B639" s="265" t="inlineStr">
        <is>
          <t>05.2.02.01-0036</t>
        </is>
      </c>
      <c r="C639" s="356" t="inlineStr">
        <is>
          <t>Блоки бетонные для стен подвалов полнотелые ФБС9-4-6-Т, бетон B7,5 (М100, объем 0,195 м3, расход арматуры 0,76 кг</t>
        </is>
      </c>
      <c r="D639" s="357" t="inlineStr">
        <is>
          <t>шт</t>
        </is>
      </c>
      <c r="E639" s="267" t="n">
        <v>4</v>
      </c>
      <c r="F639" s="359" t="n">
        <v>120.9</v>
      </c>
      <c r="G639" s="268">
        <f>ROUND(E639*F639,2)</f>
        <v/>
      </c>
      <c r="H639" s="269">
        <f>G639/$G$1004</f>
        <v/>
      </c>
      <c r="I639" s="268">
        <f>ROUND(F639*Прил.10!$D$13,2)</f>
        <v/>
      </c>
      <c r="J639" s="268">
        <f>ROUND(I639*E639,2)</f>
        <v/>
      </c>
    </row>
    <row r="640" hidden="1" outlineLevel="1" ht="25.5" customFormat="1" customHeight="1" s="255">
      <c r="A640" s="357" t="n">
        <v>612</v>
      </c>
      <c r="B640" s="265" t="inlineStr">
        <is>
          <t>21.1.06.09-0176</t>
        </is>
      </c>
      <c r="C640" s="356" t="inlineStr">
        <is>
          <t>Кабель силовой с медными жилами ВВГнг(A)-LS 5х2,5-660</t>
        </is>
      </c>
      <c r="D640" s="357" t="inlineStr">
        <is>
          <t>1000 м</t>
        </is>
      </c>
      <c r="E640" s="267" t="n">
        <v>0.0408</v>
      </c>
      <c r="F640" s="359" t="n">
        <v>11836.8</v>
      </c>
      <c r="G640" s="268">
        <f>ROUND(E640*F640,2)</f>
        <v/>
      </c>
      <c r="H640" s="269">
        <f>G640/$G$1004</f>
        <v/>
      </c>
      <c r="I640" s="268">
        <f>ROUND(F640*Прил.10!$D$13,2)</f>
        <v/>
      </c>
      <c r="J640" s="268">
        <f>ROUND(I640*E640,2)</f>
        <v/>
      </c>
    </row>
    <row r="641" hidden="1" outlineLevel="1" ht="76.7" customFormat="1" customHeight="1" s="255">
      <c r="A641" s="357" t="n">
        <v>613</v>
      </c>
      <c r="B641" s="265" t="inlineStr">
        <is>
          <t>07.2.07.12-0003</t>
        </is>
      </c>
      <c r="C641" s="356" t="inlineStr">
        <is>
          <t>Элементы конструктивные вспомогательного назначения массой не более 50 кг с преобладанием толстолистовой стали, собираемые из двух и более деталей, с отверстиями и без отверстий, соединяемые на сварке</t>
        </is>
      </c>
      <c r="D641" s="357" t="inlineStr">
        <is>
          <t>т</t>
        </is>
      </c>
      <c r="E641" s="267" t="n">
        <v>0.0428</v>
      </c>
      <c r="F641" s="359" t="n">
        <v>11255</v>
      </c>
      <c r="G641" s="268">
        <f>ROUND(E641*F641,2)</f>
        <v/>
      </c>
      <c r="H641" s="269">
        <f>G641/$G$1004</f>
        <v/>
      </c>
      <c r="I641" s="268">
        <f>ROUND(F641*Прил.10!$D$13,2)</f>
        <v/>
      </c>
      <c r="J641" s="268">
        <f>ROUND(I641*E641,2)</f>
        <v/>
      </c>
    </row>
    <row r="642" hidden="1" outlineLevel="1" ht="14.25" customFormat="1" customHeight="1" s="255">
      <c r="A642" s="357" t="n">
        <v>614</v>
      </c>
      <c r="B642" s="265" t="inlineStr">
        <is>
          <t>01.7.20.08-0162</t>
        </is>
      </c>
      <c r="C642" s="356" t="inlineStr">
        <is>
          <t>Ткань мешочная</t>
        </is>
      </c>
      <c r="D642" s="357" t="inlineStr">
        <is>
          <t>10 м2</t>
        </is>
      </c>
      <c r="E642" s="267" t="n">
        <v>5.6542</v>
      </c>
      <c r="F642" s="359" t="n">
        <v>84.75</v>
      </c>
      <c r="G642" s="268">
        <f>ROUND(E642*F642,2)</f>
        <v/>
      </c>
      <c r="H642" s="269">
        <f>G642/$G$1004</f>
        <v/>
      </c>
      <c r="I642" s="268">
        <f>ROUND(F642*Прил.10!$D$13,2)</f>
        <v/>
      </c>
      <c r="J642" s="268">
        <f>ROUND(I642*E642,2)</f>
        <v/>
      </c>
    </row>
    <row r="643" hidden="1" outlineLevel="1" ht="25.5" customFormat="1" customHeight="1" s="255">
      <c r="A643" s="357" t="n">
        <v>615</v>
      </c>
      <c r="B643" s="265" t="inlineStr">
        <is>
          <t>04.3.01.09-0014</t>
        </is>
      </c>
      <c r="C643" s="356" t="inlineStr">
        <is>
          <t>Раствор готовый кладочный, цементный, М100</t>
        </is>
      </c>
      <c r="D643" s="357" t="inlineStr">
        <is>
          <t>м3</t>
        </is>
      </c>
      <c r="E643" s="267" t="n">
        <v>0.9143</v>
      </c>
      <c r="F643" s="359" t="n">
        <v>519.8</v>
      </c>
      <c r="G643" s="268">
        <f>ROUND(E643*F643,2)</f>
        <v/>
      </c>
      <c r="H643" s="269">
        <f>G643/$G$1004</f>
        <v/>
      </c>
      <c r="I643" s="268">
        <f>ROUND(F643*Прил.10!$D$13,2)</f>
        <v/>
      </c>
      <c r="J643" s="268">
        <f>ROUND(I643*E643,2)</f>
        <v/>
      </c>
    </row>
    <row r="644" hidden="1" outlineLevel="1" ht="14.25" customFormat="1" customHeight="1" s="255">
      <c r="A644" s="357" t="n">
        <v>616</v>
      </c>
      <c r="B644" s="265" t="inlineStr">
        <is>
          <t>Прайс из СД ОП</t>
        </is>
      </c>
      <c r="C644" s="356" t="inlineStr">
        <is>
          <t>Решетка декоративная Р50-700х520С</t>
        </is>
      </c>
      <c r="D644" s="357" t="inlineStr">
        <is>
          <t>шт.</t>
        </is>
      </c>
      <c r="E644" s="267" t="n">
        <v>1</v>
      </c>
      <c r="F644" s="359" t="n">
        <v>475.22</v>
      </c>
      <c r="G644" s="268">
        <f>ROUND(E644*F644,2)</f>
        <v/>
      </c>
      <c r="H644" s="269">
        <f>G644/$G$1004</f>
        <v/>
      </c>
      <c r="I644" s="268">
        <f>ROUND(F644*Прил.10!$D$13,2)</f>
        <v/>
      </c>
      <c r="J644" s="268">
        <f>ROUND(I644*E644,2)</f>
        <v/>
      </c>
    </row>
    <row r="645" hidden="1" outlineLevel="1" ht="25.5" customFormat="1" customHeight="1" s="255">
      <c r="A645" s="357" t="n">
        <v>617</v>
      </c>
      <c r="B645" s="265" t="inlineStr">
        <is>
          <t>Прайс из СД ОП</t>
        </is>
      </c>
      <c r="C645" s="356" t="inlineStr">
        <is>
          <t xml:space="preserve">Пост светозвуковой сигнализации "ГАЗ! УХОДИ"  </t>
        </is>
      </c>
      <c r="D645" s="357" t="inlineStr">
        <is>
          <t>шт.</t>
        </is>
      </c>
      <c r="E645" s="267" t="n">
        <v>8</v>
      </c>
      <c r="F645" s="359" t="n">
        <v>59.18</v>
      </c>
      <c r="G645" s="268">
        <f>ROUND(E645*F645,2)</f>
        <v/>
      </c>
      <c r="H645" s="269">
        <f>G645/$G$1004</f>
        <v/>
      </c>
      <c r="I645" s="268">
        <f>ROUND(F645*Прил.10!$D$13,2)</f>
        <v/>
      </c>
      <c r="J645" s="268">
        <f>ROUND(I645*E645,2)</f>
        <v/>
      </c>
    </row>
    <row r="646" hidden="1" outlineLevel="1" ht="51" customFormat="1" customHeight="1" s="255">
      <c r="A646" s="357" t="n">
        <v>618</v>
      </c>
      <c r="B646" s="265" t="inlineStr">
        <is>
          <t>23.3.06.01-0002</t>
        </is>
      </c>
      <c r="C646" s="356" t="inlineStr">
        <is>
          <t>Трубы стальные сварные оцинкованные водогазопроводные с резьбой, легкие, номинальный диаметр 20 мм, толщина стенки 2,5 мм</t>
        </is>
      </c>
      <c r="D646" s="357" t="inlineStr">
        <is>
          <t>м</t>
        </is>
      </c>
      <c r="E646" s="267" t="n">
        <v>20</v>
      </c>
      <c r="F646" s="359" t="n">
        <v>23.53</v>
      </c>
      <c r="G646" s="268">
        <f>ROUND(E646*F646,2)</f>
        <v/>
      </c>
      <c r="H646" s="269">
        <f>G646/$G$1004</f>
        <v/>
      </c>
      <c r="I646" s="268">
        <f>ROUND(F646*Прил.10!$D$13,2)</f>
        <v/>
      </c>
      <c r="J646" s="268">
        <f>ROUND(I646*E646,2)</f>
        <v/>
      </c>
    </row>
    <row r="647" hidden="1" outlineLevel="1" ht="14.25" customFormat="1" customHeight="1" s="255">
      <c r="A647" s="357" t="n">
        <v>619</v>
      </c>
      <c r="B647" s="265" t="inlineStr">
        <is>
          <t>Прайс из СД ОП</t>
        </is>
      </c>
      <c r="C647" s="356" t="inlineStr">
        <is>
          <t>Обогреватель ТДМ SQ0832-0004</t>
        </is>
      </c>
      <c r="D647" s="357" t="inlineStr">
        <is>
          <t>1шт.</t>
        </is>
      </c>
      <c r="E647" s="267" t="n">
        <v>2</v>
      </c>
      <c r="F647" s="359" t="n">
        <v>229.97</v>
      </c>
      <c r="G647" s="268">
        <f>ROUND(E647*F647,2)</f>
        <v/>
      </c>
      <c r="H647" s="269">
        <f>G647/$G$1004</f>
        <v/>
      </c>
      <c r="I647" s="268">
        <f>ROUND(F647*Прил.10!$D$13,2)</f>
        <v/>
      </c>
      <c r="J647" s="268">
        <f>ROUND(I647*E647,2)</f>
        <v/>
      </c>
    </row>
    <row r="648" hidden="1" outlineLevel="1" ht="63.75" customFormat="1" customHeight="1" s="255">
      <c r="A648" s="357" t="n">
        <v>620</v>
      </c>
      <c r="B648" s="265" t="inlineStr">
        <is>
          <t>23.5.02.02-0096</t>
        </is>
      </c>
      <c r="C648" s="356" t="inlineStr">
        <is>
          <t>Трубы стальные электросварные прямошовные со снятой фаской из стали марок БСт2кп-БСт4кп и БСт2пс-БСт4пс, наружный диаметр 273 мм, толщина стенки 8 мм</t>
        </is>
      </c>
      <c r="D648" s="357" t="inlineStr">
        <is>
          <t>м</t>
        </is>
      </c>
      <c r="E648" s="267" t="n">
        <v>1.2</v>
      </c>
      <c r="F648" s="359" t="n">
        <v>376.6</v>
      </c>
      <c r="G648" s="268">
        <f>ROUND(E648*F648,2)</f>
        <v/>
      </c>
      <c r="H648" s="269">
        <f>G648/$G$1004</f>
        <v/>
      </c>
      <c r="I648" s="268">
        <f>ROUND(F648*Прил.10!$D$13,2)</f>
        <v/>
      </c>
      <c r="J648" s="268">
        <f>ROUND(I648*E648,2)</f>
        <v/>
      </c>
    </row>
    <row r="649" hidden="1" outlineLevel="1" ht="38.25" customFormat="1" customHeight="1" s="255">
      <c r="A649" s="357" t="n">
        <v>621</v>
      </c>
      <c r="B649" s="265" t="inlineStr">
        <is>
          <t>01.7.06.05-0041</t>
        </is>
      </c>
      <c r="C649" s="356" t="inlineStr">
        <is>
          <t>Лента изоляционная прорезиненная односторонняя, ширина 20 мм, толщина 0,25-0,35 мм</t>
        </is>
      </c>
      <c r="D649" s="357" t="inlineStr">
        <is>
          <t>кг</t>
        </is>
      </c>
      <c r="E649" s="267" t="n">
        <v>14.7732</v>
      </c>
      <c r="F649" s="359" t="n">
        <v>30.4</v>
      </c>
      <c r="G649" s="268">
        <f>ROUND(E649*F649,2)</f>
        <v/>
      </c>
      <c r="H649" s="269">
        <f>G649/$G$1004</f>
        <v/>
      </c>
      <c r="I649" s="268">
        <f>ROUND(F649*Прил.10!$D$13,2)</f>
        <v/>
      </c>
      <c r="J649" s="268">
        <f>ROUND(I649*E649,2)</f>
        <v/>
      </c>
    </row>
    <row r="650" hidden="1" outlineLevel="1" ht="38.25" customFormat="1" customHeight="1" s="255">
      <c r="A650" s="357" t="n">
        <v>622</v>
      </c>
      <c r="B650" s="265" t="inlineStr">
        <is>
          <t>12.2.04.11-0012</t>
        </is>
      </c>
      <c r="C650" s="356" t="inlineStr">
        <is>
          <t>Маты теплоизоляционные из стекловолокна URSA, марки: М-25-4000-1200-100</t>
        </is>
      </c>
      <c r="D650" s="357" t="inlineStr">
        <is>
          <t>м3</t>
        </is>
      </c>
      <c r="E650" s="267" t="n">
        <v>1.3</v>
      </c>
      <c r="F650" s="359" t="n">
        <v>343.11</v>
      </c>
      <c r="G650" s="268">
        <f>ROUND(E650*F650,2)</f>
        <v/>
      </c>
      <c r="H650" s="269">
        <f>G650/$G$1004</f>
        <v/>
      </c>
      <c r="I650" s="268">
        <f>ROUND(F650*Прил.10!$D$13,2)</f>
        <v/>
      </c>
      <c r="J650" s="268">
        <f>ROUND(I650*E650,2)</f>
        <v/>
      </c>
    </row>
    <row r="651" hidden="1" outlineLevel="1" ht="14.25" customFormat="1" customHeight="1" s="255">
      <c r="A651" s="357" t="n">
        <v>623</v>
      </c>
      <c r="B651" s="265" t="inlineStr">
        <is>
          <t>14.5.09.04-0111</t>
        </is>
      </c>
      <c r="C651" s="356" t="inlineStr">
        <is>
          <t>Отвердитель № 1</t>
        </is>
      </c>
      <c r="D651" s="357" t="inlineStr">
        <is>
          <t>т</t>
        </is>
      </c>
      <c r="E651" s="267" t="n">
        <v>0.0065</v>
      </c>
      <c r="F651" s="359" t="n">
        <v>67872</v>
      </c>
      <c r="G651" s="268">
        <f>ROUND(E651*F651,2)</f>
        <v/>
      </c>
      <c r="H651" s="269">
        <f>G651/$G$1004</f>
        <v/>
      </c>
      <c r="I651" s="268">
        <f>ROUND(F651*Прил.10!$D$13,2)</f>
        <v/>
      </c>
      <c r="J651" s="268">
        <f>ROUND(I651*E651,2)</f>
        <v/>
      </c>
    </row>
    <row r="652" hidden="1" outlineLevel="1" ht="38.25" customFormat="1" customHeight="1" s="255">
      <c r="A652" s="357" t="n">
        <v>624</v>
      </c>
      <c r="B652" s="265" t="inlineStr">
        <is>
          <t>05.1.03.09-0023</t>
        </is>
      </c>
      <c r="C652" s="356" t="inlineStr">
        <is>
          <t>Перемычка брусковая 3ПБ-21-8-п, бетон B15, объем 0,055 м3, расход арматуры 1,73 кг</t>
        </is>
      </c>
      <c r="D652" s="357" t="inlineStr">
        <is>
          <t>шт</t>
        </is>
      </c>
      <c r="E652" s="267" t="n">
        <v>6</v>
      </c>
      <c r="F652" s="359" t="n">
        <v>73.05</v>
      </c>
      <c r="G652" s="268">
        <f>ROUND(E652*F652,2)</f>
        <v/>
      </c>
      <c r="H652" s="269">
        <f>G652/$G$1004</f>
        <v/>
      </c>
      <c r="I652" s="268">
        <f>ROUND(F652*Прил.10!$D$13,2)</f>
        <v/>
      </c>
      <c r="J652" s="268">
        <f>ROUND(I652*E652,2)</f>
        <v/>
      </c>
    </row>
    <row r="653" hidden="1" outlineLevel="1" ht="63.75" customFormat="1" customHeight="1" s="255">
      <c r="A653" s="357" t="n">
        <v>625</v>
      </c>
      <c r="B653" s="265" t="inlineStr">
        <is>
          <t>01.7.15.14-0045</t>
        </is>
      </c>
      <c r="C653" s="356" t="inlineStr">
        <is>
          <t>Шурупы самонарезающий прокалывающий, для крепления гипсокартонных листов (ГКЛ, ГКЛВ, ГКЛВО) к каркасу из металлических профилей 3,5/35 мм</t>
        </is>
      </c>
      <c r="D653" s="357" t="inlineStr">
        <is>
          <t>100 шт</t>
        </is>
      </c>
      <c r="E653" s="267" t="n">
        <v>144.61</v>
      </c>
      <c r="F653" s="359" t="n">
        <v>3</v>
      </c>
      <c r="G653" s="268">
        <f>ROUND(E653*F653,2)</f>
        <v/>
      </c>
      <c r="H653" s="269">
        <f>G653/$G$1004</f>
        <v/>
      </c>
      <c r="I653" s="268">
        <f>ROUND(F653*Прил.10!$D$13,2)</f>
        <v/>
      </c>
      <c r="J653" s="268">
        <f>ROUND(I653*E653,2)</f>
        <v/>
      </c>
    </row>
    <row r="654" hidden="1" outlineLevel="1" ht="14.25" customFormat="1" customHeight="1" s="255">
      <c r="A654" s="357" t="n">
        <v>626</v>
      </c>
      <c r="B654" s="265" t="inlineStr">
        <is>
          <t>02.3.01.07-0011</t>
        </is>
      </c>
      <c r="C654" s="356" t="inlineStr">
        <is>
          <t>Порошок кварцевый</t>
        </is>
      </c>
      <c r="D654" s="357" t="inlineStr">
        <is>
          <t>т</t>
        </is>
      </c>
      <c r="E654" s="267" t="n">
        <v>0.865</v>
      </c>
      <c r="F654" s="359" t="n">
        <v>500.6</v>
      </c>
      <c r="G654" s="268">
        <f>ROUND(E654*F654,2)</f>
        <v/>
      </c>
      <c r="H654" s="269">
        <f>G654/$G$1004</f>
        <v/>
      </c>
      <c r="I654" s="268">
        <f>ROUND(F654*Прил.10!$D$13,2)</f>
        <v/>
      </c>
      <c r="J654" s="268">
        <f>ROUND(I654*E654,2)</f>
        <v/>
      </c>
    </row>
    <row r="655" hidden="1" outlineLevel="1" ht="25.5" customFormat="1" customHeight="1" s="255">
      <c r="A655" s="357" t="n">
        <v>627</v>
      </c>
      <c r="B655" s="265" t="inlineStr">
        <is>
          <t>08.3.07.01-0051</t>
        </is>
      </c>
      <c r="C655" s="356" t="inlineStr">
        <is>
          <t>Прокат полосовой, горячекатаный, марка стали Ст3сп, размер 50х4 мм</t>
        </is>
      </c>
      <c r="D655" s="357" t="inlineStr">
        <is>
          <t>т</t>
        </is>
      </c>
      <c r="E655" s="267" t="n">
        <v>0.05808</v>
      </c>
      <c r="F655" s="359" t="n">
        <v>7396.23</v>
      </c>
      <c r="G655" s="268">
        <f>ROUND(E655*F655,2)</f>
        <v/>
      </c>
      <c r="H655" s="269">
        <f>G655/$G$1004</f>
        <v/>
      </c>
      <c r="I655" s="268">
        <f>ROUND(F655*Прил.10!$D$13,2)</f>
        <v/>
      </c>
      <c r="J655" s="268">
        <f>ROUND(I655*E655,2)</f>
        <v/>
      </c>
    </row>
    <row r="656" hidden="1" outlineLevel="1" ht="38.25" customFormat="1" customHeight="1" s="255">
      <c r="A656" s="357" t="n">
        <v>628</v>
      </c>
      <c r="B656" s="265" t="inlineStr">
        <is>
          <t>18.1.10.10-0072</t>
        </is>
      </c>
      <c r="C656" s="356" t="inlineStr">
        <is>
          <t>Смесители латунные с гальванопокрытием для мойки настольный, с верхней камерой смешения</t>
        </is>
      </c>
      <c r="D656" s="357" t="inlineStr">
        <is>
          <t>шт</t>
        </is>
      </c>
      <c r="E656" s="267" t="n">
        <v>3</v>
      </c>
      <c r="F656" s="359" t="n">
        <v>143</v>
      </c>
      <c r="G656" s="268">
        <f>ROUND(E656*F656,2)</f>
        <v/>
      </c>
      <c r="H656" s="269">
        <f>G656/$G$1004</f>
        <v/>
      </c>
      <c r="I656" s="268">
        <f>ROUND(F656*Прил.10!$D$13,2)</f>
        <v/>
      </c>
      <c r="J656" s="268">
        <f>ROUND(I656*E656,2)</f>
        <v/>
      </c>
    </row>
    <row r="657" hidden="1" outlineLevel="1" ht="51" customFormat="1" customHeight="1" s="255">
      <c r="A657" s="357" t="n">
        <v>629</v>
      </c>
      <c r="B657" s="265" t="inlineStr">
        <is>
          <t>19.3.02.08-0022</t>
        </is>
      </c>
      <c r="C657" s="356" t="inlineStr">
        <is>
          <t>Кронштейны для крепления внешнего блока сплит-системы, рекомендуемая нагрузка до 150 кг (два кронштейна, болты, гайки, шайбы)</t>
        </is>
      </c>
      <c r="D657" s="357" t="inlineStr">
        <is>
          <t>компл</t>
        </is>
      </c>
      <c r="E657" s="267" t="n">
        <v>2</v>
      </c>
      <c r="F657" s="359" t="n">
        <v>212.77</v>
      </c>
      <c r="G657" s="268">
        <f>ROUND(E657*F657,2)</f>
        <v/>
      </c>
      <c r="H657" s="269">
        <f>G657/$G$1004</f>
        <v/>
      </c>
      <c r="I657" s="268">
        <f>ROUND(F657*Прил.10!$D$13,2)</f>
        <v/>
      </c>
      <c r="J657" s="268">
        <f>ROUND(I657*E657,2)</f>
        <v/>
      </c>
    </row>
    <row r="658" hidden="1" outlineLevel="1" ht="25.5" customFormat="1" customHeight="1" s="255">
      <c r="A658" s="357" t="n">
        <v>630</v>
      </c>
      <c r="B658" s="265" t="inlineStr">
        <is>
          <t>01.1.01.09-0026</t>
        </is>
      </c>
      <c r="C658" s="356" t="inlineStr">
        <is>
          <t>Шнур асбестовый общего назначения ШАОН, диаметр 8-10 мм</t>
        </is>
      </c>
      <c r="D658" s="357" t="inlineStr">
        <is>
          <t>т</t>
        </is>
      </c>
      <c r="E658" s="267" t="n">
        <v>0.016</v>
      </c>
      <c r="F658" s="359" t="n">
        <v>26499</v>
      </c>
      <c r="G658" s="268">
        <f>ROUND(E658*F658,2)</f>
        <v/>
      </c>
      <c r="H658" s="269">
        <f>G658/$G$1004</f>
        <v/>
      </c>
      <c r="I658" s="268">
        <f>ROUND(F658*Прил.10!$D$13,2)</f>
        <v/>
      </c>
      <c r="J658" s="268">
        <f>ROUND(I658*E658,2)</f>
        <v/>
      </c>
    </row>
    <row r="659" hidden="1" outlineLevel="1" ht="38.25" customFormat="1" customHeight="1" s="255">
      <c r="A659" s="357" t="n">
        <v>631</v>
      </c>
      <c r="B659" s="265" t="inlineStr">
        <is>
          <t>Прайс из СД ОП</t>
        </is>
      </c>
      <c r="C659" s="356" t="inlineStr">
        <is>
          <t>Выключатель одноклавишный наружной установки, 10 А, IP44 Этюд, арт. ВА10-041В</t>
        </is>
      </c>
      <c r="D659" s="357" t="inlineStr">
        <is>
          <t>шт.</t>
        </is>
      </c>
      <c r="E659" s="267" t="n">
        <v>31</v>
      </c>
      <c r="F659" s="359" t="n">
        <v>13.18</v>
      </c>
      <c r="G659" s="268">
        <f>ROUND(E659*F659,2)</f>
        <v/>
      </c>
      <c r="H659" s="269">
        <f>G659/$G$1004</f>
        <v/>
      </c>
      <c r="I659" s="268">
        <f>ROUND(F659*Прил.10!$D$13,2)</f>
        <v/>
      </c>
      <c r="J659" s="268">
        <f>ROUND(I659*E659,2)</f>
        <v/>
      </c>
    </row>
    <row r="660" hidden="1" outlineLevel="1" ht="38.25" customFormat="1" customHeight="1" s="255">
      <c r="A660" s="357" t="n">
        <v>632</v>
      </c>
      <c r="B660" s="265" t="inlineStr">
        <is>
          <t>21.2.03.05-0070</t>
        </is>
      </c>
      <c r="C660" s="356" t="inlineStr">
        <is>
          <t>Провод силовой установочный с медными жилами ПВ3 6-450 (прим. Провод заземления ПВ 6-3п)</t>
        </is>
      </c>
      <c r="D660" s="357" t="inlineStr">
        <is>
          <t>1000 м</t>
        </is>
      </c>
      <c r="E660" s="267" t="n">
        <v>0.08160000000000001</v>
      </c>
      <c r="F660" s="359" t="n">
        <v>4999.13</v>
      </c>
      <c r="G660" s="268">
        <f>ROUND(E660*F660,2)</f>
        <v/>
      </c>
      <c r="H660" s="269">
        <f>G660/$G$1004</f>
        <v/>
      </c>
      <c r="I660" s="268">
        <f>ROUND(F660*Прил.10!$D$13,2)</f>
        <v/>
      </c>
      <c r="J660" s="268">
        <f>ROUND(I660*E660,2)</f>
        <v/>
      </c>
    </row>
    <row r="661" hidden="1" outlineLevel="1" ht="25.5" customFormat="1" customHeight="1" s="255">
      <c r="A661" s="357" t="n">
        <v>633</v>
      </c>
      <c r="B661" s="265" t="inlineStr">
        <is>
          <t>Прайс из СД ОП</t>
        </is>
      </c>
      <c r="C661" s="356" t="inlineStr">
        <is>
          <t xml:space="preserve">Автоматический выключатель трехполюсный, OptiDin BM63-3С25  </t>
        </is>
      </c>
      <c r="D661" s="357" t="inlineStr">
        <is>
          <t>шт.</t>
        </is>
      </c>
      <c r="E661" s="267" t="n">
        <v>7</v>
      </c>
      <c r="F661" s="359" t="n">
        <v>58.24</v>
      </c>
      <c r="G661" s="268">
        <f>ROUND(E661*F661,2)</f>
        <v/>
      </c>
      <c r="H661" s="269">
        <f>G661/$G$1004</f>
        <v/>
      </c>
      <c r="I661" s="268">
        <f>ROUND(F661*Прил.10!$D$13,2)</f>
        <v/>
      </c>
      <c r="J661" s="268">
        <f>ROUND(I661*E661,2)</f>
        <v/>
      </c>
    </row>
    <row r="662" hidden="1" outlineLevel="1" ht="25.5" customFormat="1" customHeight="1" s="255">
      <c r="A662" s="357" t="n">
        <v>634</v>
      </c>
      <c r="B662" s="265" t="inlineStr">
        <is>
          <t>Прайс из СД ОП</t>
        </is>
      </c>
      <c r="C662" s="356" t="inlineStr">
        <is>
          <t xml:space="preserve">Решетки с фиксированными жалюзи АЛН 700х500 </t>
        </is>
      </c>
      <c r="D662" s="357" t="inlineStr">
        <is>
          <t>шт.</t>
        </is>
      </c>
      <c r="E662" s="267" t="n">
        <v>2</v>
      </c>
      <c r="F662" s="359" t="n">
        <v>200.62</v>
      </c>
      <c r="G662" s="268">
        <f>ROUND(E662*F662,2)</f>
        <v/>
      </c>
      <c r="H662" s="269">
        <f>G662/$G$1004</f>
        <v/>
      </c>
      <c r="I662" s="268">
        <f>ROUND(F662*Прил.10!$D$13,2)</f>
        <v/>
      </c>
      <c r="J662" s="268">
        <f>ROUND(I662*E662,2)</f>
        <v/>
      </c>
    </row>
    <row r="663" hidden="1" outlineLevel="1" ht="14.25" customFormat="1" customHeight="1" s="255">
      <c r="A663" s="357" t="n">
        <v>635</v>
      </c>
      <c r="B663" s="265" t="inlineStr">
        <is>
          <t>25.2.01.01-0001</t>
        </is>
      </c>
      <c r="C663" s="356" t="inlineStr">
        <is>
          <t>Бирки-оконцеватели</t>
        </is>
      </c>
      <c r="D663" s="357" t="inlineStr">
        <is>
          <t>100 шт</t>
        </is>
      </c>
      <c r="E663" s="267" t="n">
        <v>6.217</v>
      </c>
      <c r="F663" s="359" t="n">
        <v>63</v>
      </c>
      <c r="G663" s="268">
        <f>ROUND(E663*F663,2)</f>
        <v/>
      </c>
      <c r="H663" s="269">
        <f>G663/$G$1004</f>
        <v/>
      </c>
      <c r="I663" s="268">
        <f>ROUND(F663*Прил.10!$D$13,2)</f>
        <v/>
      </c>
      <c r="J663" s="268">
        <f>ROUND(I663*E663,2)</f>
        <v/>
      </c>
    </row>
    <row r="664" hidden="1" outlineLevel="1" ht="25.5" customFormat="1" customHeight="1" s="255">
      <c r="A664" s="357" t="n">
        <v>636</v>
      </c>
      <c r="B664" s="265" t="inlineStr">
        <is>
          <t>23.8.03.02-0002</t>
        </is>
      </c>
      <c r="C664" s="356" t="inlineStr">
        <is>
          <t>Клипса для крепежа гофротрубы, номинальный диаметр 20 мм</t>
        </is>
      </c>
      <c r="D664" s="357" t="inlineStr">
        <is>
          <t>10 шт</t>
        </is>
      </c>
      <c r="E664" s="267" t="n">
        <v>134.75</v>
      </c>
      <c r="F664" s="359" t="n">
        <v>2.9</v>
      </c>
      <c r="G664" s="268">
        <f>ROUND(E664*F664,2)</f>
        <v/>
      </c>
      <c r="H664" s="269">
        <f>G664/$G$1004</f>
        <v/>
      </c>
      <c r="I664" s="268">
        <f>ROUND(F664*Прил.10!$D$13,2)</f>
        <v/>
      </c>
      <c r="J664" s="268">
        <f>ROUND(I664*E664,2)</f>
        <v/>
      </c>
    </row>
    <row r="665" hidden="1" outlineLevel="1" ht="25.5" customFormat="1" customHeight="1" s="255">
      <c r="A665" s="357" t="n">
        <v>637</v>
      </c>
      <c r="B665" s="265" t="inlineStr">
        <is>
          <t>Прайс из СД ОП</t>
        </is>
      </c>
      <c r="C665" s="356" t="inlineStr">
        <is>
          <t>Автоматический выключатель трехполюсный, OptiDin BM63-3С40</t>
        </is>
      </c>
      <c r="D665" s="357" t="inlineStr">
        <is>
          <t>шт.</t>
        </is>
      </c>
      <c r="E665" s="267" t="n">
        <v>6</v>
      </c>
      <c r="F665" s="359" t="n">
        <v>64.39</v>
      </c>
      <c r="G665" s="268">
        <f>ROUND(E665*F665,2)</f>
        <v/>
      </c>
      <c r="H665" s="269">
        <f>G665/$G$1004</f>
        <v/>
      </c>
      <c r="I665" s="268">
        <f>ROUND(F665*Прил.10!$D$13,2)</f>
        <v/>
      </c>
      <c r="J665" s="268">
        <f>ROUND(I665*E665,2)</f>
        <v/>
      </c>
    </row>
    <row r="666" hidden="1" outlineLevel="1" ht="38.25" customFormat="1" customHeight="1" s="255">
      <c r="A666" s="357" t="n">
        <v>638</v>
      </c>
      <c r="B666" s="265" t="inlineStr">
        <is>
          <t>19.2.03.03-0087</t>
        </is>
      </c>
      <c r="C666" s="356" t="inlineStr">
        <is>
          <t>Решетки вентиляционные наружные РН, из оцинкованной стали, размер 700х600 мм</t>
        </is>
      </c>
      <c r="D666" s="357" t="inlineStr">
        <is>
          <t>шт</t>
        </is>
      </c>
      <c r="E666" s="267" t="n">
        <v>1</v>
      </c>
      <c r="F666" s="359" t="n">
        <v>385.66</v>
      </c>
      <c r="G666" s="268">
        <f>ROUND(E666*F666,2)</f>
        <v/>
      </c>
      <c r="H666" s="269">
        <f>G666/$G$1004</f>
        <v/>
      </c>
      <c r="I666" s="268">
        <f>ROUND(F666*Прил.10!$D$13,2)</f>
        <v/>
      </c>
      <c r="J666" s="268">
        <f>ROUND(I666*E666,2)</f>
        <v/>
      </c>
    </row>
    <row r="667" hidden="1" outlineLevel="1" ht="14.25" customFormat="1" customHeight="1" s="255">
      <c r="A667" s="357" t="n">
        <v>639</v>
      </c>
      <c r="B667" s="265" t="inlineStr">
        <is>
          <t>Прайс из СД ОП</t>
        </is>
      </c>
      <c r="C667" s="356" t="inlineStr">
        <is>
          <t xml:space="preserve">Изолента </t>
        </is>
      </c>
      <c r="D667" s="357" t="inlineStr">
        <is>
          <t>кг</t>
        </is>
      </c>
      <c r="E667" s="267" t="n">
        <v>5</v>
      </c>
      <c r="F667" s="359" t="n">
        <v>76.93000000000001</v>
      </c>
      <c r="G667" s="268">
        <f>ROUND(E667*F667,2)</f>
        <v/>
      </c>
      <c r="H667" s="269">
        <f>G667/$G$1004</f>
        <v/>
      </c>
      <c r="I667" s="268">
        <f>ROUND(F667*Прил.10!$D$13,2)</f>
        <v/>
      </c>
      <c r="J667" s="268">
        <f>ROUND(I667*E667,2)</f>
        <v/>
      </c>
    </row>
    <row r="668" hidden="1" outlineLevel="1" ht="25.5" customFormat="1" customHeight="1" s="255">
      <c r="A668" s="357" t="n">
        <v>640</v>
      </c>
      <c r="B668" s="265" t="inlineStr">
        <is>
          <t>01.7.06.11-0001</t>
        </is>
      </c>
      <c r="C668" s="356" t="inlineStr">
        <is>
          <t>Лента предварительно сжатая, уплотнительная</t>
        </is>
      </c>
      <c r="D668" s="357" t="inlineStr">
        <is>
          <t>10 м</t>
        </is>
      </c>
      <c r="E668" s="267" t="n">
        <v>5.897</v>
      </c>
      <c r="F668" s="359" t="n">
        <v>64.09999999999999</v>
      </c>
      <c r="G668" s="268">
        <f>ROUND(E668*F668,2)</f>
        <v/>
      </c>
      <c r="H668" s="269">
        <f>G668/$G$1004</f>
        <v/>
      </c>
      <c r="I668" s="268">
        <f>ROUND(F668*Прил.10!$D$13,2)</f>
        <v/>
      </c>
      <c r="J668" s="268">
        <f>ROUND(I668*E668,2)</f>
        <v/>
      </c>
    </row>
    <row r="669" hidden="1" outlineLevel="1" ht="14.25" customFormat="1" customHeight="1" s="255">
      <c r="A669" s="357" t="n">
        <v>641</v>
      </c>
      <c r="B669" s="265" t="inlineStr">
        <is>
          <t>Прайс из СД ОП</t>
        </is>
      </c>
      <c r="C669" s="356" t="inlineStr">
        <is>
          <t>Угловой коньковый зажим 100 мм ND2202</t>
        </is>
      </c>
      <c r="D669" s="357" t="inlineStr">
        <is>
          <t>шт.</t>
        </is>
      </c>
      <c r="E669" s="267" t="n">
        <v>20</v>
      </c>
      <c r="F669" s="359" t="n">
        <v>18.82</v>
      </c>
      <c r="G669" s="268">
        <f>ROUND(E669*F669,2)</f>
        <v/>
      </c>
      <c r="H669" s="269">
        <f>G669/$G$1004</f>
        <v/>
      </c>
      <c r="I669" s="268">
        <f>ROUND(F669*Прил.10!$D$13,2)</f>
        <v/>
      </c>
      <c r="J669" s="268">
        <f>ROUND(I669*E669,2)</f>
        <v/>
      </c>
    </row>
    <row r="670" hidden="1" outlineLevel="1" ht="38.25" customFormat="1" customHeight="1" s="255">
      <c r="A670" s="357" t="n">
        <v>642</v>
      </c>
      <c r="B670" s="265" t="inlineStr">
        <is>
          <t>20.4.04.02-0042</t>
        </is>
      </c>
      <c r="C670" s="356" t="inlineStr">
        <is>
          <t>Щиты распределительные наружной установки ЩРН-12, IP31, размер 265х310х120 мм</t>
        </is>
      </c>
      <c r="D670" s="357" t="inlineStr">
        <is>
          <t>шт</t>
        </is>
      </c>
      <c r="E670" s="267" t="n">
        <v>3</v>
      </c>
      <c r="F670" s="359" t="n">
        <v>124.13</v>
      </c>
      <c r="G670" s="268">
        <f>ROUND(E670*F670,2)</f>
        <v/>
      </c>
      <c r="H670" s="269">
        <f>G670/$G$1004</f>
        <v/>
      </c>
      <c r="I670" s="268">
        <f>ROUND(F670*Прил.10!$D$13,2)</f>
        <v/>
      </c>
      <c r="J670" s="268">
        <f>ROUND(I670*E670,2)</f>
        <v/>
      </c>
    </row>
    <row r="671" hidden="1" outlineLevel="1" ht="38.25" customFormat="1" customHeight="1" s="255">
      <c r="A671" s="357" t="n">
        <v>643</v>
      </c>
      <c r="B671" s="265" t="inlineStr">
        <is>
          <t>05.1.03.09-0016</t>
        </is>
      </c>
      <c r="C671" s="356" t="inlineStr">
        <is>
          <t>Перемычка брусковая 3ПБ16-37-п, бетон B15, объем 0,041 м3, расход арматуры 3,26 кг</t>
        </is>
      </c>
      <c r="D671" s="357" t="inlineStr">
        <is>
          <t>шт</t>
        </is>
      </c>
      <c r="E671" s="267" t="n">
        <v>6</v>
      </c>
      <c r="F671" s="359" t="n">
        <v>61.93</v>
      </c>
      <c r="G671" s="268">
        <f>ROUND(E671*F671,2)</f>
        <v/>
      </c>
      <c r="H671" s="269">
        <f>G671/$G$1004</f>
        <v/>
      </c>
      <c r="I671" s="268">
        <f>ROUND(F671*Прил.10!$D$13,2)</f>
        <v/>
      </c>
      <c r="J671" s="268">
        <f>ROUND(I671*E671,2)</f>
        <v/>
      </c>
    </row>
    <row r="672" hidden="1" outlineLevel="1" ht="51" customFormat="1" customHeight="1" s="255">
      <c r="A672" s="357" t="n">
        <v>644</v>
      </c>
      <c r="B672" s="265" t="inlineStr">
        <is>
          <t>08.2.02.11-0007</t>
        </is>
      </c>
      <c r="C672" s="356" t="inlineStr">
        <is>
          <t>Канат двойной свивки ТК, конструкции 6х19(1+6+12)+1 о.с., оцинкованный, из проволок марки В, маркировочная группа 1770 н/мм2, диаметр 5,5 мм</t>
        </is>
      </c>
      <c r="D672" s="357" t="inlineStr">
        <is>
          <t>10 м</t>
        </is>
      </c>
      <c r="E672" s="267" t="n">
        <v>7.3707</v>
      </c>
      <c r="F672" s="359" t="n">
        <v>50.24</v>
      </c>
      <c r="G672" s="268">
        <f>ROUND(E672*F672,2)</f>
        <v/>
      </c>
      <c r="H672" s="269">
        <f>G672/$G$1004</f>
        <v/>
      </c>
      <c r="I672" s="268">
        <f>ROUND(F672*Прил.10!$D$13,2)</f>
        <v/>
      </c>
      <c r="J672" s="268">
        <f>ROUND(I672*E672,2)</f>
        <v/>
      </c>
    </row>
    <row r="673" hidden="1" outlineLevel="1" ht="38.25" customFormat="1" customHeight="1" s="255">
      <c r="A673" s="357" t="n">
        <v>645</v>
      </c>
      <c r="B673" s="265" t="inlineStr">
        <is>
          <t>24.3.01.02-0021</t>
        </is>
      </c>
      <c r="C673" s="356" t="inlineStr">
        <is>
          <t>Трубы из самозатухающего ПВХ гибкие гофрированные, легкие, с зондом, номинальный внутренний диаметр 16 мм</t>
        </is>
      </c>
      <c r="D673" s="357" t="inlineStr">
        <is>
          <t>м</t>
        </is>
      </c>
      <c r="E673" s="267" t="n">
        <v>230</v>
      </c>
      <c r="F673" s="359" t="n">
        <v>1.61</v>
      </c>
      <c r="G673" s="268">
        <f>ROUND(E673*F673,2)</f>
        <v/>
      </c>
      <c r="H673" s="269">
        <f>G673/$G$1004</f>
        <v/>
      </c>
      <c r="I673" s="268">
        <f>ROUND(F673*Прил.10!$D$13,2)</f>
        <v/>
      </c>
      <c r="J673" s="268">
        <f>ROUND(I673*E673,2)</f>
        <v/>
      </c>
    </row>
    <row r="674" hidden="1" outlineLevel="1" ht="25.5" customFormat="1" customHeight="1" s="255">
      <c r="A674" s="357" t="n">
        <v>646</v>
      </c>
      <c r="B674" s="265" t="inlineStr">
        <is>
          <t>Прайс из СД ОП</t>
        </is>
      </c>
      <c r="C674" s="356" t="inlineStr">
        <is>
          <t>Контактор модульный OptiDin MK63-2020-230AC</t>
        </is>
      </c>
      <c r="D674" s="357" t="inlineStr">
        <is>
          <t>1шт.</t>
        </is>
      </c>
      <c r="E674" s="267" t="n">
        <v>2</v>
      </c>
      <c r="F674" s="359" t="n">
        <v>184.05</v>
      </c>
      <c r="G674" s="268">
        <f>ROUND(E674*F674,2)</f>
        <v/>
      </c>
      <c r="H674" s="269">
        <f>G674/$G$1004</f>
        <v/>
      </c>
      <c r="I674" s="268">
        <f>ROUND(F674*Прил.10!$D$13,2)</f>
        <v/>
      </c>
      <c r="J674" s="268">
        <f>ROUND(I674*E674,2)</f>
        <v/>
      </c>
    </row>
    <row r="675" hidden="1" outlineLevel="1" ht="38.25" customFormat="1" customHeight="1" s="255">
      <c r="A675" s="357" t="n">
        <v>647</v>
      </c>
      <c r="B675" s="265" t="inlineStr">
        <is>
          <t>19.1.01.03-0076</t>
        </is>
      </c>
      <c r="C675" s="356" t="inlineStr">
        <is>
          <t>Воздуховоды из оцинкованной стали, толщина 0,7 мм, диаметр от 500 до 560 мм</t>
        </is>
      </c>
      <c r="D675" s="357" t="inlineStr">
        <is>
          <t>м2</t>
        </is>
      </c>
      <c r="E675" s="267" t="n">
        <v>3.9407</v>
      </c>
      <c r="F675" s="359" t="n">
        <v>90.67</v>
      </c>
      <c r="G675" s="268">
        <f>ROUND(E675*F675,2)</f>
        <v/>
      </c>
      <c r="H675" s="269">
        <f>G675/$G$1004</f>
        <v/>
      </c>
      <c r="I675" s="268">
        <f>ROUND(F675*Прил.10!$D$13,2)</f>
        <v/>
      </c>
      <c r="J675" s="268">
        <f>ROUND(I675*E675,2)</f>
        <v/>
      </c>
    </row>
    <row r="676" hidden="1" outlineLevel="1" ht="38.25" customFormat="1" customHeight="1" s="255">
      <c r="A676" s="357" t="n">
        <v>648</v>
      </c>
      <c r="B676" s="265" t="inlineStr">
        <is>
          <t>19.2.03.02-0080</t>
        </is>
      </c>
      <c r="C676" s="356" t="inlineStr">
        <is>
          <t>Решетки вентиляционные, жалюзийные, регулируемые АМН, алюминиевые, размер 150х150 мм</t>
        </is>
      </c>
      <c r="D676" s="357" t="inlineStr">
        <is>
          <t>шт</t>
        </is>
      </c>
      <c r="E676" s="267" t="n">
        <v>6</v>
      </c>
      <c r="F676" s="359" t="n">
        <v>59.36</v>
      </c>
      <c r="G676" s="268">
        <f>ROUND(E676*F676,2)</f>
        <v/>
      </c>
      <c r="H676" s="269">
        <f>G676/$G$1004</f>
        <v/>
      </c>
      <c r="I676" s="268">
        <f>ROUND(F676*Прил.10!$D$13,2)</f>
        <v/>
      </c>
      <c r="J676" s="268">
        <f>ROUND(I676*E676,2)</f>
        <v/>
      </c>
    </row>
    <row r="677" hidden="1" outlineLevel="1" ht="25.5" customFormat="1" customHeight="1" s="255">
      <c r="A677" s="357" t="n">
        <v>649</v>
      </c>
      <c r="B677" s="265" t="inlineStr">
        <is>
          <t>08.4.03.02-0004</t>
        </is>
      </c>
      <c r="C677" s="356" t="inlineStr">
        <is>
          <t>Сталь арматурная, горячекатаная, гладкая, класс А-I, диаметр 12 мм</t>
        </is>
      </c>
      <c r="D677" s="357" t="inlineStr">
        <is>
          <t>т</t>
        </is>
      </c>
      <c r="E677" s="267" t="n">
        <v>0.0545</v>
      </c>
      <c r="F677" s="359" t="n">
        <v>6508.75</v>
      </c>
      <c r="G677" s="268">
        <f>ROUND(E677*F677,2)</f>
        <v/>
      </c>
      <c r="H677" s="269">
        <f>G677/$G$1004</f>
        <v/>
      </c>
      <c r="I677" s="268">
        <f>ROUND(F677*Прил.10!$D$13,2)</f>
        <v/>
      </c>
      <c r="J677" s="268">
        <f>ROUND(I677*E677,2)</f>
        <v/>
      </c>
    </row>
    <row r="678" hidden="1" outlineLevel="1" ht="14.25" customFormat="1" customHeight="1" s="255">
      <c r="A678" s="357" t="n">
        <v>650</v>
      </c>
      <c r="B678" s="265" t="inlineStr">
        <is>
          <t>14.1.02.04-0101</t>
        </is>
      </c>
      <c r="C678" s="356" t="inlineStr">
        <is>
          <t>Клей-мастика Бустилат</t>
        </is>
      </c>
      <c r="D678" s="357" t="inlineStr">
        <is>
          <t>т</t>
        </is>
      </c>
      <c r="E678" s="267" t="n">
        <v>0.0313</v>
      </c>
      <c r="F678" s="359" t="n">
        <v>11300</v>
      </c>
      <c r="G678" s="268">
        <f>ROUND(E678*F678,2)</f>
        <v/>
      </c>
      <c r="H678" s="269">
        <f>G678/$G$1004</f>
        <v/>
      </c>
      <c r="I678" s="268">
        <f>ROUND(F678*Прил.10!$D$13,2)</f>
        <v/>
      </c>
      <c r="J678" s="268">
        <f>ROUND(I678*E678,2)</f>
        <v/>
      </c>
    </row>
    <row r="679" hidden="1" outlineLevel="1" ht="14.25" customFormat="1" customHeight="1" s="255">
      <c r="A679" s="357" t="n">
        <v>651</v>
      </c>
      <c r="B679" s="265" t="inlineStr">
        <is>
          <t>Прайс из СД ОП</t>
        </is>
      </c>
      <c r="C679" s="356" t="inlineStr">
        <is>
          <t>Клемма винтовая, 35 мм2 М35/16</t>
        </is>
      </c>
      <c r="D679" s="357" t="inlineStr">
        <is>
          <t>шт.</t>
        </is>
      </c>
      <c r="E679" s="267" t="n">
        <v>12</v>
      </c>
      <c r="F679" s="359" t="n">
        <v>29.12</v>
      </c>
      <c r="G679" s="268">
        <f>ROUND(E679*F679,2)</f>
        <v/>
      </c>
      <c r="H679" s="269">
        <f>G679/$G$1004</f>
        <v/>
      </c>
      <c r="I679" s="268">
        <f>ROUND(F679*Прил.10!$D$13,2)</f>
        <v/>
      </c>
      <c r="J679" s="268">
        <f>ROUND(I679*E679,2)</f>
        <v/>
      </c>
    </row>
    <row r="680" hidden="1" outlineLevel="1" ht="14.25" customFormat="1" customHeight="1" s="255">
      <c r="A680" s="357" t="n">
        <v>652</v>
      </c>
      <c r="B680" s="265" t="inlineStr">
        <is>
          <t>01.7.15.14-0022</t>
        </is>
      </c>
      <c r="C680" s="356" t="inlineStr">
        <is>
          <t>Шурупы для ГВЛ 3,9х30</t>
        </is>
      </c>
      <c r="D680" s="357" t="inlineStr">
        <is>
          <t>100 шт</t>
        </is>
      </c>
      <c r="E680" s="267" t="n">
        <v>87.256</v>
      </c>
      <c r="F680" s="359" t="n">
        <v>4</v>
      </c>
      <c r="G680" s="268">
        <f>ROUND(E680*F680,2)</f>
        <v/>
      </c>
      <c r="H680" s="269">
        <f>G680/$G$1004</f>
        <v/>
      </c>
      <c r="I680" s="268">
        <f>ROUND(F680*Прил.10!$D$13,2)</f>
        <v/>
      </c>
      <c r="J680" s="268">
        <f>ROUND(I680*E680,2)</f>
        <v/>
      </c>
    </row>
    <row r="681" hidden="1" outlineLevel="1" ht="14.25" customFormat="1" customHeight="1" s="255">
      <c r="A681" s="357" t="n">
        <v>653</v>
      </c>
      <c r="B681" s="265" t="inlineStr">
        <is>
          <t>Прайс из СД ОП</t>
        </is>
      </c>
      <c r="C681" s="356" t="inlineStr">
        <is>
          <t xml:space="preserve">Кронштейн ТС.04 </t>
        </is>
      </c>
      <c r="D681" s="357" t="inlineStr">
        <is>
          <t>шт.</t>
        </is>
      </c>
      <c r="E681" s="267" t="n">
        <v>12</v>
      </c>
      <c r="F681" s="359" t="n">
        <v>28.16</v>
      </c>
      <c r="G681" s="268">
        <f>ROUND(E681*F681,2)</f>
        <v/>
      </c>
      <c r="H681" s="269">
        <f>G681/$G$1004</f>
        <v/>
      </c>
      <c r="I681" s="268">
        <f>ROUND(F681*Прил.10!$D$13,2)</f>
        <v/>
      </c>
      <c r="J681" s="268">
        <f>ROUND(I681*E681,2)</f>
        <v/>
      </c>
    </row>
    <row r="682" hidden="1" outlineLevel="1" ht="14.25" customFormat="1" customHeight="1" s="255">
      <c r="A682" s="357" t="n">
        <v>654</v>
      </c>
      <c r="B682" s="265" t="inlineStr">
        <is>
          <t>01.3.02.03-0001</t>
        </is>
      </c>
      <c r="C682" s="356" t="inlineStr">
        <is>
          <t>Ацетилен газообразный технический</t>
        </is>
      </c>
      <c r="D682" s="357" t="inlineStr">
        <is>
          <t>м3</t>
        </is>
      </c>
      <c r="E682" s="267" t="n">
        <v>8.43</v>
      </c>
      <c r="F682" s="359" t="n">
        <v>38.51</v>
      </c>
      <c r="G682" s="268">
        <f>ROUND(E682*F682,2)</f>
        <v/>
      </c>
      <c r="H682" s="269">
        <f>G682/$G$1004</f>
        <v/>
      </c>
      <c r="I682" s="268">
        <f>ROUND(F682*Прил.10!$D$13,2)</f>
        <v/>
      </c>
      <c r="J682" s="268">
        <f>ROUND(I682*E682,2)</f>
        <v/>
      </c>
    </row>
    <row r="683" hidden="1" outlineLevel="1" ht="51" customFormat="1" customHeight="1" s="255">
      <c r="A683" s="357" t="n">
        <v>655</v>
      </c>
      <c r="B683" s="265" t="inlineStr">
        <is>
          <t>18.2.02.05-0006</t>
        </is>
      </c>
      <c r="C683" s="356" t="inlineStr">
        <is>
          <t>Мойки стальные эмалированные на одно отделение с одной чашей, c креплениями МСКЦ со смесителем пластмассовым бутылочным сифоном</t>
        </is>
      </c>
      <c r="D683" s="357" t="inlineStr">
        <is>
          <t>компл</t>
        </is>
      </c>
      <c r="E683" s="267" t="n">
        <v>1</v>
      </c>
      <c r="F683" s="359" t="n">
        <v>318.19</v>
      </c>
      <c r="G683" s="268">
        <f>ROUND(E683*F683,2)</f>
        <v/>
      </c>
      <c r="H683" s="269">
        <f>G683/$G$1004</f>
        <v/>
      </c>
      <c r="I683" s="268">
        <f>ROUND(F683*Прил.10!$D$13,2)</f>
        <v/>
      </c>
      <c r="J683" s="268">
        <f>ROUND(I683*E683,2)</f>
        <v/>
      </c>
    </row>
    <row r="684" hidden="1" outlineLevel="1" ht="14.25" customFormat="1" customHeight="1" s="255">
      <c r="A684" s="357" t="n">
        <v>656</v>
      </c>
      <c r="B684" s="265" t="inlineStr">
        <is>
          <t>18.2.01.06-0001</t>
        </is>
      </c>
      <c r="C684" s="356" t="inlineStr">
        <is>
          <t>Унитаз-компакт «Комфорт»</t>
        </is>
      </c>
      <c r="D684" s="357" t="inlineStr">
        <is>
          <t>компл</t>
        </is>
      </c>
      <c r="E684" s="267" t="n">
        <v>1</v>
      </c>
      <c r="F684" s="359" t="n">
        <v>318</v>
      </c>
      <c r="G684" s="268">
        <f>ROUND(E684*F684,2)</f>
        <v/>
      </c>
      <c r="H684" s="269">
        <f>G684/$G$1004</f>
        <v/>
      </c>
      <c r="I684" s="268">
        <f>ROUND(F684*Прил.10!$D$13,2)</f>
        <v/>
      </c>
      <c r="J684" s="268">
        <f>ROUND(I684*E684,2)</f>
        <v/>
      </c>
    </row>
    <row r="685" hidden="1" outlineLevel="1" ht="14.25" customFormat="1" customHeight="1" s="255">
      <c r="A685" s="357" t="n">
        <v>657</v>
      </c>
      <c r="B685" s="265" t="inlineStr">
        <is>
          <t>01.7.15.07-0082</t>
        </is>
      </c>
      <c r="C685" s="356" t="inlineStr">
        <is>
          <t>Дюбель-гвозди, размер 6х39 мм</t>
        </is>
      </c>
      <c r="D685" s="357" t="inlineStr">
        <is>
          <t>100 шт</t>
        </is>
      </c>
      <c r="E685" s="267" t="n">
        <v>4.5396</v>
      </c>
      <c r="F685" s="359" t="n">
        <v>70</v>
      </c>
      <c r="G685" s="268">
        <f>ROUND(E685*F685,2)</f>
        <v/>
      </c>
      <c r="H685" s="269">
        <f>G685/$G$1004</f>
        <v/>
      </c>
      <c r="I685" s="268">
        <f>ROUND(F685*Прил.10!$D$13,2)</f>
        <v/>
      </c>
      <c r="J685" s="268">
        <f>ROUND(I685*E685,2)</f>
        <v/>
      </c>
    </row>
    <row r="686" hidden="1" outlineLevel="1" ht="25.5" customFormat="1" customHeight="1" s="255">
      <c r="A686" s="357" t="n">
        <v>658</v>
      </c>
      <c r="B686" s="265" t="inlineStr">
        <is>
          <t>01.7.16.02-0001</t>
        </is>
      </c>
      <c r="C686" s="356" t="inlineStr">
        <is>
          <t>Детали деревянные лесов из пиломатериалов хвойных пород</t>
        </is>
      </c>
      <c r="D686" s="357" t="inlineStr">
        <is>
          <t>м3</t>
        </is>
      </c>
      <c r="E686" s="267" t="n">
        <v>0.2879</v>
      </c>
      <c r="F686" s="359" t="n">
        <v>1100</v>
      </c>
      <c r="G686" s="268">
        <f>ROUND(E686*F686,2)</f>
        <v/>
      </c>
      <c r="H686" s="269">
        <f>G686/$G$1004</f>
        <v/>
      </c>
      <c r="I686" s="268">
        <f>ROUND(F686*Прил.10!$D$13,2)</f>
        <v/>
      </c>
      <c r="J686" s="268">
        <f>ROUND(I686*E686,2)</f>
        <v/>
      </c>
    </row>
    <row r="687" hidden="1" outlineLevel="1" ht="51" customFormat="1" customHeight="1" s="255">
      <c r="A687" s="357" t="n">
        <v>659</v>
      </c>
      <c r="B687" s="265" t="inlineStr">
        <is>
          <t>05.2.02.01-0040</t>
        </is>
      </c>
      <c r="C687" s="356" t="inlineStr">
        <is>
          <t>Блоки бетонные для стен подвалов полнотелые ФБС12-4-3-Т, бетон B7,5 (М100, объем 0,127 м3, расход арматуры 0,74 кг</t>
        </is>
      </c>
      <c r="D687" s="357" t="inlineStr">
        <is>
          <t>шт</t>
        </is>
      </c>
      <c r="E687" s="267" t="n">
        <v>4</v>
      </c>
      <c r="F687" s="359" t="n">
        <v>78.73999999999999</v>
      </c>
      <c r="G687" s="268">
        <f>ROUND(E687*F687,2)</f>
        <v/>
      </c>
      <c r="H687" s="269">
        <f>G687/$G$1004</f>
        <v/>
      </c>
      <c r="I687" s="268">
        <f>ROUND(F687*Прил.10!$D$13,2)</f>
        <v/>
      </c>
      <c r="J687" s="268">
        <f>ROUND(I687*E687,2)</f>
        <v/>
      </c>
    </row>
    <row r="688" hidden="1" outlineLevel="1" ht="25.5" customFormat="1" customHeight="1" s="255">
      <c r="A688" s="357" t="n">
        <v>660</v>
      </c>
      <c r="B688" s="265" t="inlineStr">
        <is>
          <t>Прайс из СД ОП</t>
        </is>
      </c>
      <c r="C688" s="356" t="inlineStr">
        <is>
          <t>Автоматический выключатель трехполюсный, OptiDin BM63-3С63</t>
        </is>
      </c>
      <c r="D688" s="357" t="inlineStr">
        <is>
          <t>шт.</t>
        </is>
      </c>
      <c r="E688" s="267" t="n">
        <v>4</v>
      </c>
      <c r="F688" s="359" t="n">
        <v>77.51000000000001</v>
      </c>
      <c r="G688" s="268">
        <f>ROUND(E688*F688,2)</f>
        <v/>
      </c>
      <c r="H688" s="269">
        <f>G688/$G$1004</f>
        <v/>
      </c>
      <c r="I688" s="268">
        <f>ROUND(F688*Прил.10!$D$13,2)</f>
        <v/>
      </c>
      <c r="J688" s="268">
        <f>ROUND(I688*E688,2)</f>
        <v/>
      </c>
    </row>
    <row r="689" hidden="1" outlineLevel="1" ht="25.5" customFormat="1" customHeight="1" s="255">
      <c r="A689" s="357" t="n">
        <v>661</v>
      </c>
      <c r="B689" s="265" t="inlineStr">
        <is>
          <t>01.7.11.07-0045</t>
        </is>
      </c>
      <c r="C689" s="356" t="inlineStr">
        <is>
          <t>Электроды сварочные Э42А, диаметр 5 мм</t>
        </is>
      </c>
      <c r="D689" s="357" t="inlineStr">
        <is>
          <t>т</t>
        </is>
      </c>
      <c r="E689" s="267" t="n">
        <v>0.0288</v>
      </c>
      <c r="F689" s="359" t="n">
        <v>10362</v>
      </c>
      <c r="G689" s="268">
        <f>ROUND(E689*F689,2)</f>
        <v/>
      </c>
      <c r="H689" s="269">
        <f>G689/$G$1004</f>
        <v/>
      </c>
      <c r="I689" s="268">
        <f>ROUND(F689*Прил.10!$D$13,2)</f>
        <v/>
      </c>
      <c r="J689" s="268">
        <f>ROUND(I689*E689,2)</f>
        <v/>
      </c>
    </row>
    <row r="690" hidden="1" outlineLevel="1" ht="25.5" customFormat="1" customHeight="1" s="255">
      <c r="A690" s="357" t="n">
        <v>662</v>
      </c>
      <c r="B690" s="265" t="inlineStr">
        <is>
          <t>05.1.08.07-0003</t>
        </is>
      </c>
      <c r="C690" s="356" t="inlineStr">
        <is>
          <t>Плиты опорные ОП 4.4-Т, бетон B15, объем 0,02 м3, расход арматуры 1,6 кг</t>
        </is>
      </c>
      <c r="D690" s="357" t="inlineStr">
        <is>
          <t>шт</t>
        </is>
      </c>
      <c r="E690" s="267" t="n">
        <v>8</v>
      </c>
      <c r="F690" s="359" t="n">
        <v>37.24</v>
      </c>
      <c r="G690" s="268">
        <f>ROUND(E690*F690,2)</f>
        <v/>
      </c>
      <c r="H690" s="269">
        <f>G690/$G$1004</f>
        <v/>
      </c>
      <c r="I690" s="268">
        <f>ROUND(F690*Прил.10!$D$13,2)</f>
        <v/>
      </c>
      <c r="J690" s="268">
        <f>ROUND(I690*E690,2)</f>
        <v/>
      </c>
    </row>
    <row r="691" hidden="1" outlineLevel="1" ht="14.25" customFormat="1" customHeight="1" s="255">
      <c r="A691" s="357" t="n">
        <v>663</v>
      </c>
      <c r="B691" s="265" t="inlineStr">
        <is>
          <t>Прайс из СД ОП</t>
        </is>
      </c>
      <c r="C691" s="356" t="inlineStr">
        <is>
          <t>Полоса крепёжная 0,5х15, 1250 мм</t>
        </is>
      </c>
      <c r="D691" s="357" t="inlineStr">
        <is>
          <t>шт.</t>
        </is>
      </c>
      <c r="E691" s="267" t="n">
        <v>60</v>
      </c>
      <c r="F691" s="359" t="n">
        <v>4.92</v>
      </c>
      <c r="G691" s="268">
        <f>ROUND(E691*F691,2)</f>
        <v/>
      </c>
      <c r="H691" s="269">
        <f>G691/$G$1004</f>
        <v/>
      </c>
      <c r="I691" s="268">
        <f>ROUND(F691*Прил.10!$D$13,2)</f>
        <v/>
      </c>
      <c r="J691" s="268">
        <f>ROUND(I691*E691,2)</f>
        <v/>
      </c>
    </row>
    <row r="692" hidden="1" outlineLevel="1" ht="25.5" customFormat="1" customHeight="1" s="255">
      <c r="A692" s="357" t="n">
        <v>664</v>
      </c>
      <c r="B692" s="265" t="inlineStr">
        <is>
          <t>Прайс из СД ОП</t>
        </is>
      </c>
      <c r="C692" s="356" t="inlineStr">
        <is>
          <t>Коробка распределительная на 4 ввода, 60х40 мм круглая, IP55, Tyco 60х40</t>
        </is>
      </c>
      <c r="D692" s="357" t="inlineStr">
        <is>
          <t>шт.</t>
        </is>
      </c>
      <c r="E692" s="267" t="n">
        <v>102</v>
      </c>
      <c r="F692" s="359" t="n">
        <v>2.88</v>
      </c>
      <c r="G692" s="268">
        <f>ROUND(E692*F692,2)</f>
        <v/>
      </c>
      <c r="H692" s="269">
        <f>G692/$G$1004</f>
        <v/>
      </c>
      <c r="I692" s="268">
        <f>ROUND(F692*Прил.10!$D$13,2)</f>
        <v/>
      </c>
      <c r="J692" s="268">
        <f>ROUND(I692*E692,2)</f>
        <v/>
      </c>
    </row>
    <row r="693" hidden="1" outlineLevel="1" ht="14.25" customFormat="1" customHeight="1" s="255">
      <c r="A693" s="357" t="n">
        <v>665</v>
      </c>
      <c r="B693" s="265" t="inlineStr">
        <is>
          <t>20.5.04.03-0011</t>
        </is>
      </c>
      <c r="C693" s="356" t="inlineStr">
        <is>
          <t>Зажимы наборные</t>
        </is>
      </c>
      <c r="D693" s="357" t="inlineStr">
        <is>
          <t>шт</t>
        </is>
      </c>
      <c r="E693" s="267" t="n">
        <v>83.64</v>
      </c>
      <c r="F693" s="359" t="n">
        <v>3.5</v>
      </c>
      <c r="G693" s="268">
        <f>ROUND(E693*F693,2)</f>
        <v/>
      </c>
      <c r="H693" s="269">
        <f>G693/$G$1004</f>
        <v/>
      </c>
      <c r="I693" s="268">
        <f>ROUND(F693*Прил.10!$D$13,2)</f>
        <v/>
      </c>
      <c r="J693" s="268">
        <f>ROUND(I693*E693,2)</f>
        <v/>
      </c>
    </row>
    <row r="694" hidden="1" outlineLevel="1" ht="25.5" customFormat="1" customHeight="1" s="255">
      <c r="A694" s="357" t="n">
        <v>666</v>
      </c>
      <c r="B694" s="265" t="inlineStr">
        <is>
          <t>03.1.02.03-0011</t>
        </is>
      </c>
      <c r="C694" s="356" t="inlineStr">
        <is>
          <t>Известь строительная негашеная комовая, сорт I</t>
        </is>
      </c>
      <c r="D694" s="357" t="inlineStr">
        <is>
          <t>т</t>
        </is>
      </c>
      <c r="E694" s="267" t="n">
        <v>0.3983</v>
      </c>
      <c r="F694" s="359" t="n">
        <v>734.5</v>
      </c>
      <c r="G694" s="268">
        <f>ROUND(E694*F694,2)</f>
        <v/>
      </c>
      <c r="H694" s="269">
        <f>G694/$G$1004</f>
        <v/>
      </c>
      <c r="I694" s="268">
        <f>ROUND(F694*Прил.10!$D$13,2)</f>
        <v/>
      </c>
      <c r="J694" s="268">
        <f>ROUND(I694*E694,2)</f>
        <v/>
      </c>
    </row>
    <row r="695" hidden="1" outlineLevel="1" ht="63.75" customFormat="1" customHeight="1" s="255">
      <c r="A695" s="357" t="n">
        <v>667</v>
      </c>
      <c r="B695" s="265" t="inlineStr">
        <is>
          <t>19.3.01.06-0001</t>
        </is>
      </c>
      <c r="C695" s="356" t="inlineStr">
        <is>
          <t>Клапаны воздушные полипропиленовые для невентилируемых канализационных стояков с резиновой мембраной, двойной изолированной стенкой, уменьшителем, защитной сеткой, диаметр 50, 75, 110 мм</t>
        </is>
      </c>
      <c r="D695" s="357" t="inlineStr">
        <is>
          <t>шт</t>
        </is>
      </c>
      <c r="E695" s="267" t="n">
        <v>1</v>
      </c>
      <c r="F695" s="359" t="n">
        <v>291.59</v>
      </c>
      <c r="G695" s="268">
        <f>ROUND(E695*F695,2)</f>
        <v/>
      </c>
      <c r="H695" s="269">
        <f>G695/$G$1004</f>
        <v/>
      </c>
      <c r="I695" s="268">
        <f>ROUND(F695*Прил.10!$D$13,2)</f>
        <v/>
      </c>
      <c r="J695" s="268">
        <f>ROUND(I695*E695,2)</f>
        <v/>
      </c>
    </row>
    <row r="696" hidden="1" outlineLevel="1" ht="38.25" customFormat="1" customHeight="1" s="255">
      <c r="A696" s="357" t="n">
        <v>668</v>
      </c>
      <c r="B696" s="265" t="inlineStr">
        <is>
          <t>19.2.03.02-0109</t>
        </is>
      </c>
      <c r="C696" s="356" t="inlineStr">
        <is>
          <t>Решетки вентиляционные алюминиевые "АРКТОС" типа: АМР, размером 100х400 мм</t>
        </is>
      </c>
      <c r="D696" s="357" t="inlineStr">
        <is>
          <t>шт</t>
        </is>
      </c>
      <c r="E696" s="267" t="n">
        <v>2</v>
      </c>
      <c r="F696" s="359" t="n">
        <v>143.88</v>
      </c>
      <c r="G696" s="268">
        <f>ROUND(E696*F696,2)</f>
        <v/>
      </c>
      <c r="H696" s="269">
        <f>G696/$G$1004</f>
        <v/>
      </c>
      <c r="I696" s="268">
        <f>ROUND(F696*Прил.10!$D$13,2)</f>
        <v/>
      </c>
      <c r="J696" s="268">
        <f>ROUND(I696*E696,2)</f>
        <v/>
      </c>
    </row>
    <row r="697" hidden="1" outlineLevel="1" ht="25.5" customFormat="1" customHeight="1" s="255">
      <c r="A697" s="357" t="n">
        <v>669</v>
      </c>
      <c r="B697" s="265" t="inlineStr">
        <is>
          <t>Прайс из СД ОП</t>
        </is>
      </c>
      <c r="C697" s="356" t="inlineStr">
        <is>
          <t>Автоматический выключатель однополюсный, OptiDin BM63-1С16</t>
        </is>
      </c>
      <c r="D697" s="357" t="inlineStr">
        <is>
          <t>шт.</t>
        </is>
      </c>
      <c r="E697" s="267" t="n">
        <v>16</v>
      </c>
      <c r="F697" s="359" t="n">
        <v>17.46</v>
      </c>
      <c r="G697" s="268">
        <f>ROUND(E697*F697,2)</f>
        <v/>
      </c>
      <c r="H697" s="269">
        <f>G697/$G$1004</f>
        <v/>
      </c>
      <c r="I697" s="268">
        <f>ROUND(F697*Прил.10!$D$13,2)</f>
        <v/>
      </c>
      <c r="J697" s="268">
        <f>ROUND(I697*E697,2)</f>
        <v/>
      </c>
    </row>
    <row r="698" hidden="1" outlineLevel="1" ht="38.25" customFormat="1" customHeight="1" s="255">
      <c r="A698" s="357" t="n">
        <v>670</v>
      </c>
      <c r="B698" s="265" t="inlineStr">
        <is>
          <t>Прайс из СД ОП</t>
        </is>
      </c>
      <c r="C698" s="356" t="inlineStr">
        <is>
          <t>Выключатель одноклавишный скрытой установки, 10 А, IP20 Legrand Valena, арт. 774401</t>
        </is>
      </c>
      <c r="D698" s="357" t="inlineStr">
        <is>
          <t>шт.</t>
        </is>
      </c>
      <c r="E698" s="267" t="n">
        <v>16</v>
      </c>
      <c r="F698" s="359" t="n">
        <v>17.18</v>
      </c>
      <c r="G698" s="268">
        <f>ROUND(E698*F698,2)</f>
        <v/>
      </c>
      <c r="H698" s="269">
        <f>G698/$G$1004</f>
        <v/>
      </c>
      <c r="I698" s="268">
        <f>ROUND(F698*Прил.10!$D$13,2)</f>
        <v/>
      </c>
      <c r="J698" s="268">
        <f>ROUND(I698*E698,2)</f>
        <v/>
      </c>
    </row>
    <row r="699" hidden="1" outlineLevel="1" ht="14.25" customFormat="1" customHeight="1" s="255">
      <c r="A699" s="357" t="n">
        <v>671</v>
      </c>
      <c r="B699" s="265" t="inlineStr">
        <is>
          <t>Прайс из СД ОП</t>
        </is>
      </c>
      <c r="C699" s="356" t="inlineStr">
        <is>
          <t xml:space="preserve">Рейка краевая алюминиевая Технониколь </t>
        </is>
      </c>
      <c r="D699" s="357" t="inlineStr">
        <is>
          <t>м</t>
        </is>
      </c>
      <c r="E699" s="267" t="n">
        <v>27</v>
      </c>
      <c r="F699" s="359" t="n">
        <v>10.15</v>
      </c>
      <c r="G699" s="268">
        <f>ROUND(E699*F699,2)</f>
        <v/>
      </c>
      <c r="H699" s="269">
        <f>G699/$G$1004</f>
        <v/>
      </c>
      <c r="I699" s="268">
        <f>ROUND(F699*Прил.10!$D$13,2)</f>
        <v/>
      </c>
      <c r="J699" s="268">
        <f>ROUND(I699*E699,2)</f>
        <v/>
      </c>
    </row>
    <row r="700" hidden="1" outlineLevel="1" ht="14.25" customFormat="1" customHeight="1" s="255">
      <c r="A700" s="357" t="n">
        <v>672</v>
      </c>
      <c r="B700" s="265" t="inlineStr">
        <is>
          <t>11.1.03.01-0003</t>
        </is>
      </c>
      <c r="C700" s="356" t="inlineStr">
        <is>
          <t>Бруски деревянные, размер 75х50 мм</t>
        </is>
      </c>
      <c r="D700" s="357" t="inlineStr">
        <is>
          <t>м</t>
        </is>
      </c>
      <c r="E700" s="267" t="n">
        <v>43.66</v>
      </c>
      <c r="F700" s="359" t="n">
        <v>6.26</v>
      </c>
      <c r="G700" s="268">
        <f>ROUND(E700*F700,2)</f>
        <v/>
      </c>
      <c r="H700" s="269">
        <f>G700/$G$1004</f>
        <v/>
      </c>
      <c r="I700" s="268">
        <f>ROUND(F700*Прил.10!$D$13,2)</f>
        <v/>
      </c>
      <c r="J700" s="268">
        <f>ROUND(I700*E700,2)</f>
        <v/>
      </c>
    </row>
    <row r="701" hidden="1" outlineLevel="1" ht="25.5" customFormat="1" customHeight="1" s="255">
      <c r="A701" s="357" t="n">
        <v>673</v>
      </c>
      <c r="B701" s="265" t="inlineStr">
        <is>
          <t>01.1.02.08-0001</t>
        </is>
      </c>
      <c r="C701" s="356" t="inlineStr">
        <is>
          <t>Прокладки из паронита ПМБ, толщина 1 мм, диаметр 50 мм</t>
        </is>
      </c>
      <c r="D701" s="357" t="inlineStr">
        <is>
          <t>1000 шт</t>
        </is>
      </c>
      <c r="E701" s="267" t="n">
        <v>0.079</v>
      </c>
      <c r="F701" s="359" t="n">
        <v>3450</v>
      </c>
      <c r="G701" s="268">
        <f>ROUND(E701*F701,2)</f>
        <v/>
      </c>
      <c r="H701" s="269">
        <f>G701/$G$1004</f>
        <v/>
      </c>
      <c r="I701" s="268">
        <f>ROUND(F701*Прил.10!$D$13,2)</f>
        <v/>
      </c>
      <c r="J701" s="268">
        <f>ROUND(I701*E701,2)</f>
        <v/>
      </c>
    </row>
    <row r="702" hidden="1" outlineLevel="1" ht="38.25" customFormat="1" customHeight="1" s="255">
      <c r="A702" s="357" t="n">
        <v>674</v>
      </c>
      <c r="B702" s="265" t="inlineStr">
        <is>
          <t>11.1.03.01-0077</t>
        </is>
      </c>
      <c r="C702" s="356" t="inlineStr">
        <is>
          <t>Бруски обрезные, хвойных пород, длина 4-6,5 м, ширина 75-150 мм, толщина 40-75 мм, сорт I</t>
        </is>
      </c>
      <c r="D702" s="357" t="inlineStr">
        <is>
          <t>м3</t>
        </is>
      </c>
      <c r="E702" s="267" t="n">
        <v>0.16</v>
      </c>
      <c r="F702" s="359" t="n">
        <v>1700</v>
      </c>
      <c r="G702" s="268">
        <f>ROUND(E702*F702,2)</f>
        <v/>
      </c>
      <c r="H702" s="269">
        <f>G702/$G$1004</f>
        <v/>
      </c>
      <c r="I702" s="268">
        <f>ROUND(F702*Прил.10!$D$13,2)</f>
        <v/>
      </c>
      <c r="J702" s="268">
        <f>ROUND(I702*E702,2)</f>
        <v/>
      </c>
    </row>
    <row r="703" hidden="1" outlineLevel="1" ht="14.25" customFormat="1" customHeight="1" s="255">
      <c r="A703" s="357" t="n">
        <v>675</v>
      </c>
      <c r="B703" s="265" t="inlineStr">
        <is>
          <t>Прайс из СД ОП</t>
        </is>
      </c>
      <c r="C703" s="356" t="inlineStr">
        <is>
          <t>Наружная решетка CG 160</t>
        </is>
      </c>
      <c r="D703" s="357" t="inlineStr">
        <is>
          <t>шт.</t>
        </is>
      </c>
      <c r="E703" s="267" t="n">
        <v>2</v>
      </c>
      <c r="F703" s="359" t="n">
        <v>131.14</v>
      </c>
      <c r="G703" s="268">
        <f>ROUND(E703*F703,2)</f>
        <v/>
      </c>
      <c r="H703" s="269">
        <f>G703/$G$1004</f>
        <v/>
      </c>
      <c r="I703" s="268">
        <f>ROUND(F703*Прил.10!$D$13,2)</f>
        <v/>
      </c>
      <c r="J703" s="268">
        <f>ROUND(I703*E703,2)</f>
        <v/>
      </c>
    </row>
    <row r="704" hidden="1" outlineLevel="1" ht="38.25" customFormat="1" customHeight="1" s="255">
      <c r="A704" s="357" t="n">
        <v>676</v>
      </c>
      <c r="B704" s="265" t="inlineStr">
        <is>
          <t>14.4.01.21-0001</t>
        </is>
      </c>
      <c r="C704" s="356" t="inlineStr">
        <is>
          <t>Грунт-эмаль антикоррозионная быстросохнущая, трехслойное покрытие по ржавчине, цвет серый</t>
        </is>
      </c>
      <c r="D704" s="357" t="inlineStr">
        <is>
          <t>кг</t>
        </is>
      </c>
      <c r="E704" s="267" t="n">
        <v>14.247</v>
      </c>
      <c r="F704" s="359" t="n">
        <v>18.05</v>
      </c>
      <c r="G704" s="268">
        <f>ROUND(E704*F704,2)</f>
        <v/>
      </c>
      <c r="H704" s="269">
        <f>G704/$G$1004</f>
        <v/>
      </c>
      <c r="I704" s="268">
        <f>ROUND(F704*Прил.10!$D$13,2)</f>
        <v/>
      </c>
      <c r="J704" s="268">
        <f>ROUND(I704*E704,2)</f>
        <v/>
      </c>
    </row>
    <row r="705" hidden="1" outlineLevel="1" ht="63.75" customFormat="1" customHeight="1" s="255">
      <c r="A705" s="357" t="n">
        <v>677</v>
      </c>
      <c r="B705" s="265" t="inlineStr">
        <is>
          <t>24.3.02.01-0001</t>
        </is>
      </c>
      <c r="C705" s="356" t="inlineStr">
        <is>
          <t>Блок трубопровода полипропиленовый напорный с гильзами и креплениями для холодного и горячего водоснабжения, PPRS, SDR11, номинальное давление 1,0 МПа, размер 16х1,8 мм</t>
        </is>
      </c>
      <c r="D705" s="357" t="inlineStr">
        <is>
          <t>м</t>
        </is>
      </c>
      <c r="E705" s="267" t="n">
        <v>73</v>
      </c>
      <c r="F705" s="359" t="n">
        <v>3.49</v>
      </c>
      <c r="G705" s="268">
        <f>ROUND(E705*F705,2)</f>
        <v/>
      </c>
      <c r="H705" s="269">
        <f>G705/$G$1004</f>
        <v/>
      </c>
      <c r="I705" s="268">
        <f>ROUND(F705*Прил.10!$D$13,2)</f>
        <v/>
      </c>
      <c r="J705" s="268">
        <f>ROUND(I705*E705,2)</f>
        <v/>
      </c>
    </row>
    <row r="706" hidden="1" outlineLevel="1" ht="76.7" customFormat="1" customHeight="1" s="255">
      <c r="A706" s="357" t="n">
        <v>678</v>
      </c>
      <c r="B706" s="265" t="inlineStr">
        <is>
          <t>18.2.01.05-0009</t>
        </is>
      </c>
      <c r="C706" s="356" t="inlineStr">
        <is>
          <t>Умывальники полуфарфоровые и фарфоровые с краном настольным, кронштейнами, сифоном бутылочным латунным и выпуском, овальные со скрытыми установочными поверхностями без спинки, размер 550х480х150 мм</t>
        </is>
      </c>
      <c r="D706" s="357" t="inlineStr">
        <is>
          <t>компл</t>
        </is>
      </c>
      <c r="E706" s="267" t="n">
        <v>1</v>
      </c>
      <c r="F706" s="359" t="n">
        <v>251.56</v>
      </c>
      <c r="G706" s="268">
        <f>ROUND(E706*F706,2)</f>
        <v/>
      </c>
      <c r="H706" s="269">
        <f>G706/$G$1004</f>
        <v/>
      </c>
      <c r="I706" s="268">
        <f>ROUND(F706*Прил.10!$D$13,2)</f>
        <v/>
      </c>
      <c r="J706" s="268">
        <f>ROUND(I706*E706,2)</f>
        <v/>
      </c>
    </row>
    <row r="707" hidden="1" outlineLevel="1" ht="38.25" customFormat="1" customHeight="1" s="255">
      <c r="A707" s="357" t="n">
        <v>679</v>
      </c>
      <c r="B707" s="265" t="inlineStr">
        <is>
          <t>Прайс из СД ОП</t>
        </is>
      </c>
      <c r="C707" s="356" t="inlineStr">
        <is>
          <t>Розетка двухклавишная скрытой установки, 16 А, IP20 Legrand Valena, арт. 774420</t>
        </is>
      </c>
      <c r="D707" s="357" t="inlineStr">
        <is>
          <t>шт.</t>
        </is>
      </c>
      <c r="E707" s="267" t="n">
        <v>11</v>
      </c>
      <c r="F707" s="359" t="n">
        <v>22.84</v>
      </c>
      <c r="G707" s="268">
        <f>ROUND(E707*F707,2)</f>
        <v/>
      </c>
      <c r="H707" s="269">
        <f>G707/$G$1004</f>
        <v/>
      </c>
      <c r="I707" s="268">
        <f>ROUND(F707*Прил.10!$D$13,2)</f>
        <v/>
      </c>
      <c r="J707" s="268">
        <f>ROUND(I707*E707,2)</f>
        <v/>
      </c>
    </row>
    <row r="708" hidden="1" outlineLevel="1" ht="38.25" customFormat="1" customHeight="1" s="255">
      <c r="A708" s="357" t="n">
        <v>680</v>
      </c>
      <c r="B708" s="265" t="inlineStr">
        <is>
          <t>Прайс из СД ОП</t>
        </is>
      </c>
      <c r="C708" s="356" t="inlineStr">
        <is>
          <t>Переключатель одноклавишный наружной установки, 10 А, IP44 Этюд, арт. ВА10-046В</t>
        </is>
      </c>
      <c r="D708" s="357" t="inlineStr">
        <is>
          <t>шт.</t>
        </is>
      </c>
      <c r="E708" s="267" t="n">
        <v>16</v>
      </c>
      <c r="F708" s="359" t="n">
        <v>15.59</v>
      </c>
      <c r="G708" s="268">
        <f>ROUND(E708*F708,2)</f>
        <v/>
      </c>
      <c r="H708" s="269">
        <f>G708/$G$1004</f>
        <v/>
      </c>
      <c r="I708" s="268">
        <f>ROUND(F708*Прил.10!$D$13,2)</f>
        <v/>
      </c>
      <c r="J708" s="268">
        <f>ROUND(I708*E708,2)</f>
        <v/>
      </c>
    </row>
    <row r="709" hidden="1" outlineLevel="1" ht="38.25" customFormat="1" customHeight="1" s="255">
      <c r="A709" s="357" t="n">
        <v>681</v>
      </c>
      <c r="B709" s="265" t="inlineStr">
        <is>
          <t>11.1.03.01-0085</t>
        </is>
      </c>
      <c r="C709" s="356" t="inlineStr">
        <is>
          <t>Бруски обрезные, хвойных пород, длина 4-6,5 м, ширина 75-150 мм, толщина 150 мм и более, сорт I</t>
        </is>
      </c>
      <c r="D709" s="357" t="inlineStr">
        <is>
          <t>м3</t>
        </is>
      </c>
      <c r="E709" s="267" t="n">
        <v>0.1068</v>
      </c>
      <c r="F709" s="359" t="n">
        <v>2308.01</v>
      </c>
      <c r="G709" s="268">
        <f>ROUND(E709*F709,2)</f>
        <v/>
      </c>
      <c r="H709" s="269">
        <f>G709/$G$1004</f>
        <v/>
      </c>
      <c r="I709" s="268">
        <f>ROUND(F709*Прил.10!$D$13,2)</f>
        <v/>
      </c>
      <c r="J709" s="268">
        <f>ROUND(I709*E709,2)</f>
        <v/>
      </c>
    </row>
    <row r="710" hidden="1" outlineLevel="1" ht="14.25" customFormat="1" customHeight="1" s="255">
      <c r="A710" s="357" t="n">
        <v>682</v>
      </c>
      <c r="B710" s="265" t="inlineStr">
        <is>
          <t>Прайс из СД ОП</t>
        </is>
      </c>
      <c r="C710" s="356" t="inlineStr">
        <is>
          <t>Монтажный хомут Канал-МК-315</t>
        </is>
      </c>
      <c r="D710" s="357" t="inlineStr">
        <is>
          <t>шт.</t>
        </is>
      </c>
      <c r="E710" s="267" t="n">
        <v>7</v>
      </c>
      <c r="F710" s="359" t="n">
        <v>35.03</v>
      </c>
      <c r="G710" s="268">
        <f>ROUND(E710*F710,2)</f>
        <v/>
      </c>
      <c r="H710" s="269">
        <f>G710/$G$1004</f>
        <v/>
      </c>
      <c r="I710" s="268">
        <f>ROUND(F710*Прил.10!$D$13,2)</f>
        <v/>
      </c>
      <c r="J710" s="268">
        <f>ROUND(I710*E710,2)</f>
        <v/>
      </c>
    </row>
    <row r="711" hidden="1" outlineLevel="1" ht="14.25" customFormat="1" customHeight="1" s="255">
      <c r="A711" s="357" t="n">
        <v>683</v>
      </c>
      <c r="B711" s="265" t="inlineStr">
        <is>
          <t>14.4.03.03-0002</t>
        </is>
      </c>
      <c r="C711" s="356" t="inlineStr">
        <is>
          <t>Лак битумный БТ-123</t>
        </is>
      </c>
      <c r="D711" s="357" t="inlineStr">
        <is>
          <t>т</t>
        </is>
      </c>
      <c r="E711" s="267" t="n">
        <v>0.0312</v>
      </c>
      <c r="F711" s="359" t="n">
        <v>7826.9</v>
      </c>
      <c r="G711" s="268">
        <f>ROUND(E711*F711,2)</f>
        <v/>
      </c>
      <c r="H711" s="269">
        <f>G711/$G$1004</f>
        <v/>
      </c>
      <c r="I711" s="268">
        <f>ROUND(F711*Прил.10!$D$13,2)</f>
        <v/>
      </c>
      <c r="J711" s="268">
        <f>ROUND(I711*E711,2)</f>
        <v/>
      </c>
    </row>
    <row r="712" hidden="1" outlineLevel="1" ht="25.5" customFormat="1" customHeight="1" s="255">
      <c r="A712" s="357" t="n">
        <v>684</v>
      </c>
      <c r="B712" s="265" t="inlineStr">
        <is>
          <t>Прайс из СД ОП</t>
        </is>
      </c>
      <c r="C712" s="356" t="inlineStr">
        <is>
          <t>Рамка скрытая однопостовая,  Legrand Valena, арт. 774451</t>
        </is>
      </c>
      <c r="D712" s="357" t="inlineStr">
        <is>
          <t>шт.</t>
        </is>
      </c>
      <c r="E712" s="267" t="n">
        <v>41</v>
      </c>
      <c r="F712" s="359" t="n">
        <v>5.85</v>
      </c>
      <c r="G712" s="268">
        <f>ROUND(E712*F712,2)</f>
        <v/>
      </c>
      <c r="H712" s="269">
        <f>G712/$G$1004</f>
        <v/>
      </c>
      <c r="I712" s="268">
        <f>ROUND(F712*Прил.10!$D$13,2)</f>
        <v/>
      </c>
      <c r="J712" s="268">
        <f>ROUND(I712*E712,2)</f>
        <v/>
      </c>
    </row>
    <row r="713" hidden="1" outlineLevel="1" ht="25.5" customFormat="1" customHeight="1" s="255">
      <c r="A713" s="357" t="n">
        <v>685</v>
      </c>
      <c r="B713" s="265" t="inlineStr">
        <is>
          <t>08.3.08.02-0051</t>
        </is>
      </c>
      <c r="C713" s="356" t="inlineStr">
        <is>
          <t>Уголок горячекатаный, марка стали ВСт3кп2, размер 25х25х3 мм</t>
        </is>
      </c>
      <c r="D713" s="357" t="inlineStr">
        <is>
          <t>т</t>
        </is>
      </c>
      <c r="E713" s="267" t="n">
        <v>0.03969</v>
      </c>
      <c r="F713" s="359" t="n">
        <v>6031.1</v>
      </c>
      <c r="G713" s="268">
        <f>ROUND(E713*F713,2)</f>
        <v/>
      </c>
      <c r="H713" s="269">
        <f>G713/$G$1004</f>
        <v/>
      </c>
      <c r="I713" s="268">
        <f>ROUND(F713*Прил.10!$D$13,2)</f>
        <v/>
      </c>
      <c r="J713" s="268">
        <f>ROUND(I713*E713,2)</f>
        <v/>
      </c>
    </row>
    <row r="714" hidden="1" outlineLevel="1" ht="38.25" customFormat="1" customHeight="1" s="255">
      <c r="A714" s="357" t="n">
        <v>686</v>
      </c>
      <c r="B714" s="265" t="inlineStr">
        <is>
          <t>Прайс из СД ОП</t>
        </is>
      </c>
      <c r="C714" s="356" t="inlineStr">
        <is>
          <t xml:space="preserve">Пост светозвуковой сигнализации "ГАЗ! НЕ ВХОДИТЬ"  Уличного исполнения  ЛЮКС-24-К CH </t>
        </is>
      </c>
      <c r="D714" s="357" t="inlineStr">
        <is>
          <t>шт.</t>
        </is>
      </c>
      <c r="E714" s="267" t="n">
        <v>4</v>
      </c>
      <c r="F714" s="359" t="n">
        <v>59.54</v>
      </c>
      <c r="G714" s="268">
        <f>ROUND(E714*F714,2)</f>
        <v/>
      </c>
      <c r="H714" s="269">
        <f>G714/$G$1004</f>
        <v/>
      </c>
      <c r="I714" s="268">
        <f>ROUND(F714*Прил.10!$D$13,2)</f>
        <v/>
      </c>
      <c r="J714" s="268">
        <f>ROUND(I714*E714,2)</f>
        <v/>
      </c>
    </row>
    <row r="715" hidden="1" outlineLevel="1" ht="14.25" customFormat="1" customHeight="1" s="255">
      <c r="A715" s="357" t="n">
        <v>687</v>
      </c>
      <c r="B715" s="265" t="inlineStr">
        <is>
          <t>01.2.01.02-0054</t>
        </is>
      </c>
      <c r="C715" s="356" t="inlineStr">
        <is>
          <t>Битумы нефтяные строительные БН-90/10</t>
        </is>
      </c>
      <c r="D715" s="357" t="inlineStr">
        <is>
          <t>т</t>
        </is>
      </c>
      <c r="E715" s="267" t="n">
        <v>0.172</v>
      </c>
      <c r="F715" s="359" t="n">
        <v>1383.1</v>
      </c>
      <c r="G715" s="268">
        <f>ROUND(E715*F715,2)</f>
        <v/>
      </c>
      <c r="H715" s="269">
        <f>G715/$G$1004</f>
        <v/>
      </c>
      <c r="I715" s="268">
        <f>ROUND(F715*Прил.10!$D$13,2)</f>
        <v/>
      </c>
      <c r="J715" s="268">
        <f>ROUND(I715*E715,2)</f>
        <v/>
      </c>
    </row>
    <row r="716" hidden="1" outlineLevel="1" ht="14.25" customFormat="1" customHeight="1" s="255">
      <c r="A716" s="357" t="n">
        <v>688</v>
      </c>
      <c r="B716" s="265" t="inlineStr">
        <is>
          <t>01.3.01.01-0001</t>
        </is>
      </c>
      <c r="C716" s="356" t="inlineStr">
        <is>
          <t>Бензин авиационный Б-70</t>
        </is>
      </c>
      <c r="D716" s="357" t="inlineStr">
        <is>
          <t>т</t>
        </is>
      </c>
      <c r="E716" s="267" t="n">
        <v>0.0529</v>
      </c>
      <c r="F716" s="359" t="n">
        <v>4488.4</v>
      </c>
      <c r="G716" s="268">
        <f>ROUND(E716*F716,2)</f>
        <v/>
      </c>
      <c r="H716" s="269">
        <f>G716/$G$1004</f>
        <v/>
      </c>
      <c r="I716" s="268">
        <f>ROUND(F716*Прил.10!$D$13,2)</f>
        <v/>
      </c>
      <c r="J716" s="268">
        <f>ROUND(I716*E716,2)</f>
        <v/>
      </c>
    </row>
    <row r="717" hidden="1" outlineLevel="1" ht="25.5" customFormat="1" customHeight="1" s="255">
      <c r="A717" s="357" t="n">
        <v>689</v>
      </c>
      <c r="B717" s="265" t="inlineStr">
        <is>
          <t>Прайс из СД ОП</t>
        </is>
      </c>
      <c r="C717" s="356" t="inlineStr">
        <is>
          <t xml:space="preserve">Пост светозвуковой сигнализации "ГАЗ! НЕ ВХОДИТЬ"  </t>
        </is>
      </c>
      <c r="D717" s="357" t="inlineStr">
        <is>
          <t>шт.</t>
        </is>
      </c>
      <c r="E717" s="267" t="n">
        <v>4</v>
      </c>
      <c r="F717" s="359" t="n">
        <v>59.18</v>
      </c>
      <c r="G717" s="268">
        <f>ROUND(E717*F717,2)</f>
        <v/>
      </c>
      <c r="H717" s="269">
        <f>G717/$G$1004</f>
        <v/>
      </c>
      <c r="I717" s="268">
        <f>ROUND(F717*Прил.10!$D$13,2)</f>
        <v/>
      </c>
      <c r="J717" s="268">
        <f>ROUND(I717*E717,2)</f>
        <v/>
      </c>
    </row>
    <row r="718" hidden="1" outlineLevel="1" ht="25.5" customFormat="1" customHeight="1" s="255">
      <c r="A718" s="357" t="n">
        <v>690</v>
      </c>
      <c r="B718" s="265" t="inlineStr">
        <is>
          <t>Прайс из СД ОП</t>
        </is>
      </c>
      <c r="C718" s="356" t="inlineStr">
        <is>
          <t xml:space="preserve">Автоматический выключатель трехполюсный, OptiDin BM63-3С20  </t>
        </is>
      </c>
      <c r="D718" s="357" t="inlineStr">
        <is>
          <t>шт.</t>
        </is>
      </c>
      <c r="E718" s="267" t="n">
        <v>4</v>
      </c>
      <c r="F718" s="359" t="n">
        <v>58.38</v>
      </c>
      <c r="G718" s="268">
        <f>ROUND(E718*F718,2)</f>
        <v/>
      </c>
      <c r="H718" s="269">
        <f>G718/$G$1004</f>
        <v/>
      </c>
      <c r="I718" s="268">
        <f>ROUND(F718*Прил.10!$D$13,2)</f>
        <v/>
      </c>
      <c r="J718" s="268">
        <f>ROUND(I718*E718,2)</f>
        <v/>
      </c>
    </row>
    <row r="719" hidden="1" outlineLevel="1" ht="38.25" customFormat="1" customHeight="1" s="255">
      <c r="A719" s="357" t="n">
        <v>691</v>
      </c>
      <c r="B719" s="265" t="inlineStr">
        <is>
          <t>11.1.03.01-0080</t>
        </is>
      </c>
      <c r="C719" s="356" t="inlineStr">
        <is>
          <t>Бруски обрезные, хвойных пород, длина 4-6,5 м, ширина 75-150 мм, толщина 40-75 мм, сорт IV</t>
        </is>
      </c>
      <c r="D719" s="357" t="inlineStr">
        <is>
          <t>м3</t>
        </is>
      </c>
      <c r="E719" s="267" t="n">
        <v>0.2208</v>
      </c>
      <c r="F719" s="359" t="n">
        <v>1056</v>
      </c>
      <c r="G719" s="268">
        <f>ROUND(E719*F719,2)</f>
        <v/>
      </c>
      <c r="H719" s="269">
        <f>G719/$G$1004</f>
        <v/>
      </c>
      <c r="I719" s="268">
        <f>ROUND(F719*Прил.10!$D$13,2)</f>
        <v/>
      </c>
      <c r="J719" s="268">
        <f>ROUND(I719*E719,2)</f>
        <v/>
      </c>
    </row>
    <row r="720" hidden="1" outlineLevel="1" ht="14.25" customFormat="1" customHeight="1" s="255">
      <c r="A720" s="357" t="n">
        <v>692</v>
      </c>
      <c r="B720" s="265" t="inlineStr">
        <is>
          <t>07.2.07.13-0171</t>
        </is>
      </c>
      <c r="C720" s="356" t="inlineStr">
        <is>
          <t>Подкладки металлические</t>
        </is>
      </c>
      <c r="D720" s="357" t="inlineStr">
        <is>
          <t>кг</t>
        </is>
      </c>
      <c r="E720" s="267" t="n">
        <v>18.2</v>
      </c>
      <c r="F720" s="359" t="n">
        <v>12.6</v>
      </c>
      <c r="G720" s="268">
        <f>ROUND(E720*F720,2)</f>
        <v/>
      </c>
      <c r="H720" s="269">
        <f>G720/$G$1004</f>
        <v/>
      </c>
      <c r="I720" s="268">
        <f>ROUND(F720*Прил.10!$D$13,2)</f>
        <v/>
      </c>
      <c r="J720" s="268">
        <f>ROUND(I720*E720,2)</f>
        <v/>
      </c>
    </row>
    <row r="721" hidden="1" outlineLevel="1" ht="25.5" customFormat="1" customHeight="1" s="255">
      <c r="A721" s="357" t="n">
        <v>693</v>
      </c>
      <c r="B721" s="265" t="inlineStr">
        <is>
          <t>Прайс из СД ОП</t>
        </is>
      </c>
      <c r="C721" s="356" t="inlineStr">
        <is>
          <t>Автоматический выключатель трехполюсный, OptiDin BM63-3С10</t>
        </is>
      </c>
      <c r="D721" s="357" t="inlineStr">
        <is>
          <t>шт.</t>
        </is>
      </c>
      <c r="E721" s="267" t="n">
        <v>4</v>
      </c>
      <c r="F721" s="359" t="n">
        <v>56.56</v>
      </c>
      <c r="G721" s="268">
        <f>ROUND(E721*F721,2)</f>
        <v/>
      </c>
      <c r="H721" s="269">
        <f>G721/$G$1004</f>
        <v/>
      </c>
      <c r="I721" s="268">
        <f>ROUND(F721*Прил.10!$D$13,2)</f>
        <v/>
      </c>
      <c r="J721" s="268">
        <f>ROUND(I721*E721,2)</f>
        <v/>
      </c>
    </row>
    <row r="722" hidden="1" outlineLevel="1" ht="14.25" customFormat="1" customHeight="1" s="255">
      <c r="A722" s="357" t="n">
        <v>694</v>
      </c>
      <c r="B722" s="265" t="inlineStr">
        <is>
          <t>01.7.03.04-0001</t>
        </is>
      </c>
      <c r="C722" s="356" t="inlineStr">
        <is>
          <t>Электроэнергия</t>
        </is>
      </c>
      <c r="D722" s="357" t="inlineStr">
        <is>
          <t>кВт-ч</t>
        </is>
      </c>
      <c r="E722" s="267" t="n">
        <v>564.96</v>
      </c>
      <c r="F722" s="359" t="n">
        <v>0.4</v>
      </c>
      <c r="G722" s="268">
        <f>ROUND(E722*F722,2)</f>
        <v/>
      </c>
      <c r="H722" s="269">
        <f>G722/$G$1004</f>
        <v/>
      </c>
      <c r="I722" s="268">
        <f>ROUND(F722*Прил.10!$D$13,2)</f>
        <v/>
      </c>
      <c r="J722" s="268">
        <f>ROUND(I722*E722,2)</f>
        <v/>
      </c>
    </row>
    <row r="723" hidden="1" outlineLevel="1" ht="25.5" customFormat="1" customHeight="1" s="255">
      <c r="A723" s="357" t="n">
        <v>695</v>
      </c>
      <c r="B723" s="265" t="inlineStr">
        <is>
          <t>01.7.06.01-0042</t>
        </is>
      </c>
      <c r="C723" s="356" t="inlineStr">
        <is>
          <t>Лента эластичная самоклеящаяся для профилей направляющих 50/30000 мм</t>
        </is>
      </c>
      <c r="D723" s="357" t="inlineStr">
        <is>
          <t>м</t>
        </is>
      </c>
      <c r="E723" s="267" t="n">
        <v>376.4</v>
      </c>
      <c r="F723" s="359" t="n">
        <v>0.6</v>
      </c>
      <c r="G723" s="268">
        <f>ROUND(E723*F723,2)</f>
        <v/>
      </c>
      <c r="H723" s="269">
        <f>G723/$G$1004</f>
        <v/>
      </c>
      <c r="I723" s="268">
        <f>ROUND(F723*Прил.10!$D$13,2)</f>
        <v/>
      </c>
      <c r="J723" s="268">
        <f>ROUND(I723*E723,2)</f>
        <v/>
      </c>
    </row>
    <row r="724" hidden="1" outlineLevel="1" ht="14.25" customFormat="1" customHeight="1" s="255">
      <c r="A724" s="357" t="n">
        <v>696</v>
      </c>
      <c r="B724" s="265" t="inlineStr">
        <is>
          <t>Прайс из СД ОП</t>
        </is>
      </c>
      <c r="C724" s="356" t="inlineStr">
        <is>
          <t xml:space="preserve">Заклепки 4,8х8 </t>
        </is>
      </c>
      <c r="D724" s="357" t="inlineStr">
        <is>
          <t>шт.</t>
        </is>
      </c>
      <c r="E724" s="267" t="n">
        <v>1500</v>
      </c>
      <c r="F724" s="359" t="n">
        <v>0.15</v>
      </c>
      <c r="G724" s="268">
        <f>ROUND(E724*F724,2)</f>
        <v/>
      </c>
      <c r="H724" s="269">
        <f>G724/$G$1004</f>
        <v/>
      </c>
      <c r="I724" s="268">
        <f>ROUND(F724*Прил.10!$D$13,2)</f>
        <v/>
      </c>
      <c r="J724" s="268">
        <f>ROUND(I724*E724,2)</f>
        <v/>
      </c>
    </row>
    <row r="725" hidden="1" outlineLevel="1" ht="14.25" customFormat="1" customHeight="1" s="255">
      <c r="A725" s="357" t="n">
        <v>697</v>
      </c>
      <c r="B725" s="265" t="inlineStr">
        <is>
          <t>20.2.08.05-0017</t>
        </is>
      </c>
      <c r="C725" s="356" t="inlineStr">
        <is>
          <t>Профиль монтажный</t>
        </is>
      </c>
      <c r="D725" s="357" t="inlineStr">
        <is>
          <t>шт</t>
        </is>
      </c>
      <c r="E725" s="267" t="n">
        <v>3.355</v>
      </c>
      <c r="F725" s="359" t="n">
        <v>66.81999999999999</v>
      </c>
      <c r="G725" s="268">
        <f>ROUND(E725*F725,2)</f>
        <v/>
      </c>
      <c r="H725" s="269">
        <f>G725/$G$1004</f>
        <v/>
      </c>
      <c r="I725" s="268">
        <f>ROUND(F725*Прил.10!$D$13,2)</f>
        <v/>
      </c>
      <c r="J725" s="268">
        <f>ROUND(I725*E725,2)</f>
        <v/>
      </c>
    </row>
    <row r="726" hidden="1" outlineLevel="1" ht="14.25" customFormat="1" customHeight="1" s="255">
      <c r="A726" s="357" t="n">
        <v>698</v>
      </c>
      <c r="B726" s="265" t="inlineStr">
        <is>
          <t>Прайс из СД ОП</t>
        </is>
      </c>
      <c r="C726" s="356" t="inlineStr">
        <is>
          <t xml:space="preserve">Смеситель См-ДшДРНТр </t>
        </is>
      </c>
      <c r="D726" s="357" t="inlineStr">
        <is>
          <t>шт.</t>
        </is>
      </c>
      <c r="E726" s="267" t="n">
        <v>1</v>
      </c>
      <c r="F726" s="359" t="n">
        <v>223.7</v>
      </c>
      <c r="G726" s="268">
        <f>ROUND(E726*F726,2)</f>
        <v/>
      </c>
      <c r="H726" s="269">
        <f>G726/$G$1004</f>
        <v/>
      </c>
      <c r="I726" s="268">
        <f>ROUND(F726*Прил.10!$D$13,2)</f>
        <v/>
      </c>
      <c r="J726" s="268">
        <f>ROUND(I726*E726,2)</f>
        <v/>
      </c>
    </row>
    <row r="727" hidden="1" outlineLevel="1" ht="14.25" customFormat="1" customHeight="1" s="255">
      <c r="A727" s="357" t="n">
        <v>699</v>
      </c>
      <c r="B727" s="265" t="inlineStr">
        <is>
          <t>Прайс из СД ОП</t>
        </is>
      </c>
      <c r="C727" s="356" t="inlineStr">
        <is>
          <t xml:space="preserve">Наружная решетка CG 100 </t>
        </is>
      </c>
      <c r="D727" s="357" t="inlineStr">
        <is>
          <t>шт.</t>
        </is>
      </c>
      <c r="E727" s="267" t="n">
        <v>3</v>
      </c>
      <c r="F727" s="359" t="n">
        <v>73.73999999999999</v>
      </c>
      <c r="G727" s="268">
        <f>ROUND(E727*F727,2)</f>
        <v/>
      </c>
      <c r="H727" s="269">
        <f>G727/$G$1004</f>
        <v/>
      </c>
      <c r="I727" s="268">
        <f>ROUND(F727*Прил.10!$D$13,2)</f>
        <v/>
      </c>
      <c r="J727" s="268">
        <f>ROUND(I727*E727,2)</f>
        <v/>
      </c>
    </row>
    <row r="728" hidden="1" outlineLevel="1" ht="14.25" customFormat="1" customHeight="1" s="255">
      <c r="A728" s="357" t="n">
        <v>700</v>
      </c>
      <c r="B728" s="265" t="inlineStr">
        <is>
          <t>01.8.01.07-0001</t>
        </is>
      </c>
      <c r="C728" s="356" t="inlineStr">
        <is>
          <t>Стекло жидкое калийное</t>
        </is>
      </c>
      <c r="D728" s="357" t="inlineStr">
        <is>
          <t>т</t>
        </is>
      </c>
      <c r="E728" s="267" t="n">
        <v>0.0806</v>
      </c>
      <c r="F728" s="359" t="n">
        <v>2734.6</v>
      </c>
      <c r="G728" s="268">
        <f>ROUND(E728*F728,2)</f>
        <v/>
      </c>
      <c r="H728" s="269">
        <f>G728/$G$1004</f>
        <v/>
      </c>
      <c r="I728" s="268">
        <f>ROUND(F728*Прил.10!$D$13,2)</f>
        <v/>
      </c>
      <c r="J728" s="268">
        <f>ROUND(I728*E728,2)</f>
        <v/>
      </c>
    </row>
    <row r="729" hidden="1" outlineLevel="1" ht="14.25" customFormat="1" customHeight="1" s="255">
      <c r="A729" s="357" t="n">
        <v>701</v>
      </c>
      <c r="B729" s="265" t="inlineStr">
        <is>
          <t>14.5.09.04-0115</t>
        </is>
      </c>
      <c r="C729" s="356" t="inlineStr">
        <is>
          <t>Отвердитель амино-фенольный</t>
        </is>
      </c>
      <c r="D729" s="357" t="inlineStr">
        <is>
          <t>кг</t>
        </is>
      </c>
      <c r="E729" s="267" t="n">
        <v>4.5345</v>
      </c>
      <c r="F729" s="359" t="n">
        <v>48.6</v>
      </c>
      <c r="G729" s="268">
        <f>ROUND(E729*F729,2)</f>
        <v/>
      </c>
      <c r="H729" s="269">
        <f>G729/$G$1004</f>
        <v/>
      </c>
      <c r="I729" s="268">
        <f>ROUND(F729*Прил.10!$D$13,2)</f>
        <v/>
      </c>
      <c r="J729" s="268">
        <f>ROUND(I729*E729,2)</f>
        <v/>
      </c>
    </row>
    <row r="730" hidden="1" outlineLevel="1" ht="25.5" customFormat="1" customHeight="1" s="255">
      <c r="A730" s="357" t="n">
        <v>702</v>
      </c>
      <c r="B730" s="265" t="inlineStr">
        <is>
          <t>08.3.03.05-0002</t>
        </is>
      </c>
      <c r="C730" s="356" t="inlineStr">
        <is>
          <t>Проволока канатная оцинкованная, диаметр 3 мм</t>
        </is>
      </c>
      <c r="D730" s="357" t="inlineStr">
        <is>
          <t>т</t>
        </is>
      </c>
      <c r="E730" s="267" t="n">
        <v>0.0268</v>
      </c>
      <c r="F730" s="359" t="n">
        <v>8190</v>
      </c>
      <c r="G730" s="268">
        <f>ROUND(E730*F730,2)</f>
        <v/>
      </c>
      <c r="H730" s="269">
        <f>G730/$G$1004</f>
        <v/>
      </c>
      <c r="I730" s="268">
        <f>ROUND(F730*Прил.10!$D$13,2)</f>
        <v/>
      </c>
      <c r="J730" s="268">
        <f>ROUND(I730*E730,2)</f>
        <v/>
      </c>
    </row>
    <row r="731" hidden="1" outlineLevel="1" ht="25.5" customFormat="1" customHeight="1" s="255">
      <c r="A731" s="357" t="n">
        <v>703</v>
      </c>
      <c r="B731" s="265" t="inlineStr">
        <is>
          <t>01.7.06.04-0002</t>
        </is>
      </c>
      <c r="C731" s="356" t="inlineStr">
        <is>
          <t>Лента бумажная для повышения трещиностойкости стыков ГКЛ и ГВЛ</t>
        </is>
      </c>
      <c r="D731" s="357" t="inlineStr">
        <is>
          <t>м</t>
        </is>
      </c>
      <c r="E731" s="267" t="n">
        <v>1275.61</v>
      </c>
      <c r="F731" s="359" t="n">
        <v>0.17</v>
      </c>
      <c r="G731" s="268">
        <f>ROUND(E731*F731,2)</f>
        <v/>
      </c>
      <c r="H731" s="269">
        <f>G731/$G$1004</f>
        <v/>
      </c>
      <c r="I731" s="268">
        <f>ROUND(F731*Прил.10!$D$13,2)</f>
        <v/>
      </c>
      <c r="J731" s="268">
        <f>ROUND(I731*E731,2)</f>
        <v/>
      </c>
    </row>
    <row r="732" hidden="1" outlineLevel="1" ht="14.25" customFormat="1" customHeight="1" s="255">
      <c r="A732" s="357" t="n">
        <v>704</v>
      </c>
      <c r="B732" s="265" t="inlineStr">
        <is>
          <t>11.3.03.15-0021</t>
        </is>
      </c>
      <c r="C732" s="356" t="inlineStr">
        <is>
          <t>Клинья пластиковые монтажные</t>
        </is>
      </c>
      <c r="D732" s="357" t="inlineStr">
        <is>
          <t>100 шт</t>
        </is>
      </c>
      <c r="E732" s="267" t="n">
        <v>4.336</v>
      </c>
      <c r="F732" s="359" t="n">
        <v>50</v>
      </c>
      <c r="G732" s="268">
        <f>ROUND(E732*F732,2)</f>
        <v/>
      </c>
      <c r="H732" s="269">
        <f>G732/$G$1004</f>
        <v/>
      </c>
      <c r="I732" s="268">
        <f>ROUND(F732*Прил.10!$D$13,2)</f>
        <v/>
      </c>
      <c r="J732" s="268">
        <f>ROUND(I732*E732,2)</f>
        <v/>
      </c>
    </row>
    <row r="733" hidden="1" outlineLevel="1" ht="25.5" customFormat="1" customHeight="1" s="255">
      <c r="A733" s="357" t="n">
        <v>705</v>
      </c>
      <c r="B733" s="265" t="inlineStr">
        <is>
          <t>Прайс из СД ОП</t>
        </is>
      </c>
      <c r="C733" s="356" t="inlineStr">
        <is>
          <t xml:space="preserve">Рамка скрытая однопостовая,  Legrand Valena, арт. 774451 </t>
        </is>
      </c>
      <c r="D733" s="357" t="inlineStr">
        <is>
          <t>шт.</t>
        </is>
      </c>
      <c r="E733" s="267" t="n">
        <v>37</v>
      </c>
      <c r="F733" s="359" t="n">
        <v>5.85</v>
      </c>
      <c r="G733" s="268">
        <f>ROUND(E733*F733,2)</f>
        <v/>
      </c>
      <c r="H733" s="269">
        <f>G733/$G$1004</f>
        <v/>
      </c>
      <c r="I733" s="268">
        <f>ROUND(F733*Прил.10!$D$13,2)</f>
        <v/>
      </c>
      <c r="J733" s="268">
        <f>ROUND(I733*E733,2)</f>
        <v/>
      </c>
    </row>
    <row r="734" hidden="1" outlineLevel="1" ht="25.5" customFormat="1" customHeight="1" s="255">
      <c r="A734" s="357" t="n">
        <v>706</v>
      </c>
      <c r="B734" s="265" t="inlineStr">
        <is>
          <t>04.1.02.05-0004</t>
        </is>
      </c>
      <c r="C734" s="356" t="inlineStr">
        <is>
          <t>Смеси бетонные тяжелого бетона (БСТ), класс В10 (М150)</t>
        </is>
      </c>
      <c r="D734" s="357" t="inlineStr">
        <is>
          <t>м3</t>
        </is>
      </c>
      <c r="E734" s="267" t="n">
        <v>0.4416</v>
      </c>
      <c r="F734" s="359" t="n">
        <v>490</v>
      </c>
      <c r="G734" s="268">
        <f>ROUND(E734*F734,2)</f>
        <v/>
      </c>
      <c r="H734" s="269">
        <f>G734/$G$1004</f>
        <v/>
      </c>
      <c r="I734" s="268">
        <f>ROUND(F734*Прил.10!$D$13,2)</f>
        <v/>
      </c>
      <c r="J734" s="268">
        <f>ROUND(I734*E734,2)</f>
        <v/>
      </c>
    </row>
    <row r="735" hidden="1" outlineLevel="1" ht="38.25" customFormat="1" customHeight="1" s="255">
      <c r="A735" s="357" t="n">
        <v>707</v>
      </c>
      <c r="B735" s="265" t="inlineStr">
        <is>
          <t>03.2.01.01-0001</t>
        </is>
      </c>
      <c r="C735" s="356" t="inlineStr">
        <is>
          <t>Портландцемент общестроительного назначения бездобавочный М400 Д0 (ЦЕМ I 32,5Н)</t>
        </is>
      </c>
      <c r="D735" s="357" t="inlineStr">
        <is>
          <t>т</t>
        </is>
      </c>
      <c r="E735" s="267" t="n">
        <v>0.521</v>
      </c>
      <c r="F735" s="359" t="n">
        <v>412</v>
      </c>
      <c r="G735" s="268">
        <f>ROUND(E735*F735,2)</f>
        <v/>
      </c>
      <c r="H735" s="269">
        <f>G735/$G$1004</f>
        <v/>
      </c>
      <c r="I735" s="268">
        <f>ROUND(F735*Прил.10!$D$13,2)</f>
        <v/>
      </c>
      <c r="J735" s="268">
        <f>ROUND(I735*E735,2)</f>
        <v/>
      </c>
    </row>
    <row r="736" hidden="1" outlineLevel="1" ht="38.25" customFormat="1" customHeight="1" s="255">
      <c r="A736" s="357" t="n">
        <v>708</v>
      </c>
      <c r="B736" s="265" t="inlineStr">
        <is>
          <t>05.1.07.28-0066</t>
        </is>
      </c>
      <c r="C736" s="356" t="inlineStr">
        <is>
          <t>Ступени железобетонные лестничные ЛСВ 14, бетон B15, объем 0,046 м3, расход арматуры 0,89 кг</t>
        </is>
      </c>
      <c r="D736" s="357" t="inlineStr">
        <is>
          <t>шт</t>
        </is>
      </c>
      <c r="E736" s="267" t="n">
        <v>3</v>
      </c>
      <c r="F736" s="359" t="n">
        <v>71.37</v>
      </c>
      <c r="G736" s="268">
        <f>ROUND(E736*F736,2)</f>
        <v/>
      </c>
      <c r="H736" s="269">
        <f>G736/$G$1004</f>
        <v/>
      </c>
      <c r="I736" s="268">
        <f>ROUND(F736*Прил.10!$D$13,2)</f>
        <v/>
      </c>
      <c r="J736" s="268">
        <f>ROUND(I736*E736,2)</f>
        <v/>
      </c>
    </row>
    <row r="737" hidden="1" outlineLevel="1" ht="38.25" customFormat="1" customHeight="1" s="255">
      <c r="A737" s="357" t="n">
        <v>709</v>
      </c>
      <c r="B737" s="265" t="inlineStr">
        <is>
          <t>Прайс из СД ОП</t>
        </is>
      </c>
      <c r="C737" s="356" t="inlineStr">
        <is>
          <t>Розетка двухклавишная наружной установки, 16 А, IP44 Этюд, арт. РА16-044В</t>
        </is>
      </c>
      <c r="D737" s="357" t="inlineStr">
        <is>
          <t>шт.</t>
        </is>
      </c>
      <c r="E737" s="267" t="n">
        <v>13</v>
      </c>
      <c r="F737" s="359" t="n">
        <v>16.34</v>
      </c>
      <c r="G737" s="268">
        <f>ROUND(E737*F737,2)</f>
        <v/>
      </c>
      <c r="H737" s="269">
        <f>G737/$G$1004</f>
        <v/>
      </c>
      <c r="I737" s="268">
        <f>ROUND(F737*Прил.10!$D$13,2)</f>
        <v/>
      </c>
      <c r="J737" s="268">
        <f>ROUND(I737*E737,2)</f>
        <v/>
      </c>
    </row>
    <row r="738" hidden="1" outlineLevel="1" ht="25.5" customFormat="1" customHeight="1" s="255">
      <c r="A738" s="357" t="n">
        <v>710</v>
      </c>
      <c r="B738" s="265" t="inlineStr">
        <is>
          <t>19.1.04.01-0032</t>
        </is>
      </c>
      <c r="C738" s="356" t="inlineStr">
        <is>
          <t>Дефлекторы вытяжные цилиндрические, тип ЦАГИ № 4, диаметр патрубка 315 мм</t>
        </is>
      </c>
      <c r="D738" s="357" t="inlineStr">
        <is>
          <t>шт</t>
        </is>
      </c>
      <c r="E738" s="267" t="n">
        <v>1</v>
      </c>
      <c r="F738" s="359" t="n">
        <v>210.2</v>
      </c>
      <c r="G738" s="268">
        <f>ROUND(E738*F738,2)</f>
        <v/>
      </c>
      <c r="H738" s="269">
        <f>G738/$G$1004</f>
        <v/>
      </c>
      <c r="I738" s="268">
        <f>ROUND(F738*Прил.10!$D$13,2)</f>
        <v/>
      </c>
      <c r="J738" s="268">
        <f>ROUND(I738*E738,2)</f>
        <v/>
      </c>
    </row>
    <row r="739" hidden="1" outlineLevel="1" ht="25.5" customFormat="1" customHeight="1" s="255">
      <c r="A739" s="357" t="n">
        <v>711</v>
      </c>
      <c r="B739" s="265" t="inlineStr">
        <is>
          <t>19.1.04.01-0032</t>
        </is>
      </c>
      <c r="C739" s="356" t="inlineStr">
        <is>
          <t>Дефлекторы вытяжные цилиндрические, тип ЦАГИ № 4, диаметр патрубка 355 мм</t>
        </is>
      </c>
      <c r="D739" s="357" t="inlineStr">
        <is>
          <t>шт</t>
        </is>
      </c>
      <c r="E739" s="267" t="n">
        <v>1</v>
      </c>
      <c r="F739" s="359" t="n">
        <v>210.2</v>
      </c>
      <c r="G739" s="268">
        <f>ROUND(E739*F739,2)</f>
        <v/>
      </c>
      <c r="H739" s="269">
        <f>G739/$G$1004</f>
        <v/>
      </c>
      <c r="I739" s="268">
        <f>ROUND(F739*Прил.10!$D$13,2)</f>
        <v/>
      </c>
      <c r="J739" s="268">
        <f>ROUND(I739*E739,2)</f>
        <v/>
      </c>
    </row>
    <row r="740" hidden="1" outlineLevel="1" ht="25.5" customFormat="1" customHeight="1" s="255">
      <c r="A740" s="357" t="n">
        <v>712</v>
      </c>
      <c r="B740" s="265" t="inlineStr">
        <is>
          <t>21.1.06.09-0153</t>
        </is>
      </c>
      <c r="C740" s="356" t="inlineStr">
        <is>
          <t>Кабель силовой с медными жилами ВВГнг(A)-LS 3х4-660</t>
        </is>
      </c>
      <c r="D740" s="357" t="inlineStr">
        <is>
          <t>1000 м</t>
        </is>
      </c>
      <c r="E740" s="267" t="n">
        <v>0.0204</v>
      </c>
      <c r="F740" s="359" t="n">
        <v>10296.33</v>
      </c>
      <c r="G740" s="268">
        <f>ROUND(E740*F740,2)</f>
        <v/>
      </c>
      <c r="H740" s="269">
        <f>G740/$G$1004</f>
        <v/>
      </c>
      <c r="I740" s="268">
        <f>ROUND(F740*Прил.10!$D$13,2)</f>
        <v/>
      </c>
      <c r="J740" s="268">
        <f>ROUND(I740*E740,2)</f>
        <v/>
      </c>
    </row>
    <row r="741" hidden="1" outlineLevel="1" ht="25.5" customFormat="1" customHeight="1" s="255">
      <c r="A741" s="357" t="n">
        <v>713</v>
      </c>
      <c r="B741" s="265" t="inlineStr">
        <is>
          <t>08.3.05.05-0054</t>
        </is>
      </c>
      <c r="C741" s="356" t="inlineStr">
        <is>
          <t>Сталь листовая оцинкованная, толщина 0,8 мм</t>
        </is>
      </c>
      <c r="D741" s="357" t="inlineStr">
        <is>
          <t>т</t>
        </is>
      </c>
      <c r="E741" s="267" t="n">
        <v>0.019</v>
      </c>
      <c r="F741" s="359" t="n">
        <v>11000</v>
      </c>
      <c r="G741" s="268">
        <f>ROUND(E741*F741,2)</f>
        <v/>
      </c>
      <c r="H741" s="269">
        <f>G741/$G$1004</f>
        <v/>
      </c>
      <c r="I741" s="268">
        <f>ROUND(F741*Прил.10!$D$13,2)</f>
        <v/>
      </c>
      <c r="J741" s="268">
        <f>ROUND(I741*E741,2)</f>
        <v/>
      </c>
    </row>
    <row r="742" hidden="1" outlineLevel="1" ht="14.25" customFormat="1" customHeight="1" s="255">
      <c r="A742" s="357" t="n">
        <v>714</v>
      </c>
      <c r="B742" s="265" t="inlineStr">
        <is>
          <t>Прайс из СД ОП</t>
        </is>
      </c>
      <c r="C742" s="356" t="inlineStr">
        <is>
          <t xml:space="preserve">Зажим крепёжный СР.2-50 </t>
        </is>
      </c>
      <c r="D742" s="357" t="inlineStr">
        <is>
          <t>шт.</t>
        </is>
      </c>
      <c r="E742" s="267" t="n">
        <v>60</v>
      </c>
      <c r="F742" s="359" t="n">
        <v>3.46</v>
      </c>
      <c r="G742" s="268">
        <f>ROUND(E742*F742,2)</f>
        <v/>
      </c>
      <c r="H742" s="269">
        <f>G742/$G$1004</f>
        <v/>
      </c>
      <c r="I742" s="268">
        <f>ROUND(F742*Прил.10!$D$13,2)</f>
        <v/>
      </c>
      <c r="J742" s="268">
        <f>ROUND(I742*E742,2)</f>
        <v/>
      </c>
    </row>
    <row r="743" hidden="1" outlineLevel="1" ht="14.25" customFormat="1" customHeight="1" s="255">
      <c r="A743" s="357" t="n">
        <v>715</v>
      </c>
      <c r="B743" s="265" t="inlineStr">
        <is>
          <t>Прайс из СД ОП</t>
        </is>
      </c>
      <c r="C743" s="356" t="inlineStr">
        <is>
          <t>Решетка декоративная Р25-400х900-С</t>
        </is>
      </c>
      <c r="D743" s="357" t="inlineStr">
        <is>
          <t>шт.</t>
        </is>
      </c>
      <c r="E743" s="267" t="n">
        <v>1</v>
      </c>
      <c r="F743" s="359" t="n">
        <v>202.99</v>
      </c>
      <c r="G743" s="268">
        <f>ROUND(E743*F743,2)</f>
        <v/>
      </c>
      <c r="H743" s="269">
        <f>G743/$G$1004</f>
        <v/>
      </c>
      <c r="I743" s="268">
        <f>ROUND(F743*Прил.10!$D$13,2)</f>
        <v/>
      </c>
      <c r="J743" s="268">
        <f>ROUND(I743*E743,2)</f>
        <v/>
      </c>
    </row>
    <row r="744" hidden="1" outlineLevel="1" ht="38.25" customFormat="1" customHeight="1" s="255">
      <c r="A744" s="357" t="n">
        <v>716</v>
      </c>
      <c r="B744" s="265" t="inlineStr">
        <is>
          <t>20.4.04.02-0046</t>
        </is>
      </c>
      <c r="C744" s="356" t="inlineStr">
        <is>
          <t>Щиты распределительные наружной установки ЩРН-36, IP31, размер 520х310х120 мм</t>
        </is>
      </c>
      <c r="D744" s="357" t="inlineStr">
        <is>
          <t>шт</t>
        </is>
      </c>
      <c r="E744" s="267" t="n">
        <v>1</v>
      </c>
      <c r="F744" s="359" t="n">
        <v>202.07</v>
      </c>
      <c r="G744" s="268">
        <f>ROUND(E744*F744,2)</f>
        <v/>
      </c>
      <c r="H744" s="269">
        <f>G744/$G$1004</f>
        <v/>
      </c>
      <c r="I744" s="268">
        <f>ROUND(F744*Прил.10!$D$13,2)</f>
        <v/>
      </c>
      <c r="J744" s="268">
        <f>ROUND(I744*E744,2)</f>
        <v/>
      </c>
    </row>
    <row r="745" hidden="1" outlineLevel="1" ht="38.25" customFormat="1" customHeight="1" s="255">
      <c r="A745" s="357" t="n">
        <v>717</v>
      </c>
      <c r="B745" s="265" t="inlineStr">
        <is>
          <t>19.2.03.02-0095</t>
        </is>
      </c>
      <c r="C745" s="356" t="inlineStr">
        <is>
          <t>Решетки вентиляционные алюминиевые "АРКТОС" типа: АМН, размером 300х200 мм</t>
        </is>
      </c>
      <c r="D745" s="357" t="inlineStr">
        <is>
          <t>шт</t>
        </is>
      </c>
      <c r="E745" s="267" t="n">
        <v>2</v>
      </c>
      <c r="F745" s="359" t="n">
        <v>100.94</v>
      </c>
      <c r="G745" s="268">
        <f>ROUND(E745*F745,2)</f>
        <v/>
      </c>
      <c r="H745" s="269">
        <f>G745/$G$1004</f>
        <v/>
      </c>
      <c r="I745" s="268">
        <f>ROUND(F745*Прил.10!$D$13,2)</f>
        <v/>
      </c>
      <c r="J745" s="268">
        <f>ROUND(I745*E745,2)</f>
        <v/>
      </c>
    </row>
    <row r="746" hidden="1" outlineLevel="1" ht="51" customFormat="1" customHeight="1" s="255">
      <c r="A746" s="357" t="n">
        <v>718</v>
      </c>
      <c r="B746" s="265" t="inlineStr">
        <is>
          <t>23.8.03.11-0128</t>
        </is>
      </c>
      <c r="C746" s="356" t="inlineStr">
        <is>
          <t>Фланцы стальные плоские приварные с соединительным выступом, марка стали ВСт3сп2, ВСт3сп3, номинальное давление 1 МПа, номинальный диаметр 50 мм</t>
        </is>
      </c>
      <c r="D746" s="357" t="inlineStr">
        <is>
          <t>шт</t>
        </is>
      </c>
      <c r="E746" s="267" t="n">
        <v>4</v>
      </c>
      <c r="F746" s="359" t="n">
        <v>48.28</v>
      </c>
      <c r="G746" s="268">
        <f>ROUND(E746*F746,2)</f>
        <v/>
      </c>
      <c r="H746" s="269">
        <f>G746/$G$1004</f>
        <v/>
      </c>
      <c r="I746" s="268">
        <f>ROUND(F746*Прил.10!$D$13,2)</f>
        <v/>
      </c>
      <c r="J746" s="268">
        <f>ROUND(I746*E746,2)</f>
        <v/>
      </c>
    </row>
    <row r="747" hidden="1" outlineLevel="1" ht="14.25" customFormat="1" customHeight="1" s="255">
      <c r="A747" s="357" t="n">
        <v>719</v>
      </c>
      <c r="B747" s="265" t="inlineStr">
        <is>
          <t>20.2.01.05-0003</t>
        </is>
      </c>
      <c r="C747" s="356" t="inlineStr">
        <is>
          <t>Гильзы кабельные медные ГМ 6</t>
        </is>
      </c>
      <c r="D747" s="357" t="inlineStr">
        <is>
          <t>100 шт</t>
        </is>
      </c>
      <c r="E747" s="267" t="n">
        <v>1.747</v>
      </c>
      <c r="F747" s="359" t="n">
        <v>110</v>
      </c>
      <c r="G747" s="268">
        <f>ROUND(E747*F747,2)</f>
        <v/>
      </c>
      <c r="H747" s="269">
        <f>G747/$G$1004</f>
        <v/>
      </c>
      <c r="I747" s="268">
        <f>ROUND(F747*Прил.10!$D$13,2)</f>
        <v/>
      </c>
      <c r="J747" s="268">
        <f>ROUND(I747*E747,2)</f>
        <v/>
      </c>
    </row>
    <row r="748" hidden="1" outlineLevel="1" ht="14.25" customFormat="1" customHeight="1" s="255">
      <c r="A748" s="357" t="n">
        <v>720</v>
      </c>
      <c r="B748" s="265" t="inlineStr">
        <is>
          <t>20.1.02.20-0001</t>
        </is>
      </c>
      <c r="C748" s="356" t="inlineStr">
        <is>
          <t>Анкер тросовый</t>
        </is>
      </c>
      <c r="D748" s="357" t="inlineStr">
        <is>
          <t>100 шт</t>
        </is>
      </c>
      <c r="E748" s="267" t="n">
        <v>0.064</v>
      </c>
      <c r="F748" s="359" t="n">
        <v>3000</v>
      </c>
      <c r="G748" s="268">
        <f>ROUND(E748*F748,2)</f>
        <v/>
      </c>
      <c r="H748" s="269">
        <f>G748/$G$1004</f>
        <v/>
      </c>
      <c r="I748" s="268">
        <f>ROUND(F748*Прил.10!$D$13,2)</f>
        <v/>
      </c>
      <c r="J748" s="268">
        <f>ROUND(I748*E748,2)</f>
        <v/>
      </c>
    </row>
    <row r="749" hidden="1" outlineLevel="1" ht="38.25" customFormat="1" customHeight="1" s="255">
      <c r="A749" s="357" t="n">
        <v>721</v>
      </c>
      <c r="B749" s="265" t="inlineStr">
        <is>
          <t>08.4.03.03-0035</t>
        </is>
      </c>
      <c r="C749" s="356" t="inlineStr">
        <is>
          <t>Сталь арматурная, горячекатаная, периодического профиля, класс А-III, диаметр 20-22 мм</t>
        </is>
      </c>
      <c r="D749" s="357" t="inlineStr">
        <is>
          <t>т</t>
        </is>
      </c>
      <c r="E749" s="267" t="n">
        <v>0.02404</v>
      </c>
      <c r="F749" s="359" t="n">
        <v>7917</v>
      </c>
      <c r="G749" s="268">
        <f>ROUND(E749*F749,2)</f>
        <v/>
      </c>
      <c r="H749" s="269">
        <f>G749/$G$1004</f>
        <v/>
      </c>
      <c r="I749" s="268">
        <f>ROUND(F749*Прил.10!$D$13,2)</f>
        <v/>
      </c>
      <c r="J749" s="268">
        <f>ROUND(I749*E749,2)</f>
        <v/>
      </c>
    </row>
    <row r="750" hidden="1" outlineLevel="1" ht="51" customFormat="1" customHeight="1" s="255">
      <c r="A750" s="357" t="n">
        <v>722</v>
      </c>
      <c r="B750" s="265" t="inlineStr">
        <is>
          <t>18.1.09.06-0021</t>
        </is>
      </c>
      <c r="C750" s="356" t="inlineStr">
        <is>
          <t>Кран шаровой 11Б27п1, номинальное давление 1,0 МПа (10 кгс/см2), номинальный диаметр 15 мм, присоединение к трубопроводу муфтовое</t>
        </is>
      </c>
      <c r="D750" s="357" t="inlineStr">
        <is>
          <t>шт</t>
        </is>
      </c>
      <c r="E750" s="267" t="n">
        <v>12</v>
      </c>
      <c r="F750" s="359" t="n">
        <v>15.71</v>
      </c>
      <c r="G750" s="268">
        <f>ROUND(E750*F750,2)</f>
        <v/>
      </c>
      <c r="H750" s="269">
        <f>G750/$G$1004</f>
        <v/>
      </c>
      <c r="I750" s="268">
        <f>ROUND(F750*Прил.10!$D$13,2)</f>
        <v/>
      </c>
      <c r="J750" s="268">
        <f>ROUND(I750*E750,2)</f>
        <v/>
      </c>
    </row>
    <row r="751" hidden="1" outlineLevel="1" ht="14.25" customFormat="1" customHeight="1" s="255">
      <c r="A751" s="357" t="n">
        <v>723</v>
      </c>
      <c r="B751" s="265" t="inlineStr">
        <is>
          <t>Прайс из СД ОП</t>
        </is>
      </c>
      <c r="C751" s="356" t="inlineStr">
        <is>
          <t>Наконечник медный луженый JG-6</t>
        </is>
      </c>
      <c r="D751" s="357" t="inlineStr">
        <is>
          <t>шт.</t>
        </is>
      </c>
      <c r="E751" s="267" t="n">
        <v>100</v>
      </c>
      <c r="F751" s="359" t="n">
        <v>1.83</v>
      </c>
      <c r="G751" s="268">
        <f>ROUND(E751*F751,2)</f>
        <v/>
      </c>
      <c r="H751" s="269">
        <f>G751/$G$1004</f>
        <v/>
      </c>
      <c r="I751" s="268">
        <f>ROUND(F751*Прил.10!$D$13,2)</f>
        <v/>
      </c>
      <c r="J751" s="268">
        <f>ROUND(I751*E751,2)</f>
        <v/>
      </c>
    </row>
    <row r="752" hidden="1" outlineLevel="1" ht="38.25" customFormat="1" customHeight="1" s="255">
      <c r="A752" s="357" t="n">
        <v>724</v>
      </c>
      <c r="B752" s="265" t="inlineStr">
        <is>
          <t>19.1.01.01-0021</t>
        </is>
      </c>
      <c r="C752" s="356" t="inlineStr">
        <is>
          <t>Воздуховоды типа: ALUDUCT (POLAR BEAR) неизолированные гибкие диаметром 127 мм</t>
        </is>
      </c>
      <c r="D752" s="357" t="inlineStr">
        <is>
          <t>м2</t>
        </is>
      </c>
      <c r="E752" s="267" t="n">
        <v>2.7475</v>
      </c>
      <c r="F752" s="359" t="n">
        <v>66.31</v>
      </c>
      <c r="G752" s="268">
        <f>ROUND(E752*F752,2)</f>
        <v/>
      </c>
      <c r="H752" s="269">
        <f>G752/$G$1004</f>
        <v/>
      </c>
      <c r="I752" s="268">
        <f>ROUND(F752*Прил.10!$D$13,2)</f>
        <v/>
      </c>
      <c r="J752" s="268">
        <f>ROUND(I752*E752,2)</f>
        <v/>
      </c>
    </row>
    <row r="753" hidden="1" outlineLevel="1" ht="25.5" customFormat="1" customHeight="1" s="255">
      <c r="A753" s="357" t="n">
        <v>725</v>
      </c>
      <c r="B753" s="265" t="inlineStr">
        <is>
          <t>14.4.02.04-0142</t>
        </is>
      </c>
      <c r="C753" s="356" t="inlineStr">
        <is>
          <t>Краска масляная земляная МА-0115, мумия, сурик железный</t>
        </is>
      </c>
      <c r="D753" s="357" t="inlineStr">
        <is>
          <t>кг</t>
        </is>
      </c>
      <c r="E753" s="267" t="n">
        <v>12.0178</v>
      </c>
      <c r="F753" s="359" t="n">
        <v>15.12</v>
      </c>
      <c r="G753" s="268">
        <f>ROUND(E753*F753,2)</f>
        <v/>
      </c>
      <c r="H753" s="269">
        <f>G753/$G$1004</f>
        <v/>
      </c>
      <c r="I753" s="268">
        <f>ROUND(F753*Прил.10!$D$13,2)</f>
        <v/>
      </c>
      <c r="J753" s="268">
        <f>ROUND(I753*E753,2)</f>
        <v/>
      </c>
    </row>
    <row r="754" hidden="1" outlineLevel="1" ht="51" customFormat="1" customHeight="1" s="255">
      <c r="A754" s="357" t="n">
        <v>726</v>
      </c>
      <c r="B754" s="265" t="inlineStr">
        <is>
          <t>23.3.06.04-0008</t>
        </is>
      </c>
      <c r="C754" s="356" t="inlineStr">
        <is>
          <t>Трубы стальные сварные неоцинкованные водогазопроводные с резьбой, легкие, номинальный диаметр 25 мм, толщина стенки 2,8 мм</t>
        </is>
      </c>
      <c r="D754" s="357" t="inlineStr">
        <is>
          <t>м</t>
        </is>
      </c>
      <c r="E754" s="267" t="n">
        <v>11.7</v>
      </c>
      <c r="F754" s="359" t="n">
        <v>15.33</v>
      </c>
      <c r="G754" s="268">
        <f>ROUND(E754*F754,2)</f>
        <v/>
      </c>
      <c r="H754" s="269">
        <f>G754/$G$1004</f>
        <v/>
      </c>
      <c r="I754" s="268">
        <f>ROUND(F754*Прил.10!$D$13,2)</f>
        <v/>
      </c>
      <c r="J754" s="268">
        <f>ROUND(I754*E754,2)</f>
        <v/>
      </c>
    </row>
    <row r="755" hidden="1" outlineLevel="1" ht="25.5" customFormat="1" customHeight="1" s="255">
      <c r="A755" s="357" t="n">
        <v>727</v>
      </c>
      <c r="B755" s="265" t="inlineStr">
        <is>
          <t>07.2.06.04-0011</t>
        </is>
      </c>
      <c r="C755" s="356" t="inlineStr">
        <is>
          <t>Верхний уголок для крепления несущих элементов двери 100х123 мм</t>
        </is>
      </c>
      <c r="D755" s="357" t="inlineStr">
        <is>
          <t>100 шт</t>
        </is>
      </c>
      <c r="E755" s="267" t="n">
        <v>0.6405999999999999</v>
      </c>
      <c r="F755" s="359" t="n">
        <v>279</v>
      </c>
      <c r="G755" s="268">
        <f>ROUND(E755*F755,2)</f>
        <v/>
      </c>
      <c r="H755" s="269">
        <f>G755/$G$1004</f>
        <v/>
      </c>
      <c r="I755" s="268">
        <f>ROUND(F755*Прил.10!$D$13,2)</f>
        <v/>
      </c>
      <c r="J755" s="268">
        <f>ROUND(I755*E755,2)</f>
        <v/>
      </c>
    </row>
    <row r="756" hidden="1" outlineLevel="1" ht="25.5" customFormat="1" customHeight="1" s="255">
      <c r="A756" s="357" t="n">
        <v>728</v>
      </c>
      <c r="B756" s="265" t="inlineStr">
        <is>
          <t>07.2.06.04-0061</t>
        </is>
      </c>
      <c r="C756" s="356" t="inlineStr">
        <is>
          <t>Нижний уголок для крепления несущих элементов двери 100х123 мм</t>
        </is>
      </c>
      <c r="D756" s="357" t="inlineStr">
        <is>
          <t>100 шт</t>
        </is>
      </c>
      <c r="E756" s="267" t="n">
        <v>0.6405999999999999</v>
      </c>
      <c r="F756" s="359" t="n">
        <v>279</v>
      </c>
      <c r="G756" s="268">
        <f>ROUND(E756*F756,2)</f>
        <v/>
      </c>
      <c r="H756" s="269">
        <f>G756/$G$1004</f>
        <v/>
      </c>
      <c r="I756" s="268">
        <f>ROUND(F756*Прил.10!$D$13,2)</f>
        <v/>
      </c>
      <c r="J756" s="268">
        <f>ROUND(I756*E756,2)</f>
        <v/>
      </c>
    </row>
    <row r="757" hidden="1" outlineLevel="1" ht="25.5" customFormat="1" customHeight="1" s="255">
      <c r="A757" s="357" t="n">
        <v>729</v>
      </c>
      <c r="B757" s="265" t="inlineStr">
        <is>
          <t>02.2.05.04-1822</t>
        </is>
      </c>
      <c r="C757" s="356" t="inlineStr">
        <is>
          <t>Щебень М 1000, фракция 40-80(70) мм, группа 2</t>
        </is>
      </c>
      <c r="D757" s="357" t="inlineStr">
        <is>
          <t>м3</t>
        </is>
      </c>
      <c r="E757" s="267" t="n">
        <v>1.144</v>
      </c>
      <c r="F757" s="359" t="n">
        <v>155.94</v>
      </c>
      <c r="G757" s="268">
        <f>ROUND(E757*F757,2)</f>
        <v/>
      </c>
      <c r="H757" s="269">
        <f>G757/$G$1004</f>
        <v/>
      </c>
      <c r="I757" s="268">
        <f>ROUND(F757*Прил.10!$D$13,2)</f>
        <v/>
      </c>
      <c r="J757" s="268">
        <f>ROUND(I757*E757,2)</f>
        <v/>
      </c>
    </row>
    <row r="758" hidden="1" outlineLevel="1" ht="14.25" customFormat="1" customHeight="1" s="255">
      <c r="A758" s="357" t="n">
        <v>730</v>
      </c>
      <c r="B758" s="265" t="inlineStr">
        <is>
          <t>01.7.15.10-0052</t>
        </is>
      </c>
      <c r="C758" s="356" t="inlineStr">
        <is>
          <t>Скобы двухлапковые</t>
        </is>
      </c>
      <c r="D758" s="357" t="inlineStr">
        <is>
          <t>10 шт</t>
        </is>
      </c>
      <c r="E758" s="267" t="n">
        <v>15</v>
      </c>
      <c r="F758" s="359" t="n">
        <v>11.89</v>
      </c>
      <c r="G758" s="268">
        <f>ROUND(E758*F758,2)</f>
        <v/>
      </c>
      <c r="H758" s="269">
        <f>G758/$G$1004</f>
        <v/>
      </c>
      <c r="I758" s="268">
        <f>ROUND(F758*Прил.10!$D$13,2)</f>
        <v/>
      </c>
      <c r="J758" s="268">
        <f>ROUND(I758*E758,2)</f>
        <v/>
      </c>
    </row>
    <row r="759" hidden="1" outlineLevel="1" ht="14.25" customFormat="1" customHeight="1" s="255">
      <c r="A759" s="357" t="n">
        <v>731</v>
      </c>
      <c r="B759" s="265" t="inlineStr">
        <is>
          <t>Прайс из СД ОП</t>
        </is>
      </c>
      <c r="C759" s="356" t="inlineStr">
        <is>
          <t>Монтажный хомут Канал-МК-315</t>
        </is>
      </c>
      <c r="D759" s="357" t="inlineStr">
        <is>
          <t>шт.</t>
        </is>
      </c>
      <c r="E759" s="267" t="n">
        <v>5</v>
      </c>
      <c r="F759" s="359" t="n">
        <v>35.03</v>
      </c>
      <c r="G759" s="268">
        <f>ROUND(E759*F759,2)</f>
        <v/>
      </c>
      <c r="H759" s="269">
        <f>G759/$G$1004</f>
        <v/>
      </c>
      <c r="I759" s="268">
        <f>ROUND(F759*Прил.10!$D$13,2)</f>
        <v/>
      </c>
      <c r="J759" s="268">
        <f>ROUND(I759*E759,2)</f>
        <v/>
      </c>
    </row>
    <row r="760" hidden="1" outlineLevel="1" ht="25.5" customFormat="1" customHeight="1" s="255">
      <c r="A760" s="357" t="n">
        <v>732</v>
      </c>
      <c r="B760" s="265" t="inlineStr">
        <is>
          <t>05.1.01.13-0043</t>
        </is>
      </c>
      <c r="C760" s="356" t="inlineStr">
        <is>
          <t>Плита железобетонная покрытий, перекрытий и днищ (Плита ИЖ2-36)</t>
        </is>
      </c>
      <c r="D760" s="357" t="inlineStr">
        <is>
          <t>м3</t>
        </is>
      </c>
      <c r="E760" s="267" t="n">
        <v>0.126</v>
      </c>
      <c r="F760" s="359" t="n">
        <v>1382.9</v>
      </c>
      <c r="G760" s="268">
        <f>ROUND(E760*F760,2)</f>
        <v/>
      </c>
      <c r="H760" s="269">
        <f>G760/$G$1004</f>
        <v/>
      </c>
      <c r="I760" s="268">
        <f>ROUND(F760*Прил.10!$D$13,2)</f>
        <v/>
      </c>
      <c r="J760" s="268">
        <f>ROUND(I760*E760,2)</f>
        <v/>
      </c>
    </row>
    <row r="761" hidden="1" outlineLevel="1" ht="14.25" customFormat="1" customHeight="1" s="255">
      <c r="A761" s="357" t="n">
        <v>733</v>
      </c>
      <c r="B761" s="265" t="inlineStr">
        <is>
          <t>20.5.04.10-0011</t>
        </is>
      </c>
      <c r="C761" s="356" t="inlineStr">
        <is>
          <t>Сжимы соединительные</t>
        </is>
      </c>
      <c r="D761" s="357" t="inlineStr">
        <is>
          <t>100 шт</t>
        </is>
      </c>
      <c r="E761" s="267" t="n">
        <v>1.7344</v>
      </c>
      <c r="F761" s="359" t="n">
        <v>100</v>
      </c>
      <c r="G761" s="268">
        <f>ROUND(E761*F761,2)</f>
        <v/>
      </c>
      <c r="H761" s="269">
        <f>G761/$G$1004</f>
        <v/>
      </c>
      <c r="I761" s="268">
        <f>ROUND(F761*Прил.10!$D$13,2)</f>
        <v/>
      </c>
      <c r="J761" s="268">
        <f>ROUND(I761*E761,2)</f>
        <v/>
      </c>
    </row>
    <row r="762" hidden="1" outlineLevel="1" ht="14.25" customFormat="1" customHeight="1" s="255">
      <c r="A762" s="357" t="n">
        <v>734</v>
      </c>
      <c r="B762" s="265" t="inlineStr">
        <is>
          <t>Прайс из СД ОП</t>
        </is>
      </c>
      <c r="C762" s="356" t="inlineStr">
        <is>
          <t>Скоба потолочная КЛ-СП УЗ, ТУ 36-13-80</t>
        </is>
      </c>
      <c r="D762" s="357" t="inlineStr">
        <is>
          <t>шт.</t>
        </is>
      </c>
      <c r="E762" s="267" t="n">
        <v>81</v>
      </c>
      <c r="F762" s="359" t="n">
        <v>2.13</v>
      </c>
      <c r="G762" s="268">
        <f>ROUND(E762*F762,2)</f>
        <v/>
      </c>
      <c r="H762" s="269">
        <f>G762/$G$1004</f>
        <v/>
      </c>
      <c r="I762" s="268">
        <f>ROUND(F762*Прил.10!$D$13,2)</f>
        <v/>
      </c>
      <c r="J762" s="268">
        <f>ROUND(I762*E762,2)</f>
        <v/>
      </c>
    </row>
    <row r="763" hidden="1" outlineLevel="1" ht="14.25" customFormat="1" customHeight="1" s="255">
      <c r="A763" s="357" t="n">
        <v>735</v>
      </c>
      <c r="B763" s="265" t="inlineStr">
        <is>
          <t>Прайс из СД ОП</t>
        </is>
      </c>
      <c r="C763" s="356" t="inlineStr">
        <is>
          <t>Антикоррозийная лента NA1001</t>
        </is>
      </c>
      <c r="D763" s="357" t="inlineStr">
        <is>
          <t>шт.</t>
        </is>
      </c>
      <c r="E763" s="267" t="n">
        <v>1</v>
      </c>
      <c r="F763" s="359" t="n">
        <v>172.33</v>
      </c>
      <c r="G763" s="268">
        <f>ROUND(E763*F763,2)</f>
        <v/>
      </c>
      <c r="H763" s="269">
        <f>G763/$G$1004</f>
        <v/>
      </c>
      <c r="I763" s="268">
        <f>ROUND(F763*Прил.10!$D$13,2)</f>
        <v/>
      </c>
      <c r="J763" s="268">
        <f>ROUND(I763*E763,2)</f>
        <v/>
      </c>
    </row>
    <row r="764" hidden="1" outlineLevel="1" ht="38.25" customFormat="1" customHeight="1" s="255">
      <c r="A764" s="357" t="n">
        <v>736</v>
      </c>
      <c r="B764" s="265" t="inlineStr">
        <is>
          <t>07.2.06.04-0078</t>
        </is>
      </c>
      <c r="C764" s="356" t="inlineStr">
        <is>
          <t>Подвес профиля стальной, оцинкованный с зажимом пружинный анкерный, для крепления профилей сечение 60х27 мм</t>
        </is>
      </c>
      <c r="D764" s="357" t="inlineStr">
        <is>
          <t>100 шт</t>
        </is>
      </c>
      <c r="E764" s="267" t="n">
        <v>1.3764</v>
      </c>
      <c r="F764" s="359" t="n">
        <v>125</v>
      </c>
      <c r="G764" s="268">
        <f>ROUND(E764*F764,2)</f>
        <v/>
      </c>
      <c r="H764" s="269">
        <f>G764/$G$1004</f>
        <v/>
      </c>
      <c r="I764" s="268">
        <f>ROUND(F764*Прил.10!$D$13,2)</f>
        <v/>
      </c>
      <c r="J764" s="268">
        <f>ROUND(I764*E764,2)</f>
        <v/>
      </c>
    </row>
    <row r="765" hidden="1" outlineLevel="1" ht="25.5" customFormat="1" customHeight="1" s="255">
      <c r="A765" s="357" t="n">
        <v>737</v>
      </c>
      <c r="B765" s="265" t="inlineStr">
        <is>
          <t>23.8.03.06-0009</t>
        </is>
      </c>
      <c r="C765" s="356" t="inlineStr">
        <is>
          <t>Сгоны стальные с муфтой и контргайкой, номинальный диаметр 40 мм</t>
        </is>
      </c>
      <c r="D765" s="357" t="inlineStr">
        <is>
          <t>шт</t>
        </is>
      </c>
      <c r="E765" s="267" t="n">
        <v>9</v>
      </c>
      <c r="F765" s="359" t="n">
        <v>18.88</v>
      </c>
      <c r="G765" s="268">
        <f>ROUND(E765*F765,2)</f>
        <v/>
      </c>
      <c r="H765" s="269">
        <f>G765/$G$1004</f>
        <v/>
      </c>
      <c r="I765" s="268">
        <f>ROUND(F765*Прил.10!$D$13,2)</f>
        <v/>
      </c>
      <c r="J765" s="268">
        <f>ROUND(I765*E765,2)</f>
        <v/>
      </c>
    </row>
    <row r="766" hidden="1" outlineLevel="1" ht="25.5" customFormat="1" customHeight="1" s="255">
      <c r="A766" s="357" t="n">
        <v>738</v>
      </c>
      <c r="B766" s="265" t="inlineStr">
        <is>
          <t>Прайс из СД ОП</t>
        </is>
      </c>
      <c r="C766" s="356" t="inlineStr">
        <is>
          <t>Пускатель магнитный ПМЛ-1500-10А-220АС</t>
        </is>
      </c>
      <c r="D766" s="357" t="inlineStr">
        <is>
          <t>шт.</t>
        </is>
      </c>
      <c r="E766" s="267" t="n">
        <v>1</v>
      </c>
      <c r="F766" s="359" t="n">
        <v>168.31</v>
      </c>
      <c r="G766" s="268">
        <f>ROUND(E766*F766,2)</f>
        <v/>
      </c>
      <c r="H766" s="269">
        <f>G766/$G$1004</f>
        <v/>
      </c>
      <c r="I766" s="268">
        <f>ROUND(F766*Прил.10!$D$13,2)</f>
        <v/>
      </c>
      <c r="J766" s="268">
        <f>ROUND(I766*E766,2)</f>
        <v/>
      </c>
    </row>
    <row r="767" hidden="1" outlineLevel="1" ht="25.5" customFormat="1" customHeight="1" s="255">
      <c r="A767" s="357" t="n">
        <v>739</v>
      </c>
      <c r="B767" s="265" t="inlineStr">
        <is>
          <t>Прайс из СД ОП</t>
        </is>
      </c>
      <c r="C767" s="356" t="inlineStr">
        <is>
          <t>Автоматический выключатель трехполюсный, OptiDin BM63-3С1</t>
        </is>
      </c>
      <c r="D767" s="357" t="inlineStr">
        <is>
          <t>шт.</t>
        </is>
      </c>
      <c r="E767" s="267" t="n">
        <v>2</v>
      </c>
      <c r="F767" s="359" t="n">
        <v>83.38</v>
      </c>
      <c r="G767" s="268">
        <f>ROUND(E767*F767,2)</f>
        <v/>
      </c>
      <c r="H767" s="269">
        <f>G767/$G$1004</f>
        <v/>
      </c>
      <c r="I767" s="268">
        <f>ROUND(F767*Прил.10!$D$13,2)</f>
        <v/>
      </c>
      <c r="J767" s="268">
        <f>ROUND(I767*E767,2)</f>
        <v/>
      </c>
    </row>
    <row r="768" hidden="1" outlineLevel="1" ht="25.5" customFormat="1" customHeight="1" s="255">
      <c r="A768" s="357" t="n">
        <v>740</v>
      </c>
      <c r="B768" s="265" t="inlineStr">
        <is>
          <t>14.4.01.02-0113</t>
        </is>
      </c>
      <c r="C768" s="356" t="inlineStr">
        <is>
          <t>Грунтовка акриловая, антисептическая, глубокого проникновения</t>
        </is>
      </c>
      <c r="D768" s="357" t="inlineStr">
        <is>
          <t>кг</t>
        </is>
      </c>
      <c r="E768" s="267" t="n">
        <v>10.89</v>
      </c>
      <c r="F768" s="359" t="n">
        <v>15.25</v>
      </c>
      <c r="G768" s="268">
        <f>ROUND(E768*F768,2)</f>
        <v/>
      </c>
      <c r="H768" s="269">
        <f>G768/$G$1004</f>
        <v/>
      </c>
      <c r="I768" s="268">
        <f>ROUND(F768*Прил.10!$D$13,2)</f>
        <v/>
      </c>
      <c r="J768" s="268">
        <f>ROUND(I768*E768,2)</f>
        <v/>
      </c>
    </row>
    <row r="769" hidden="1" outlineLevel="1" ht="25.5" customFormat="1" customHeight="1" s="255">
      <c r="A769" s="357" t="n">
        <v>741</v>
      </c>
      <c r="B769" s="265" t="inlineStr">
        <is>
          <t>19.1.05.04-0002</t>
        </is>
      </c>
      <c r="C769" s="356" t="inlineStr">
        <is>
          <t>Диффузоры потолочные пластиковые веерные, диаметр 125 мм</t>
        </is>
      </c>
      <c r="D769" s="357" t="inlineStr">
        <is>
          <t>шт</t>
        </is>
      </c>
      <c r="E769" s="267" t="n">
        <v>5</v>
      </c>
      <c r="F769" s="359" t="n">
        <v>32.8</v>
      </c>
      <c r="G769" s="268">
        <f>ROUND(E769*F769,2)</f>
        <v/>
      </c>
      <c r="H769" s="269">
        <f>G769/$G$1004</f>
        <v/>
      </c>
      <c r="I769" s="268">
        <f>ROUND(F769*Прил.10!$D$13,2)</f>
        <v/>
      </c>
      <c r="J769" s="268">
        <f>ROUND(I769*E769,2)</f>
        <v/>
      </c>
    </row>
    <row r="770" hidden="1" outlineLevel="1" ht="14.25" customFormat="1" customHeight="1" s="255">
      <c r="A770" s="357" t="n">
        <v>742</v>
      </c>
      <c r="B770" s="265" t="inlineStr">
        <is>
          <t>11.2.13.04-0012</t>
        </is>
      </c>
      <c r="C770" s="356" t="inlineStr">
        <is>
          <t>Щиты из досок, толщина 40 мм</t>
        </is>
      </c>
      <c r="D770" s="357" t="inlineStr">
        <is>
          <t>м2</t>
        </is>
      </c>
      <c r="E770" s="267" t="n">
        <v>2.826</v>
      </c>
      <c r="F770" s="359" t="n">
        <v>57.63</v>
      </c>
      <c r="G770" s="268">
        <f>ROUND(E770*F770,2)</f>
        <v/>
      </c>
      <c r="H770" s="269">
        <f>G770/$G$1004</f>
        <v/>
      </c>
      <c r="I770" s="268">
        <f>ROUND(F770*Прил.10!$D$13,2)</f>
        <v/>
      </c>
      <c r="J770" s="268">
        <f>ROUND(I770*E770,2)</f>
        <v/>
      </c>
    </row>
    <row r="771" hidden="1" outlineLevel="1" ht="25.5" customFormat="1" customHeight="1" s="255">
      <c r="A771" s="357" t="n">
        <v>743</v>
      </c>
      <c r="B771" s="265" t="inlineStr">
        <is>
          <t>20.2.10.03-0002</t>
        </is>
      </c>
      <c r="C771" s="356" t="inlineStr">
        <is>
          <t>Наконечники кабельные медные для электротехнических установок</t>
        </is>
      </c>
      <c r="D771" s="357" t="inlineStr">
        <is>
          <t>100 шт</t>
        </is>
      </c>
      <c r="E771" s="267" t="n">
        <v>0.0408</v>
      </c>
      <c r="F771" s="359" t="n">
        <v>3986</v>
      </c>
      <c r="G771" s="268">
        <f>ROUND(E771*F771,2)</f>
        <v/>
      </c>
      <c r="H771" s="269">
        <f>G771/$G$1004</f>
        <v/>
      </c>
      <c r="I771" s="268">
        <f>ROUND(F771*Прил.10!$D$13,2)</f>
        <v/>
      </c>
      <c r="J771" s="268">
        <f>ROUND(I771*E771,2)</f>
        <v/>
      </c>
    </row>
    <row r="772" hidden="1" outlineLevel="1" ht="25.5" customFormat="1" customHeight="1" s="255">
      <c r="A772" s="357" t="n">
        <v>744</v>
      </c>
      <c r="B772" s="265" t="inlineStr">
        <is>
          <t>02.2.05.04-1577</t>
        </is>
      </c>
      <c r="C772" s="356" t="inlineStr">
        <is>
          <t>Щебень М 800, фракция 5(3)-10 мм, группа 2</t>
        </is>
      </c>
      <c r="D772" s="357" t="inlineStr">
        <is>
          <t>м3</t>
        </is>
      </c>
      <c r="E772" s="267" t="n">
        <v>1.03</v>
      </c>
      <c r="F772" s="359" t="n">
        <v>155.94</v>
      </c>
      <c r="G772" s="268">
        <f>ROUND(E772*F772,2)</f>
        <v/>
      </c>
      <c r="H772" s="269">
        <f>G772/$G$1004</f>
        <v/>
      </c>
      <c r="I772" s="268">
        <f>ROUND(F772*Прил.10!$D$13,2)</f>
        <v/>
      </c>
      <c r="J772" s="268">
        <f>ROUND(I772*E772,2)</f>
        <v/>
      </c>
    </row>
    <row r="773" hidden="1" outlineLevel="1" ht="25.5" customFormat="1" customHeight="1" s="255">
      <c r="A773" s="357" t="n">
        <v>745</v>
      </c>
      <c r="B773" s="265" t="inlineStr">
        <is>
          <t>Прайс из СД ОП</t>
        </is>
      </c>
      <c r="C773" s="356" t="inlineStr">
        <is>
          <t>Автоматический выключатель однополюсный, OptiDin BM63-1С6</t>
        </is>
      </c>
      <c r="D773" s="357" t="inlineStr">
        <is>
          <t>шт.</t>
        </is>
      </c>
      <c r="E773" s="267" t="n">
        <v>7</v>
      </c>
      <c r="F773" s="359" t="n">
        <v>22.77</v>
      </c>
      <c r="G773" s="268">
        <f>ROUND(E773*F773,2)</f>
        <v/>
      </c>
      <c r="H773" s="269">
        <f>G773/$G$1004</f>
        <v/>
      </c>
      <c r="I773" s="268">
        <f>ROUND(F773*Прил.10!$D$13,2)</f>
        <v/>
      </c>
      <c r="J773" s="268">
        <f>ROUND(I773*E773,2)</f>
        <v/>
      </c>
    </row>
    <row r="774" hidden="1" outlineLevel="1" ht="14.25" customFormat="1" customHeight="1" s="255">
      <c r="A774" s="357" t="n">
        <v>746</v>
      </c>
      <c r="B774" s="265" t="inlineStr">
        <is>
          <t>01.7.06.02-0002</t>
        </is>
      </c>
      <c r="C774" s="356" t="inlineStr">
        <is>
          <t>Лента бутиловая диффузионная</t>
        </is>
      </c>
      <c r="D774" s="357" t="inlineStr">
        <is>
          <t>м</t>
        </is>
      </c>
      <c r="E774" s="267" t="n">
        <v>19.85</v>
      </c>
      <c r="F774" s="359" t="n">
        <v>7.95</v>
      </c>
      <c r="G774" s="268">
        <f>ROUND(E774*F774,2)</f>
        <v/>
      </c>
      <c r="H774" s="269">
        <f>G774/$G$1004</f>
        <v/>
      </c>
      <c r="I774" s="268">
        <f>ROUND(F774*Прил.10!$D$13,2)</f>
        <v/>
      </c>
      <c r="J774" s="268">
        <f>ROUND(I774*E774,2)</f>
        <v/>
      </c>
    </row>
    <row r="775" hidden="1" outlineLevel="1" ht="38.25" customFormat="1" customHeight="1" s="255">
      <c r="A775" s="357" t="n">
        <v>747</v>
      </c>
      <c r="B775" s="265" t="inlineStr">
        <is>
          <t>Прайс из СД ОП</t>
        </is>
      </c>
      <c r="C775" s="356" t="inlineStr">
        <is>
          <t>Автоматический выключатель однополюсный модульный, Iн=6А, OptiDin BM63-1C6</t>
        </is>
      </c>
      <c r="D775" s="357" t="inlineStr">
        <is>
          <t>шт.</t>
        </is>
      </c>
      <c r="E775" s="267" t="n">
        <v>6</v>
      </c>
      <c r="F775" s="359" t="n">
        <v>26.28</v>
      </c>
      <c r="G775" s="268">
        <f>ROUND(E775*F775,2)</f>
        <v/>
      </c>
      <c r="H775" s="269">
        <f>G775/$G$1004</f>
        <v/>
      </c>
      <c r="I775" s="268">
        <f>ROUND(F775*Прил.10!$D$13,2)</f>
        <v/>
      </c>
      <c r="J775" s="268">
        <f>ROUND(I775*E775,2)</f>
        <v/>
      </c>
    </row>
    <row r="776" hidden="1" outlineLevel="1" ht="14.25" customFormat="1" customHeight="1" s="255">
      <c r="A776" s="357" t="n">
        <v>748</v>
      </c>
      <c r="B776" s="265" t="inlineStr">
        <is>
          <t>Прайс из СД ОП</t>
        </is>
      </c>
      <c r="C776" s="356" t="inlineStr">
        <is>
          <t xml:space="preserve">Монтажный хомут Канал-МК-200 </t>
        </is>
      </c>
      <c r="D776" s="357" t="inlineStr">
        <is>
          <t>шт.</t>
        </is>
      </c>
      <c r="E776" s="267" t="n">
        <v>5</v>
      </c>
      <c r="F776" s="359" t="n">
        <v>31.15</v>
      </c>
      <c r="G776" s="268">
        <f>ROUND(E776*F776,2)</f>
        <v/>
      </c>
      <c r="H776" s="269">
        <f>G776/$G$1004</f>
        <v/>
      </c>
      <c r="I776" s="268">
        <f>ROUND(F776*Прил.10!$D$13,2)</f>
        <v/>
      </c>
      <c r="J776" s="268">
        <f>ROUND(I776*E776,2)</f>
        <v/>
      </c>
    </row>
    <row r="777" hidden="1" outlineLevel="1" ht="38.25" customFormat="1" customHeight="1" s="255">
      <c r="A777" s="357" t="n">
        <v>749</v>
      </c>
      <c r="B777" s="265" t="inlineStr">
        <is>
          <t>20.4.04.02-0044</t>
        </is>
      </c>
      <c r="C777" s="356" t="inlineStr">
        <is>
          <t>Щиты распределительные наружной установки ЩРН-18М, IP31, размер 265х440х120 мм</t>
        </is>
      </c>
      <c r="D777" s="357" t="inlineStr">
        <is>
          <t>шт</t>
        </is>
      </c>
      <c r="E777" s="267" t="n">
        <v>1</v>
      </c>
      <c r="F777" s="359" t="n">
        <v>154.11</v>
      </c>
      <c r="G777" s="268">
        <f>ROUND(E777*F777,2)</f>
        <v/>
      </c>
      <c r="H777" s="269">
        <f>G777/$G$1004</f>
        <v/>
      </c>
      <c r="I777" s="268">
        <f>ROUND(F777*Прил.10!$D$13,2)</f>
        <v/>
      </c>
      <c r="J777" s="268">
        <f>ROUND(I777*E777,2)</f>
        <v/>
      </c>
    </row>
    <row r="778" hidden="1" outlineLevel="1" ht="25.5" customFormat="1" customHeight="1" s="255">
      <c r="A778" s="357" t="n">
        <v>750</v>
      </c>
      <c r="B778" s="265" t="inlineStr">
        <is>
          <t>19.2.03.02-0005</t>
        </is>
      </c>
      <c r="C778" s="356" t="inlineStr">
        <is>
          <t>Решетки вентиляционные АМН, алюминиевые, размер 300х100 мм</t>
        </is>
      </c>
      <c r="D778" s="357" t="inlineStr">
        <is>
          <t>шт</t>
        </is>
      </c>
      <c r="E778" s="267" t="n">
        <v>1</v>
      </c>
      <c r="F778" s="359" t="n">
        <v>149.29</v>
      </c>
      <c r="G778" s="268">
        <f>ROUND(E778*F778,2)</f>
        <v/>
      </c>
      <c r="H778" s="269">
        <f>G778/$G$1004</f>
        <v/>
      </c>
      <c r="I778" s="268">
        <f>ROUND(F778*Прил.10!$D$13,2)</f>
        <v/>
      </c>
      <c r="J778" s="268">
        <f>ROUND(I778*E778,2)</f>
        <v/>
      </c>
    </row>
    <row r="779" hidden="1" outlineLevel="1" ht="25.5" customFormat="1" customHeight="1" s="255">
      <c r="A779" s="357" t="n">
        <v>751</v>
      </c>
      <c r="B779" s="265" t="inlineStr">
        <is>
          <t>Прайс из СД ОП</t>
        </is>
      </c>
      <c r="C779" s="356" t="inlineStr">
        <is>
          <t>Переключатель OptiSwitch 4G10-53-U-S1-R014</t>
        </is>
      </c>
      <c r="D779" s="357" t="inlineStr">
        <is>
          <t>шт.</t>
        </is>
      </c>
      <c r="E779" s="267" t="n">
        <v>1</v>
      </c>
      <c r="F779" s="359" t="n">
        <v>149.02</v>
      </c>
      <c r="G779" s="268">
        <f>ROUND(E779*F779,2)</f>
        <v/>
      </c>
      <c r="H779" s="269">
        <f>G779/$G$1004</f>
        <v/>
      </c>
      <c r="I779" s="268">
        <f>ROUND(F779*Прил.10!$D$13,2)</f>
        <v/>
      </c>
      <c r="J779" s="268">
        <f>ROUND(I779*E779,2)</f>
        <v/>
      </c>
    </row>
    <row r="780" hidden="1" outlineLevel="1" ht="38.25" customFormat="1" customHeight="1" s="255">
      <c r="A780" s="357" t="n">
        <v>752</v>
      </c>
      <c r="B780" s="265" t="inlineStr">
        <is>
          <t>Прайс из СД ОП</t>
        </is>
      </c>
      <c r="C780" s="356" t="inlineStr">
        <is>
          <t>Автоматический выключатель дифференциального тока, Iн=32А, OptiDin D63-22С32-A</t>
        </is>
      </c>
      <c r="D780" s="357" t="inlineStr">
        <is>
          <t>шт.</t>
        </is>
      </c>
      <c r="E780" s="267" t="n">
        <v>1</v>
      </c>
      <c r="F780" s="359" t="n">
        <v>143.99</v>
      </c>
      <c r="G780" s="268">
        <f>ROUND(E780*F780,2)</f>
        <v/>
      </c>
      <c r="H780" s="269">
        <f>G780/$G$1004</f>
        <v/>
      </c>
      <c r="I780" s="268">
        <f>ROUND(F780*Прил.10!$D$13,2)</f>
        <v/>
      </c>
      <c r="J780" s="268">
        <f>ROUND(I780*E780,2)</f>
        <v/>
      </c>
    </row>
    <row r="781" hidden="1" outlineLevel="1" ht="38.25" customFormat="1" customHeight="1" s="255">
      <c r="A781" s="357" t="n">
        <v>753</v>
      </c>
      <c r="B781" s="265" t="inlineStr">
        <is>
          <t>05.1.07.28-0072</t>
        </is>
      </c>
      <c r="C781" s="356" t="inlineStr">
        <is>
          <t>Ступени железобетонные лестничные ЛСН 15, бетон B15, объем 0,034 м3, расход арматуры 0,96 кг</t>
        </is>
      </c>
      <c r="D781" s="357" t="inlineStr">
        <is>
          <t>шт</t>
        </is>
      </c>
      <c r="E781" s="267" t="n">
        <v>2</v>
      </c>
      <c r="F781" s="359" t="n">
        <v>70.86</v>
      </c>
      <c r="G781" s="268">
        <f>ROUND(E781*F781,2)</f>
        <v/>
      </c>
      <c r="H781" s="269">
        <f>G781/$G$1004</f>
        <v/>
      </c>
      <c r="I781" s="268">
        <f>ROUND(F781*Прил.10!$D$13,2)</f>
        <v/>
      </c>
      <c r="J781" s="268">
        <f>ROUND(I781*E781,2)</f>
        <v/>
      </c>
    </row>
    <row r="782" hidden="1" outlineLevel="1" ht="89.45" customFormat="1" customHeight="1" s="255">
      <c r="A782" s="357" t="n">
        <v>754</v>
      </c>
      <c r="B782" s="265" t="inlineStr">
        <is>
          <t>14.1.06.01-0001</t>
        </is>
      </c>
      <c r="C782" s="356" t="inlineStr">
        <is>
          <t>Смесь сухая для наружных работ мелкозернистая, гипсовая, клеевая, для приклеивания ГКЛ и минераловатных плит, ручного нанесения, прочность на сжатие 2,0 МПа, прочность сцепления с основанием 0,3 МПа, прочность на изгиб 1,0 МПа</t>
        </is>
      </c>
      <c r="D782" s="357" t="inlineStr">
        <is>
          <t>кг</t>
        </is>
      </c>
      <c r="E782" s="267" t="n">
        <v>89.68000000000001</v>
      </c>
      <c r="F782" s="359" t="n">
        <v>1.58</v>
      </c>
      <c r="G782" s="268">
        <f>ROUND(E782*F782,2)</f>
        <v/>
      </c>
      <c r="H782" s="269">
        <f>G782/$G$1004</f>
        <v/>
      </c>
      <c r="I782" s="268">
        <f>ROUND(F782*Прил.10!$D$13,2)</f>
        <v/>
      </c>
      <c r="J782" s="268">
        <f>ROUND(I782*E782,2)</f>
        <v/>
      </c>
    </row>
    <row r="783" hidden="1" outlineLevel="1" ht="25.5" customFormat="1" customHeight="1" s="255">
      <c r="A783" s="357" t="n">
        <v>755</v>
      </c>
      <c r="B783" s="265" t="inlineStr">
        <is>
          <t>Прайс из СД ОП</t>
        </is>
      </c>
      <c r="C783" s="356" t="inlineStr">
        <is>
          <t>Автоматический выключатель однополюсный, OptiDin BM63-1С10</t>
        </is>
      </c>
      <c r="D783" s="357" t="inlineStr">
        <is>
          <t>шт.</t>
        </is>
      </c>
      <c r="E783" s="267" t="n">
        <v>8</v>
      </c>
      <c r="F783" s="359" t="n">
        <v>17.46</v>
      </c>
      <c r="G783" s="268">
        <f>ROUND(E783*F783,2)</f>
        <v/>
      </c>
      <c r="H783" s="269">
        <f>G783/$G$1004</f>
        <v/>
      </c>
      <c r="I783" s="268">
        <f>ROUND(F783*Прил.10!$D$13,2)</f>
        <v/>
      </c>
      <c r="J783" s="268">
        <f>ROUND(I783*E783,2)</f>
        <v/>
      </c>
    </row>
    <row r="784" hidden="1" outlineLevel="1" ht="14.25" customFormat="1" customHeight="1" s="255">
      <c r="A784" s="357" t="n">
        <v>756</v>
      </c>
      <c r="B784" s="265" t="inlineStr">
        <is>
          <t>20.2.01.05-0007</t>
        </is>
      </c>
      <c r="C784" s="356" t="inlineStr">
        <is>
          <t>Гильзы кабельные медные ГМ 35</t>
        </is>
      </c>
      <c r="D784" s="357" t="inlineStr">
        <is>
          <t>100 шт</t>
        </is>
      </c>
      <c r="E784" s="267" t="n">
        <v>0.365</v>
      </c>
      <c r="F784" s="359" t="n">
        <v>378</v>
      </c>
      <c r="G784" s="268">
        <f>ROUND(E784*F784,2)</f>
        <v/>
      </c>
      <c r="H784" s="269">
        <f>G784/$G$1004</f>
        <v/>
      </c>
      <c r="I784" s="268">
        <f>ROUND(F784*Прил.10!$D$13,2)</f>
        <v/>
      </c>
      <c r="J784" s="268">
        <f>ROUND(I784*E784,2)</f>
        <v/>
      </c>
    </row>
    <row r="785" hidden="1" outlineLevel="1" ht="25.5" customFormat="1" customHeight="1" s="255">
      <c r="A785" s="357" t="n">
        <v>757</v>
      </c>
      <c r="B785" s="265" t="inlineStr">
        <is>
          <t>Прайс из СД ОП</t>
        </is>
      </c>
      <c r="C785" s="356" t="inlineStr">
        <is>
          <t>Дифференциальный автомат двухполюсный OptiDin D63 1P+N</t>
        </is>
      </c>
      <c r="D785" s="357" t="inlineStr">
        <is>
          <t>шт.</t>
        </is>
      </c>
      <c r="E785" s="267" t="n">
        <v>1</v>
      </c>
      <c r="F785" s="359" t="n">
        <v>134.46</v>
      </c>
      <c r="G785" s="268">
        <f>ROUND(E785*F785,2)</f>
        <v/>
      </c>
      <c r="H785" s="269">
        <f>G785/$G$1004</f>
        <v/>
      </c>
      <c r="I785" s="268">
        <f>ROUND(F785*Прил.10!$D$13,2)</f>
        <v/>
      </c>
      <c r="J785" s="268">
        <f>ROUND(I785*E785,2)</f>
        <v/>
      </c>
    </row>
    <row r="786" hidden="1" outlineLevel="1" ht="14.25" customFormat="1" customHeight="1" s="255">
      <c r="A786" s="357" t="n">
        <v>758</v>
      </c>
      <c r="B786" s="265" t="inlineStr">
        <is>
          <t>Прайс из СД ОП</t>
        </is>
      </c>
      <c r="C786" s="356" t="inlineStr">
        <is>
          <t xml:space="preserve">Наружная решетка CG 160 </t>
        </is>
      </c>
      <c r="D786" s="357" t="inlineStr">
        <is>
          <t>шт.</t>
        </is>
      </c>
      <c r="E786" s="267" t="n">
        <v>1</v>
      </c>
      <c r="F786" s="359" t="n">
        <v>131.14</v>
      </c>
      <c r="G786" s="268">
        <f>ROUND(E786*F786,2)</f>
        <v/>
      </c>
      <c r="H786" s="269">
        <f>G786/$G$1004</f>
        <v/>
      </c>
      <c r="I786" s="268">
        <f>ROUND(F786*Прил.10!$D$13,2)</f>
        <v/>
      </c>
      <c r="J786" s="268">
        <f>ROUND(I786*E786,2)</f>
        <v/>
      </c>
    </row>
    <row r="787" hidden="1" outlineLevel="1" ht="38.25" customFormat="1" customHeight="1" s="255">
      <c r="A787" s="357" t="n">
        <v>759</v>
      </c>
      <c r="B787" s="265" t="inlineStr">
        <is>
          <t>Прайс из СД ОП</t>
        </is>
      </c>
      <c r="C787" s="356" t="inlineStr">
        <is>
          <t>Автоматический выключатель трехполюсный модульный, Iн=16А, OptiDin BM63-3C16</t>
        </is>
      </c>
      <c r="D787" s="357" t="inlineStr">
        <is>
          <t>шт.</t>
        </is>
      </c>
      <c r="E787" s="267" t="n">
        <v>2</v>
      </c>
      <c r="F787" s="359" t="n">
        <v>65.22</v>
      </c>
      <c r="G787" s="268">
        <f>ROUND(E787*F787,2)</f>
        <v/>
      </c>
      <c r="H787" s="269">
        <f>G787/$G$1004</f>
        <v/>
      </c>
      <c r="I787" s="268">
        <f>ROUND(F787*Прил.10!$D$13,2)</f>
        <v/>
      </c>
      <c r="J787" s="268">
        <f>ROUND(I787*E787,2)</f>
        <v/>
      </c>
    </row>
    <row r="788" hidden="1" outlineLevel="1" ht="25.5" customFormat="1" customHeight="1" s="255">
      <c r="A788" s="357" t="n">
        <v>760</v>
      </c>
      <c r="B788" s="265" t="inlineStr">
        <is>
          <t>Прайс из СД ОП</t>
        </is>
      </c>
      <c r="C788" s="356" t="inlineStr">
        <is>
          <t>Автоматический выключатель трехполюсный, OptiDin BM63-3С32</t>
        </is>
      </c>
      <c r="D788" s="357" t="inlineStr">
        <is>
          <t>шт.</t>
        </is>
      </c>
      <c r="E788" s="267" t="n">
        <v>2</v>
      </c>
      <c r="F788" s="359" t="n">
        <v>64.25</v>
      </c>
      <c r="G788" s="268">
        <f>ROUND(E788*F788,2)</f>
        <v/>
      </c>
      <c r="H788" s="269">
        <f>G788/$G$1004</f>
        <v/>
      </c>
      <c r="I788" s="268">
        <f>ROUND(F788*Прил.10!$D$13,2)</f>
        <v/>
      </c>
      <c r="J788" s="268">
        <f>ROUND(I788*E788,2)</f>
        <v/>
      </c>
    </row>
    <row r="789" hidden="1" outlineLevel="1" ht="76.7" customFormat="1" customHeight="1" s="255">
      <c r="A789" s="357" t="n">
        <v>761</v>
      </c>
      <c r="B789" s="265" t="inlineStr">
        <is>
          <t>05.1.07.28-0083</t>
        </is>
      </c>
      <c r="C789" s="356" t="inlineStr">
        <is>
          <t>Ступени железобетонные лестничные фризовые (ЛСВ, ЛСВ, ЛСП) и площадочные вкладыши с лицевыми бетонными поверхностями, не требующими дополнительной отделки, бетон B15, расход арматуры 25 кг/м3</t>
        </is>
      </c>
      <c r="D789" s="357" t="inlineStr">
        <is>
          <t>м3</t>
        </is>
      </c>
      <c r="E789" s="267" t="n">
        <v>0.062</v>
      </c>
      <c r="F789" s="359" t="n">
        <v>2062.25</v>
      </c>
      <c r="G789" s="268">
        <f>ROUND(E789*F789,2)</f>
        <v/>
      </c>
      <c r="H789" s="269">
        <f>G789/$G$1004</f>
        <v/>
      </c>
      <c r="I789" s="268">
        <f>ROUND(F789*Прил.10!$D$13,2)</f>
        <v/>
      </c>
      <c r="J789" s="268">
        <f>ROUND(I789*E789,2)</f>
        <v/>
      </c>
    </row>
    <row r="790" hidden="1" outlineLevel="1" ht="25.5" customFormat="1" customHeight="1" s="255">
      <c r="A790" s="357" t="n">
        <v>762</v>
      </c>
      <c r="B790" s="265" t="inlineStr">
        <is>
          <t>01.7.15.03-0032</t>
        </is>
      </c>
      <c r="C790" s="356" t="inlineStr">
        <is>
          <t>Болты с гайками и шайбами оцинкованные, диаметр 8 мм</t>
        </is>
      </c>
      <c r="D790" s="357" t="inlineStr">
        <is>
          <t>кг</t>
        </is>
      </c>
      <c r="E790" s="267" t="n">
        <v>4.732</v>
      </c>
      <c r="F790" s="359" t="n">
        <v>26.94</v>
      </c>
      <c r="G790" s="268">
        <f>ROUND(E790*F790,2)</f>
        <v/>
      </c>
      <c r="H790" s="269">
        <f>G790/$G$1004</f>
        <v/>
      </c>
      <c r="I790" s="268">
        <f>ROUND(F790*Прил.10!$D$13,2)</f>
        <v/>
      </c>
      <c r="J790" s="268">
        <f>ROUND(I790*E790,2)</f>
        <v/>
      </c>
    </row>
    <row r="791" hidden="1" outlineLevel="1" ht="38.25" customFormat="1" customHeight="1" s="255">
      <c r="A791" s="357" t="n">
        <v>763</v>
      </c>
      <c r="B791" s="265" t="inlineStr">
        <is>
          <t>Прайс из СД ОП</t>
        </is>
      </c>
      <c r="C791" s="356" t="inlineStr">
        <is>
          <t>Автоматический выключатель дифференциального тока, Iн=16А, OptiDin D63-22С16-A</t>
        </is>
      </c>
      <c r="D791" s="357" t="inlineStr">
        <is>
          <t>шт.</t>
        </is>
      </c>
      <c r="E791" s="267" t="n">
        <v>1</v>
      </c>
      <c r="F791" s="359" t="n">
        <v>125.42</v>
      </c>
      <c r="G791" s="268">
        <f>ROUND(E791*F791,2)</f>
        <v/>
      </c>
      <c r="H791" s="269">
        <f>G791/$G$1004</f>
        <v/>
      </c>
      <c r="I791" s="268">
        <f>ROUND(F791*Прил.10!$D$13,2)</f>
        <v/>
      </c>
      <c r="J791" s="268">
        <f>ROUND(I791*E791,2)</f>
        <v/>
      </c>
    </row>
    <row r="792" hidden="1" outlineLevel="1" ht="14.25" customFormat="1" customHeight="1" s="255">
      <c r="A792" s="357" t="n">
        <v>764</v>
      </c>
      <c r="B792" s="265" t="inlineStr">
        <is>
          <t>Прайс из СД ОП</t>
        </is>
      </c>
      <c r="C792" s="356" t="inlineStr">
        <is>
          <t>Клемма винтовая, 4 мм2 М4/6</t>
        </is>
      </c>
      <c r="D792" s="357" t="inlineStr">
        <is>
          <t>шт.</t>
        </is>
      </c>
      <c r="E792" s="267" t="n">
        <v>23</v>
      </c>
      <c r="F792" s="359" t="n">
        <v>5.44</v>
      </c>
      <c r="G792" s="268">
        <f>ROUND(E792*F792,2)</f>
        <v/>
      </c>
      <c r="H792" s="269">
        <f>G792/$G$1004</f>
        <v/>
      </c>
      <c r="I792" s="268">
        <f>ROUND(F792*Прил.10!$D$13,2)</f>
        <v/>
      </c>
      <c r="J792" s="268">
        <f>ROUND(I792*E792,2)</f>
        <v/>
      </c>
    </row>
    <row r="793" hidden="1" outlineLevel="1" ht="38.25" customFormat="1" customHeight="1" s="255">
      <c r="A793" s="357" t="n">
        <v>765</v>
      </c>
      <c r="B793" s="265" t="inlineStr">
        <is>
          <t>19.2.03.02-0108</t>
        </is>
      </c>
      <c r="C793" s="356" t="inlineStr">
        <is>
          <t>Решетки вентиляционные алюминиевые "АРКТОС" типа: АМР, размером 100х300 мм</t>
        </is>
      </c>
      <c r="D793" s="357" t="inlineStr">
        <is>
          <t>шт</t>
        </is>
      </c>
      <c r="E793" s="267" t="n">
        <v>1</v>
      </c>
      <c r="F793" s="359" t="n">
        <v>123.76</v>
      </c>
      <c r="G793" s="268">
        <f>ROUND(E793*F793,2)</f>
        <v/>
      </c>
      <c r="H793" s="269">
        <f>G793/$G$1004</f>
        <v/>
      </c>
      <c r="I793" s="268">
        <f>ROUND(F793*Прил.10!$D$13,2)</f>
        <v/>
      </c>
      <c r="J793" s="268">
        <f>ROUND(I793*E793,2)</f>
        <v/>
      </c>
    </row>
    <row r="794" hidden="1" outlineLevel="1" ht="38.25" customFormat="1" customHeight="1" s="255">
      <c r="A794" s="357" t="n">
        <v>766</v>
      </c>
      <c r="B794" s="265" t="inlineStr">
        <is>
          <t>19.2.03.02-0107</t>
        </is>
      </c>
      <c r="C794" s="356" t="inlineStr">
        <is>
          <t>Решетки вентиляционные алюминиевые "АРКТОС" типа: АМР, размером 100х200 мм</t>
        </is>
      </c>
      <c r="D794" s="357" t="inlineStr">
        <is>
          <t>шт</t>
        </is>
      </c>
      <c r="E794" s="267" t="n">
        <v>1</v>
      </c>
      <c r="F794" s="359" t="n">
        <v>122.4</v>
      </c>
      <c r="G794" s="268">
        <f>ROUND(E794*F794,2)</f>
        <v/>
      </c>
      <c r="H794" s="269">
        <f>G794/$G$1004</f>
        <v/>
      </c>
      <c r="I794" s="268">
        <f>ROUND(F794*Прил.10!$D$13,2)</f>
        <v/>
      </c>
      <c r="J794" s="268">
        <f>ROUND(I794*E794,2)</f>
        <v/>
      </c>
    </row>
    <row r="795" hidden="1" outlineLevel="1" ht="25.5" customFormat="1" customHeight="1" s="255">
      <c r="A795" s="357" t="n">
        <v>767</v>
      </c>
      <c r="B795" s="265" t="inlineStr">
        <is>
          <t>08.1.02.11-0023</t>
        </is>
      </c>
      <c r="C795" s="356" t="inlineStr">
        <is>
          <t>Поковки простые строительные (скобы, закрепы, хомуты), масса до 1,6 кг</t>
        </is>
      </c>
      <c r="D795" s="357" t="inlineStr">
        <is>
          <t>кг</t>
        </is>
      </c>
      <c r="E795" s="267" t="n">
        <v>8</v>
      </c>
      <c r="F795" s="359" t="n">
        <v>15.14</v>
      </c>
      <c r="G795" s="268">
        <f>ROUND(E795*F795,2)</f>
        <v/>
      </c>
      <c r="H795" s="269">
        <f>G795/$G$1004</f>
        <v/>
      </c>
      <c r="I795" s="268">
        <f>ROUND(F795*Прил.10!$D$13,2)</f>
        <v/>
      </c>
      <c r="J795" s="268">
        <f>ROUND(I795*E795,2)</f>
        <v/>
      </c>
    </row>
    <row r="796" hidden="1" outlineLevel="1" ht="25.5" customFormat="1" customHeight="1" s="255">
      <c r="A796" s="357" t="n">
        <v>768</v>
      </c>
      <c r="B796" s="265" t="inlineStr">
        <is>
          <t>18.2.06.10-0013</t>
        </is>
      </c>
      <c r="C796" s="356" t="inlineStr">
        <is>
          <t>Трапы чугунные с горизонтальным отводом, условным проходом 50 мм</t>
        </is>
      </c>
      <c r="D796" s="357" t="inlineStr">
        <is>
          <t>шт</t>
        </is>
      </c>
      <c r="E796" s="267" t="n">
        <v>1</v>
      </c>
      <c r="F796" s="359" t="n">
        <v>121.11</v>
      </c>
      <c r="G796" s="268">
        <f>ROUND(E796*F796,2)</f>
        <v/>
      </c>
      <c r="H796" s="269">
        <f>G796/$G$1004</f>
        <v/>
      </c>
      <c r="I796" s="268">
        <f>ROUND(F796*Прил.10!$D$13,2)</f>
        <v/>
      </c>
      <c r="J796" s="268">
        <f>ROUND(I796*E796,2)</f>
        <v/>
      </c>
    </row>
    <row r="797" hidden="1" outlineLevel="1" ht="25.5" customFormat="1" customHeight="1" s="255">
      <c r="A797" s="357" t="n">
        <v>769</v>
      </c>
      <c r="B797" s="265" t="inlineStr">
        <is>
          <t>01.7.19.02-0041</t>
        </is>
      </c>
      <c r="C797" s="356" t="inlineStr">
        <is>
          <t>Кольца резиновые для чугунных напорных труб диаметром 65-300 мм</t>
        </is>
      </c>
      <c r="D797" s="357" t="inlineStr">
        <is>
          <t>кг</t>
        </is>
      </c>
      <c r="E797" s="267" t="n">
        <v>4.91</v>
      </c>
      <c r="F797" s="359" t="n">
        <v>24.41</v>
      </c>
      <c r="G797" s="268">
        <f>ROUND(E797*F797,2)</f>
        <v/>
      </c>
      <c r="H797" s="269">
        <f>G797/$G$1004</f>
        <v/>
      </c>
      <c r="I797" s="268">
        <f>ROUND(F797*Прил.10!$D$13,2)</f>
        <v/>
      </c>
      <c r="J797" s="268">
        <f>ROUND(I797*E797,2)</f>
        <v/>
      </c>
    </row>
    <row r="798" hidden="1" outlineLevel="1" ht="25.5" customFormat="1" customHeight="1" s="255">
      <c r="A798" s="357" t="n">
        <v>770</v>
      </c>
      <c r="B798" s="265" t="inlineStr">
        <is>
          <t>Прайс из СД ОП</t>
        </is>
      </c>
      <c r="C798" s="356" t="inlineStr">
        <is>
          <t>Модуль свободных и сигнальных контактов</t>
        </is>
      </c>
      <c r="D798" s="357" t="inlineStr">
        <is>
          <t>шт.</t>
        </is>
      </c>
      <c r="E798" s="267" t="n">
        <v>2</v>
      </c>
      <c r="F798" s="359" t="n">
        <v>59.54</v>
      </c>
      <c r="G798" s="268">
        <f>ROUND(E798*F798,2)</f>
        <v/>
      </c>
      <c r="H798" s="269">
        <f>G798/$G$1004</f>
        <v/>
      </c>
      <c r="I798" s="268">
        <f>ROUND(F798*Прил.10!$D$13,2)</f>
        <v/>
      </c>
      <c r="J798" s="268">
        <f>ROUND(I798*E798,2)</f>
        <v/>
      </c>
    </row>
    <row r="799" hidden="1" outlineLevel="1" ht="51" customFormat="1" customHeight="1" s="255">
      <c r="A799" s="357" t="n">
        <v>771</v>
      </c>
      <c r="B799" s="265" t="inlineStr">
        <is>
          <t>12.2.08.03-0023</t>
        </is>
      </c>
      <c r="C799" s="356" t="inlineStr">
        <is>
          <t>Цилиндры и полуцилиндры теплоизоляционные из минеральной ваты на синтетическом связующем, М-200, внутренний диаметр 18-57 мм</t>
        </is>
      </c>
      <c r="D799" s="357" t="inlineStr">
        <is>
          <t>м3</t>
        </is>
      </c>
      <c r="E799" s="267" t="n">
        <v>0.0712</v>
      </c>
      <c r="F799" s="359" t="n">
        <v>1641.63</v>
      </c>
      <c r="G799" s="268">
        <f>ROUND(E799*F799,2)</f>
        <v/>
      </c>
      <c r="H799" s="269">
        <f>G799/$G$1004</f>
        <v/>
      </c>
      <c r="I799" s="268">
        <f>ROUND(F799*Прил.10!$D$13,2)</f>
        <v/>
      </c>
      <c r="J799" s="268">
        <f>ROUND(I799*E799,2)</f>
        <v/>
      </c>
    </row>
    <row r="800" hidden="1" outlineLevel="1" ht="25.5" customFormat="1" customHeight="1" s="255">
      <c r="A800" s="357" t="n">
        <v>772</v>
      </c>
      <c r="B800" s="265" t="inlineStr">
        <is>
          <t>01.7.06.01-0043</t>
        </is>
      </c>
      <c r="C800" s="356" t="inlineStr">
        <is>
          <t>Лента эластичная самоклеящаяся для профилей направляющих 70/30000 мм</t>
        </is>
      </c>
      <c r="D800" s="357" t="inlineStr">
        <is>
          <t>м</t>
        </is>
      </c>
      <c r="E800" s="267" t="n">
        <v>138.06</v>
      </c>
      <c r="F800" s="359" t="n">
        <v>0.84</v>
      </c>
      <c r="G800" s="268">
        <f>ROUND(E800*F800,2)</f>
        <v/>
      </c>
      <c r="H800" s="269">
        <f>G800/$G$1004</f>
        <v/>
      </c>
      <c r="I800" s="268">
        <f>ROUND(F800*Прил.10!$D$13,2)</f>
        <v/>
      </c>
      <c r="J800" s="268">
        <f>ROUND(I800*E800,2)</f>
        <v/>
      </c>
    </row>
    <row r="801" hidden="1" outlineLevel="1" ht="14.25" customFormat="1" customHeight="1" s="255">
      <c r="A801" s="357" t="n">
        <v>773</v>
      </c>
      <c r="B801" s="265" t="inlineStr">
        <is>
          <t>Прайс из СД ОП</t>
        </is>
      </c>
      <c r="C801" s="356" t="inlineStr">
        <is>
          <t xml:space="preserve">Решетка декоративная Р25-500х350 </t>
        </is>
      </c>
      <c r="D801" s="357" t="inlineStr">
        <is>
          <t>шт.</t>
        </is>
      </c>
      <c r="E801" s="267" t="n">
        <v>1</v>
      </c>
      <c r="F801" s="359" t="n">
        <v>115.05</v>
      </c>
      <c r="G801" s="268">
        <f>ROUND(E801*F801,2)</f>
        <v/>
      </c>
      <c r="H801" s="269">
        <f>G801/$G$1004</f>
        <v/>
      </c>
      <c r="I801" s="268">
        <f>ROUND(F801*Прил.10!$D$13,2)</f>
        <v/>
      </c>
      <c r="J801" s="268">
        <f>ROUND(I801*E801,2)</f>
        <v/>
      </c>
    </row>
    <row r="802" hidden="1" outlineLevel="1" ht="14.25" customFormat="1" customHeight="1" s="255">
      <c r="A802" s="357" t="n">
        <v>774</v>
      </c>
      <c r="B802" s="265" t="inlineStr">
        <is>
          <t>Прайс из СД ОП</t>
        </is>
      </c>
      <c r="C802" s="356" t="inlineStr">
        <is>
          <t xml:space="preserve">Решетка декоративная Р25-500х350-С </t>
        </is>
      </c>
      <c r="D802" s="357" t="inlineStr">
        <is>
          <t>шт.</t>
        </is>
      </c>
      <c r="E802" s="267" t="n">
        <v>1</v>
      </c>
      <c r="F802" s="359" t="n">
        <v>115.05</v>
      </c>
      <c r="G802" s="268">
        <f>ROUND(E802*F802,2)</f>
        <v/>
      </c>
      <c r="H802" s="269">
        <f>G802/$G$1004</f>
        <v/>
      </c>
      <c r="I802" s="268">
        <f>ROUND(F802*Прил.10!$D$13,2)</f>
        <v/>
      </c>
      <c r="J802" s="268">
        <f>ROUND(I802*E802,2)</f>
        <v/>
      </c>
    </row>
    <row r="803" hidden="1" outlineLevel="1" ht="25.5" customFormat="1" customHeight="1" s="255">
      <c r="A803" s="357" t="n">
        <v>775</v>
      </c>
      <c r="B803" s="265" t="inlineStr">
        <is>
          <t>12.2.05.11-0011</t>
        </is>
      </c>
      <c r="C803" s="356" t="inlineStr">
        <is>
          <t>Пенополиуретан эластичный трудносгораемый листовой</t>
        </is>
      </c>
      <c r="D803" s="357" t="inlineStr">
        <is>
          <t>т</t>
        </is>
      </c>
      <c r="E803" s="267" t="n">
        <v>0.00216</v>
      </c>
      <c r="F803" s="359" t="n">
        <v>53100</v>
      </c>
      <c r="G803" s="268">
        <f>ROUND(E803*F803,2)</f>
        <v/>
      </c>
      <c r="H803" s="269">
        <f>G803/$G$1004</f>
        <v/>
      </c>
      <c r="I803" s="268">
        <f>ROUND(F803*Прил.10!$D$13,2)</f>
        <v/>
      </c>
      <c r="J803" s="268">
        <f>ROUND(I803*E803,2)</f>
        <v/>
      </c>
    </row>
    <row r="804" hidden="1" outlineLevel="1" ht="38.25" customFormat="1" customHeight="1" s="255">
      <c r="A804" s="357" t="n">
        <v>776</v>
      </c>
      <c r="B804" s="265" t="inlineStr">
        <is>
          <t>04.3.02.09-0102</t>
        </is>
      </c>
      <c r="C804" s="356" t="inlineStr">
        <is>
          <t>Смеси сухие водостойкие для затирки межплиточных швов шириной 1-6 мм (различная цветовая гамма)</t>
        </is>
      </c>
      <c r="D804" s="357" t="inlineStr">
        <is>
          <t>т</t>
        </is>
      </c>
      <c r="E804" s="267" t="n">
        <v>0.0176</v>
      </c>
      <c r="F804" s="359" t="n">
        <v>6513</v>
      </c>
      <c r="G804" s="268">
        <f>ROUND(E804*F804,2)</f>
        <v/>
      </c>
      <c r="H804" s="269">
        <f>G804/$G$1004</f>
        <v/>
      </c>
      <c r="I804" s="268">
        <f>ROUND(F804*Прил.10!$D$13,2)</f>
        <v/>
      </c>
      <c r="J804" s="268">
        <f>ROUND(I804*E804,2)</f>
        <v/>
      </c>
    </row>
    <row r="805" hidden="1" outlineLevel="1" ht="14.25" customFormat="1" customHeight="1" s="255">
      <c r="A805" s="357" t="n">
        <v>777</v>
      </c>
      <c r="B805" s="265" t="inlineStr">
        <is>
          <t>20.5.04.11-0021</t>
        </is>
      </c>
      <c r="C805" s="356" t="inlineStr">
        <is>
          <t>Зажимы</t>
        </is>
      </c>
      <c r="D805" s="357" t="inlineStr">
        <is>
          <t>100 шт</t>
        </is>
      </c>
      <c r="E805" s="267" t="n">
        <v>0.064</v>
      </c>
      <c r="F805" s="359" t="n">
        <v>1776</v>
      </c>
      <c r="G805" s="268">
        <f>ROUND(E805*F805,2)</f>
        <v/>
      </c>
      <c r="H805" s="269">
        <f>G805/$G$1004</f>
        <v/>
      </c>
      <c r="I805" s="268">
        <f>ROUND(F805*Прил.10!$D$13,2)</f>
        <v/>
      </c>
      <c r="J805" s="268">
        <f>ROUND(I805*E805,2)</f>
        <v/>
      </c>
    </row>
    <row r="806" hidden="1" outlineLevel="1" ht="38.25" customFormat="1" customHeight="1" s="255">
      <c r="A806" s="357" t="n">
        <v>778</v>
      </c>
      <c r="B806" s="265" t="inlineStr">
        <is>
          <t>01.7.06.05-0042</t>
        </is>
      </c>
      <c r="C806" s="356" t="inlineStr">
        <is>
          <t>Лента липкая изоляционная на поликасиновом компаунде, ширина 20-30 мм, толщина от 0,14 до 0,19 мм</t>
        </is>
      </c>
      <c r="D806" s="357" t="inlineStr">
        <is>
          <t>кг</t>
        </is>
      </c>
      <c r="E806" s="267" t="n">
        <v>1.2402</v>
      </c>
      <c r="F806" s="359" t="n">
        <v>91.29000000000001</v>
      </c>
      <c r="G806" s="268">
        <f>ROUND(E806*F806,2)</f>
        <v/>
      </c>
      <c r="H806" s="269">
        <f>G806/$G$1004</f>
        <v/>
      </c>
      <c r="I806" s="268">
        <f>ROUND(F806*Прил.10!$D$13,2)</f>
        <v/>
      </c>
      <c r="J806" s="268">
        <f>ROUND(I806*E806,2)</f>
        <v/>
      </c>
    </row>
    <row r="807" hidden="1" outlineLevel="1" ht="25.5" customFormat="1" customHeight="1" s="255">
      <c r="A807" s="357" t="n">
        <v>779</v>
      </c>
      <c r="B807" s="265" t="inlineStr">
        <is>
          <t>Прайс из СД ОП</t>
        </is>
      </c>
      <c r="C807" s="356" t="inlineStr">
        <is>
          <t xml:space="preserve">Автоматический выключатель трехполюсный, OptiDin BM63-3С16  </t>
        </is>
      </c>
      <c r="D807" s="357" t="inlineStr">
        <is>
          <t>шт.</t>
        </is>
      </c>
      <c r="E807" s="267" t="n">
        <v>2</v>
      </c>
      <c r="F807" s="359" t="n">
        <v>56.56</v>
      </c>
      <c r="G807" s="268">
        <f>ROUND(E807*F807,2)</f>
        <v/>
      </c>
      <c r="H807" s="269">
        <f>G807/$G$1004</f>
        <v/>
      </c>
      <c r="I807" s="268">
        <f>ROUND(F807*Прил.10!$D$13,2)</f>
        <v/>
      </c>
      <c r="J807" s="268">
        <f>ROUND(I807*E807,2)</f>
        <v/>
      </c>
    </row>
    <row r="808" hidden="1" outlineLevel="1" ht="14.25" customFormat="1" customHeight="1" s="255">
      <c r="A808" s="357" t="n">
        <v>780</v>
      </c>
      <c r="B808" s="265" t="inlineStr">
        <is>
          <t>20.2.02.01-0019</t>
        </is>
      </c>
      <c r="C808" s="356" t="inlineStr">
        <is>
          <t>Втулки изолирующие</t>
        </is>
      </c>
      <c r="D808" s="357" t="inlineStr">
        <is>
          <t>1000 шт</t>
        </is>
      </c>
      <c r="E808" s="267" t="n">
        <v>0.4173</v>
      </c>
      <c r="F808" s="359" t="n">
        <v>270</v>
      </c>
      <c r="G808" s="268">
        <f>ROUND(E808*F808,2)</f>
        <v/>
      </c>
      <c r="H808" s="269">
        <f>G808/$G$1004</f>
        <v/>
      </c>
      <c r="I808" s="268">
        <f>ROUND(F808*Прил.10!$D$13,2)</f>
        <v/>
      </c>
      <c r="J808" s="268">
        <f>ROUND(I808*E808,2)</f>
        <v/>
      </c>
    </row>
    <row r="809" hidden="1" outlineLevel="1" ht="14.25" customFormat="1" customHeight="1" s="255">
      <c r="A809" s="357" t="n">
        <v>781</v>
      </c>
      <c r="B809" s="265" t="inlineStr">
        <is>
          <t>14.5.01.10-0023</t>
        </is>
      </c>
      <c r="C809" s="356" t="inlineStr">
        <is>
          <t>Пена монтажная: SOUDAL, Бельгия</t>
        </is>
      </c>
      <c r="D809" s="357" t="inlineStr">
        <is>
          <t>л</t>
        </is>
      </c>
      <c r="E809" s="267" t="n">
        <v>1.6</v>
      </c>
      <c r="F809" s="359" t="n">
        <v>69.45999999999999</v>
      </c>
      <c r="G809" s="268">
        <f>ROUND(E809*F809,2)</f>
        <v/>
      </c>
      <c r="H809" s="269">
        <f>G809/$G$1004</f>
        <v/>
      </c>
      <c r="I809" s="268">
        <f>ROUND(F809*Прил.10!$D$13,2)</f>
        <v/>
      </c>
      <c r="J809" s="268">
        <f>ROUND(I809*E809,2)</f>
        <v/>
      </c>
    </row>
    <row r="810" hidden="1" outlineLevel="1" ht="25.5" customFormat="1" customHeight="1" s="255">
      <c r="A810" s="357" t="n">
        <v>782</v>
      </c>
      <c r="B810" s="265" t="inlineStr">
        <is>
          <t>08.3.02.01-0041</t>
        </is>
      </c>
      <c r="C810" s="356" t="inlineStr">
        <is>
          <t>Лента стальная упаковочная мягкая нормальной точности 0,7х20-50 мм</t>
        </is>
      </c>
      <c r="D810" s="357" t="inlineStr">
        <is>
          <t>т</t>
        </is>
      </c>
      <c r="E810" s="267" t="n">
        <v>0.0146</v>
      </c>
      <c r="F810" s="359" t="n">
        <v>7590</v>
      </c>
      <c r="G810" s="268">
        <f>ROUND(E810*F810,2)</f>
        <v/>
      </c>
      <c r="H810" s="269">
        <f>G810/$G$1004</f>
        <v/>
      </c>
      <c r="I810" s="268">
        <f>ROUND(F810*Прил.10!$D$13,2)</f>
        <v/>
      </c>
      <c r="J810" s="268">
        <f>ROUND(I810*E810,2)</f>
        <v/>
      </c>
    </row>
    <row r="811" hidden="1" outlineLevel="1" ht="38.25" customFormat="1" customHeight="1" s="255">
      <c r="A811" s="357" t="n">
        <v>783</v>
      </c>
      <c r="B811" s="265" t="inlineStr">
        <is>
          <t>20.4.04.02-0045</t>
        </is>
      </c>
      <c r="C811" s="356" t="inlineStr">
        <is>
          <t>Щиты распределительные наружной установки ЩРН-24з, с замком, размер 395х310х120 мм</t>
        </is>
      </c>
      <c r="D811" s="357" t="inlineStr">
        <is>
          <t>шт</t>
        </is>
      </c>
      <c r="E811" s="267" t="n">
        <v>1</v>
      </c>
      <c r="F811" s="359" t="n">
        <v>109.23</v>
      </c>
      <c r="G811" s="268">
        <f>ROUND(E811*F811,2)</f>
        <v/>
      </c>
      <c r="H811" s="269">
        <f>G811/$G$1004</f>
        <v/>
      </c>
      <c r="I811" s="268">
        <f>ROUND(F811*Прил.10!$D$13,2)</f>
        <v/>
      </c>
      <c r="J811" s="268">
        <f>ROUND(I811*E811,2)</f>
        <v/>
      </c>
    </row>
    <row r="812" hidden="1" outlineLevel="1" ht="38.25" customFormat="1" customHeight="1" s="255">
      <c r="A812" s="357" t="n">
        <v>784</v>
      </c>
      <c r="B812" s="265" t="inlineStr">
        <is>
          <t>Прайс из СД ОП</t>
        </is>
      </c>
      <c r="C812" s="356" t="inlineStr">
        <is>
          <t>Переключатель одноклавишный наружной установки, 10 А, IP20 Этюд, арт. ВА10-004В</t>
        </is>
      </c>
      <c r="D812" s="357" t="inlineStr">
        <is>
          <t>шт.</t>
        </is>
      </c>
      <c r="E812" s="267" t="n">
        <v>8</v>
      </c>
      <c r="F812" s="359" t="n">
        <v>13.57</v>
      </c>
      <c r="G812" s="268">
        <f>ROUND(E812*F812,2)</f>
        <v/>
      </c>
      <c r="H812" s="269">
        <f>G812/$G$1004</f>
        <v/>
      </c>
      <c r="I812" s="268">
        <f>ROUND(F812*Прил.10!$D$13,2)</f>
        <v/>
      </c>
      <c r="J812" s="268">
        <f>ROUND(I812*E812,2)</f>
        <v/>
      </c>
    </row>
    <row r="813" hidden="1" outlineLevel="1" ht="14.25" customFormat="1" customHeight="1" s="255">
      <c r="A813" s="357" t="n">
        <v>785</v>
      </c>
      <c r="B813" s="265" t="inlineStr">
        <is>
          <t>08.1.02.25-0031</t>
        </is>
      </c>
      <c r="C813" s="356" t="inlineStr">
        <is>
          <t>Ерш металлический строительный</t>
        </is>
      </c>
      <c r="D813" s="357" t="inlineStr">
        <is>
          <t>кг</t>
        </is>
      </c>
      <c r="E813" s="267" t="n">
        <v>10.5</v>
      </c>
      <c r="F813" s="359" t="n">
        <v>10.26</v>
      </c>
      <c r="G813" s="268">
        <f>ROUND(E813*F813,2)</f>
        <v/>
      </c>
      <c r="H813" s="269">
        <f>G813/$G$1004</f>
        <v/>
      </c>
      <c r="I813" s="268">
        <f>ROUND(F813*Прил.10!$D$13,2)</f>
        <v/>
      </c>
      <c r="J813" s="268">
        <f>ROUND(I813*E813,2)</f>
        <v/>
      </c>
    </row>
    <row r="814" hidden="1" outlineLevel="1" ht="63.75" customFormat="1" customHeight="1" s="255">
      <c r="A814" s="357" t="n">
        <v>786</v>
      </c>
      <c r="B814" s="265" t="inlineStr">
        <is>
          <t>01.7.15.14-0044</t>
        </is>
      </c>
      <c r="C814" s="356" t="inlineStr">
        <is>
          <t>Шурупы самонарезающий прокалывающий, для крепления гипсокартонных листов (ГКЛ, ГКЛВ, ГКЛВО) к каркасу из металлических профилей 3,5/25 мм</t>
        </is>
      </c>
      <c r="D814" s="357" t="inlineStr">
        <is>
          <t>100 шт</t>
        </is>
      </c>
      <c r="E814" s="267" t="n">
        <v>52.85</v>
      </c>
      <c r="F814" s="359" t="n">
        <v>2</v>
      </c>
      <c r="G814" s="268">
        <f>ROUND(E814*F814,2)</f>
        <v/>
      </c>
      <c r="H814" s="269">
        <f>G814/$G$1004</f>
        <v/>
      </c>
      <c r="I814" s="268">
        <f>ROUND(F814*Прил.10!$D$13,2)</f>
        <v/>
      </c>
      <c r="J814" s="268">
        <f>ROUND(I814*E814,2)</f>
        <v/>
      </c>
    </row>
    <row r="815" hidden="1" outlineLevel="1" ht="14.25" customFormat="1" customHeight="1" s="255">
      <c r="A815" s="357" t="n">
        <v>787</v>
      </c>
      <c r="B815" s="265" t="inlineStr">
        <is>
          <t>Прайс из СД ОП</t>
        </is>
      </c>
      <c r="C815" s="356" t="inlineStr">
        <is>
          <t>Решетка декоративная Р25-250х200-С</t>
        </is>
      </c>
      <c r="D815" s="357" t="inlineStr">
        <is>
          <t>шт.</t>
        </is>
      </c>
      <c r="E815" s="267" t="n">
        <v>2</v>
      </c>
      <c r="F815" s="359" t="n">
        <v>52.32</v>
      </c>
      <c r="G815" s="268">
        <f>ROUND(E815*F815,2)</f>
        <v/>
      </c>
      <c r="H815" s="269">
        <f>G815/$G$1004</f>
        <v/>
      </c>
      <c r="I815" s="268">
        <f>ROUND(F815*Прил.10!$D$13,2)</f>
        <v/>
      </c>
      <c r="J815" s="268">
        <f>ROUND(I815*E815,2)</f>
        <v/>
      </c>
    </row>
    <row r="816" hidden="1" outlineLevel="1" ht="14.25" customFormat="1" customHeight="1" s="255">
      <c r="A816" s="357" t="n">
        <v>788</v>
      </c>
      <c r="B816" s="265" t="inlineStr">
        <is>
          <t>Прайс из СД ОП</t>
        </is>
      </c>
      <c r="C816" s="356" t="inlineStr">
        <is>
          <t xml:space="preserve">Решетка декоративная Р25-250х200-С </t>
        </is>
      </c>
      <c r="D816" s="357" t="inlineStr">
        <is>
          <t>шт.</t>
        </is>
      </c>
      <c r="E816" s="267" t="n">
        <v>2</v>
      </c>
      <c r="F816" s="359" t="n">
        <v>52.32</v>
      </c>
      <c r="G816" s="268">
        <f>ROUND(E816*F816,2)</f>
        <v/>
      </c>
      <c r="H816" s="269">
        <f>G816/$G$1004</f>
        <v/>
      </c>
      <c r="I816" s="268">
        <f>ROUND(F816*Прил.10!$D$13,2)</f>
        <v/>
      </c>
      <c r="J816" s="268">
        <f>ROUND(I816*E816,2)</f>
        <v/>
      </c>
    </row>
    <row r="817" hidden="1" outlineLevel="1" ht="25.5" customFormat="1" customHeight="1" s="255">
      <c r="A817" s="357" t="n">
        <v>789</v>
      </c>
      <c r="B817" s="265" t="inlineStr">
        <is>
          <t>01.7.06.01-0041</t>
        </is>
      </c>
      <c r="C817" s="356" t="inlineStr">
        <is>
          <t>Лента эластичная самоклеящаяся для профилей направляющих 30/30000 мм</t>
        </is>
      </c>
      <c r="D817" s="357" t="inlineStr">
        <is>
          <t>м</t>
        </is>
      </c>
      <c r="E817" s="267" t="n">
        <v>277.28</v>
      </c>
      <c r="F817" s="359" t="n">
        <v>0.37</v>
      </c>
      <c r="G817" s="268">
        <f>ROUND(E817*F817,2)</f>
        <v/>
      </c>
      <c r="H817" s="269">
        <f>G817/$G$1004</f>
        <v/>
      </c>
      <c r="I817" s="268">
        <f>ROUND(F817*Прил.10!$D$13,2)</f>
        <v/>
      </c>
      <c r="J817" s="268">
        <f>ROUND(I817*E817,2)</f>
        <v/>
      </c>
    </row>
    <row r="818" hidden="1" outlineLevel="1" ht="38.25" customFormat="1" customHeight="1" s="255">
      <c r="A818" s="357" t="n">
        <v>790</v>
      </c>
      <c r="B818" s="265" t="inlineStr">
        <is>
          <t>19.1.01.01-0022</t>
        </is>
      </c>
      <c r="C818" s="356" t="inlineStr">
        <is>
          <t>Воздуховоды типа: ALUDUCT (POLAR BEAR) неизолированные гибкие диаметром 160 мм</t>
        </is>
      </c>
      <c r="D818" s="357" t="inlineStr">
        <is>
          <t>м2</t>
        </is>
      </c>
      <c r="E818" s="267" t="n">
        <v>1.5072</v>
      </c>
      <c r="F818" s="359" t="n">
        <v>67.95</v>
      </c>
      <c r="G818" s="268">
        <f>ROUND(E818*F818,2)</f>
        <v/>
      </c>
      <c r="H818" s="269">
        <f>G818/$G$1004</f>
        <v/>
      </c>
      <c r="I818" s="268">
        <f>ROUND(F818*Прил.10!$D$13,2)</f>
        <v/>
      </c>
      <c r="J818" s="268">
        <f>ROUND(I818*E818,2)</f>
        <v/>
      </c>
    </row>
    <row r="819" hidden="1" outlineLevel="1" ht="25.5" customFormat="1" customHeight="1" s="255">
      <c r="A819" s="357" t="n">
        <v>791</v>
      </c>
      <c r="B819" s="265" t="inlineStr">
        <is>
          <t>Прайс из СД ОП</t>
        </is>
      </c>
      <c r="C819" s="356" t="inlineStr">
        <is>
          <t xml:space="preserve">Коробка распределительная на 4 ввода, 60х40 мм круглая, IP55, Tyco 60х40 </t>
        </is>
      </c>
      <c r="D819" s="357" t="inlineStr">
        <is>
          <t>шт.</t>
        </is>
      </c>
      <c r="E819" s="267" t="n">
        <v>35</v>
      </c>
      <c r="F819" s="359" t="n">
        <v>2.89</v>
      </c>
      <c r="G819" s="268">
        <f>ROUND(E819*F819,2)</f>
        <v/>
      </c>
      <c r="H819" s="269">
        <f>G819/$G$1004</f>
        <v/>
      </c>
      <c r="I819" s="268">
        <f>ROUND(F819*Прил.10!$D$13,2)</f>
        <v/>
      </c>
      <c r="J819" s="268">
        <f>ROUND(I819*E819,2)</f>
        <v/>
      </c>
    </row>
    <row r="820" hidden="1" outlineLevel="1" ht="38.25" customFormat="1" customHeight="1" s="255">
      <c r="A820" s="357" t="n">
        <v>792</v>
      </c>
      <c r="B820" s="265" t="inlineStr">
        <is>
          <t>19.2.03.02-0095</t>
        </is>
      </c>
      <c r="C820" s="356" t="inlineStr">
        <is>
          <t>Решетки вентиляционные алюминиевые "АРКТОС" типа: АМН, размером 300х100 мм</t>
        </is>
      </c>
      <c r="D820" s="357" t="inlineStr">
        <is>
          <t>шт</t>
        </is>
      </c>
      <c r="E820" s="267" t="n">
        <v>1</v>
      </c>
      <c r="F820" s="359" t="n">
        <v>100.94</v>
      </c>
      <c r="G820" s="268">
        <f>ROUND(E820*F820,2)</f>
        <v/>
      </c>
      <c r="H820" s="269">
        <f>G820/$G$1004</f>
        <v/>
      </c>
      <c r="I820" s="268">
        <f>ROUND(F820*Прил.10!$D$13,2)</f>
        <v/>
      </c>
      <c r="J820" s="268">
        <f>ROUND(I820*E820,2)</f>
        <v/>
      </c>
    </row>
    <row r="821" hidden="1" outlineLevel="1" ht="38.25" customFormat="1" customHeight="1" s="255">
      <c r="A821" s="357" t="n">
        <v>793</v>
      </c>
      <c r="B821" s="265" t="inlineStr">
        <is>
          <t>19.2.03.02-0133</t>
        </is>
      </c>
      <c r="C821" s="356" t="inlineStr">
        <is>
          <t>Решетки вентиляционные алюминиевые "АРКТОС" типа: АРН размером 200х200 мм</t>
        </is>
      </c>
      <c r="D821" s="357" t="inlineStr">
        <is>
          <t>шт</t>
        </is>
      </c>
      <c r="E821" s="267" t="n">
        <v>1</v>
      </c>
      <c r="F821" s="359" t="n">
        <v>100.23</v>
      </c>
      <c r="G821" s="268">
        <f>ROUND(E821*F821,2)</f>
        <v/>
      </c>
      <c r="H821" s="269">
        <f>G821/$G$1004</f>
        <v/>
      </c>
      <c r="I821" s="268">
        <f>ROUND(F821*Прил.10!$D$13,2)</f>
        <v/>
      </c>
      <c r="J821" s="268">
        <f>ROUND(I821*E821,2)</f>
        <v/>
      </c>
    </row>
    <row r="822" hidden="1" outlineLevel="1" ht="25.5" customFormat="1" customHeight="1" s="255">
      <c r="A822" s="357" t="n">
        <v>794</v>
      </c>
      <c r="B822" s="265" t="inlineStr">
        <is>
          <t>Прайс из СД ОП</t>
        </is>
      </c>
      <c r="C822" s="356" t="inlineStr">
        <is>
          <t>Лампа переносная, 12 В, УХЛ2 РВО 12 УХЛ2</t>
        </is>
      </c>
      <c r="D822" s="357" t="inlineStr">
        <is>
          <t>шт.</t>
        </is>
      </c>
      <c r="E822" s="267" t="n">
        <v>2</v>
      </c>
      <c r="F822" s="359" t="n">
        <v>50.07</v>
      </c>
      <c r="G822" s="268">
        <f>ROUND(E822*F822,2)</f>
        <v/>
      </c>
      <c r="H822" s="269">
        <f>G822/$G$1004</f>
        <v/>
      </c>
      <c r="I822" s="268">
        <f>ROUND(F822*Прил.10!$D$13,2)</f>
        <v/>
      </c>
      <c r="J822" s="268">
        <f>ROUND(I822*E822,2)</f>
        <v/>
      </c>
    </row>
    <row r="823" hidden="1" outlineLevel="1" ht="25.5" customFormat="1" customHeight="1" s="255">
      <c r="A823" s="357" t="n">
        <v>795</v>
      </c>
      <c r="B823" s="265" t="inlineStr">
        <is>
          <t>01.7.15.07-0005</t>
        </is>
      </c>
      <c r="C823" s="356" t="inlineStr">
        <is>
          <t>Дюбели монтажные, размер 10х130 (10х132, 10х150) мм</t>
        </is>
      </c>
      <c r="D823" s="357" t="inlineStr">
        <is>
          <t>10 шт</t>
        </is>
      </c>
      <c r="E823" s="267" t="n">
        <v>14.092</v>
      </c>
      <c r="F823" s="359" t="n">
        <v>7.03</v>
      </c>
      <c r="G823" s="268">
        <f>ROUND(E823*F823,2)</f>
        <v/>
      </c>
      <c r="H823" s="269">
        <f>G823/$G$1004</f>
        <v/>
      </c>
      <c r="I823" s="268">
        <f>ROUND(F823*Прил.10!$D$13,2)</f>
        <v/>
      </c>
      <c r="J823" s="268">
        <f>ROUND(I823*E823,2)</f>
        <v/>
      </c>
    </row>
    <row r="824" hidden="1" outlineLevel="1" ht="38.25" customFormat="1" customHeight="1" s="255">
      <c r="A824" s="357" t="n">
        <v>796</v>
      </c>
      <c r="B824" s="265" t="inlineStr">
        <is>
          <t>01.7.15.03-0014</t>
        </is>
      </c>
      <c r="C824" s="356" t="inlineStr">
        <is>
          <t>Болты с гайками и шайбами для санитарно-технических работ, диаметр 16 мм</t>
        </is>
      </c>
      <c r="D824" s="357" t="inlineStr">
        <is>
          <t>т</t>
        </is>
      </c>
      <c r="E824" s="267" t="n">
        <v>0.0066</v>
      </c>
      <c r="F824" s="359" t="n">
        <v>14830</v>
      </c>
      <c r="G824" s="268">
        <f>ROUND(E824*F824,2)</f>
        <v/>
      </c>
      <c r="H824" s="269">
        <f>G824/$G$1004</f>
        <v/>
      </c>
      <c r="I824" s="268">
        <f>ROUND(F824*Прил.10!$D$13,2)</f>
        <v/>
      </c>
      <c r="J824" s="268">
        <f>ROUND(I824*E824,2)</f>
        <v/>
      </c>
    </row>
    <row r="825" hidden="1" outlineLevel="1" ht="25.5" customFormat="1" customHeight="1" s="255">
      <c r="A825" s="357" t="n">
        <v>797</v>
      </c>
      <c r="B825" s="265" t="inlineStr">
        <is>
          <t>04.3.01.09-0012</t>
        </is>
      </c>
      <c r="C825" s="356" t="inlineStr">
        <is>
          <t>Раствор готовый кладочный, цементный, М50</t>
        </is>
      </c>
      <c r="D825" s="357" t="inlineStr">
        <is>
          <t>м3</t>
        </is>
      </c>
      <c r="E825" s="267" t="n">
        <v>0.2013</v>
      </c>
      <c r="F825" s="359" t="n">
        <v>485.9</v>
      </c>
      <c r="G825" s="268">
        <f>ROUND(E825*F825,2)</f>
        <v/>
      </c>
      <c r="H825" s="269">
        <f>G825/$G$1004</f>
        <v/>
      </c>
      <c r="I825" s="268">
        <f>ROUND(F825*Прил.10!$D$13,2)</f>
        <v/>
      </c>
      <c r="J825" s="268">
        <f>ROUND(I825*E825,2)</f>
        <v/>
      </c>
    </row>
    <row r="826" hidden="1" outlineLevel="1" ht="14.25" customFormat="1" customHeight="1" s="255">
      <c r="A826" s="357" t="n">
        <v>798</v>
      </c>
      <c r="B826" s="265" t="inlineStr">
        <is>
          <t>14.1.02.01-0002</t>
        </is>
      </c>
      <c r="C826" s="356" t="inlineStr">
        <is>
          <t>Клей БМК-5к</t>
        </is>
      </c>
      <c r="D826" s="357" t="inlineStr">
        <is>
          <t>кг</t>
        </is>
      </c>
      <c r="E826" s="267" t="n">
        <v>3.691</v>
      </c>
      <c r="F826" s="359" t="n">
        <v>25.8</v>
      </c>
      <c r="G826" s="268">
        <f>ROUND(E826*F826,2)</f>
        <v/>
      </c>
      <c r="H826" s="269">
        <f>G826/$G$1004</f>
        <v/>
      </c>
      <c r="I826" s="268">
        <f>ROUND(F826*Прил.10!$D$13,2)</f>
        <v/>
      </c>
      <c r="J826" s="268">
        <f>ROUND(I826*E826,2)</f>
        <v/>
      </c>
    </row>
    <row r="827" hidden="1" outlineLevel="1" ht="14.25" customFormat="1" customHeight="1" s="255">
      <c r="A827" s="357" t="n">
        <v>799</v>
      </c>
      <c r="B827" s="265" t="inlineStr">
        <is>
          <t>Прайс из СД ОП</t>
        </is>
      </c>
      <c r="C827" s="356" t="inlineStr">
        <is>
          <t xml:space="preserve">Защитная решетка BCV 100 </t>
        </is>
      </c>
      <c r="D827" s="357" t="inlineStr">
        <is>
          <t>шт.</t>
        </is>
      </c>
      <c r="E827" s="267" t="n">
        <v>1</v>
      </c>
      <c r="F827" s="359" t="n">
        <v>94.69</v>
      </c>
      <c r="G827" s="268">
        <f>ROUND(E827*F827,2)</f>
        <v/>
      </c>
      <c r="H827" s="269">
        <f>G827/$G$1004</f>
        <v/>
      </c>
      <c r="I827" s="268">
        <f>ROUND(F827*Прил.10!$D$13,2)</f>
        <v/>
      </c>
      <c r="J827" s="268">
        <f>ROUND(I827*E827,2)</f>
        <v/>
      </c>
    </row>
    <row r="828" hidden="1" outlineLevel="1" ht="14.25" customFormat="1" customHeight="1" s="255">
      <c r="A828" s="357" t="n">
        <v>800</v>
      </c>
      <c r="B828" s="265" t="inlineStr">
        <is>
          <t>Прайс из СД ОП</t>
        </is>
      </c>
      <c r="C828" s="356" t="inlineStr">
        <is>
          <t xml:space="preserve">Решетка декоративная Р25-500х250-С </t>
        </is>
      </c>
      <c r="D828" s="357" t="inlineStr">
        <is>
          <t>шт.</t>
        </is>
      </c>
      <c r="E828" s="267" t="n">
        <v>1</v>
      </c>
      <c r="F828" s="359" t="n">
        <v>92.08</v>
      </c>
      <c r="G828" s="268">
        <f>ROUND(E828*F828,2)</f>
        <v/>
      </c>
      <c r="H828" s="269">
        <f>G828/$G$1004</f>
        <v/>
      </c>
      <c r="I828" s="268">
        <f>ROUND(F828*Прил.10!$D$13,2)</f>
        <v/>
      </c>
      <c r="J828" s="268">
        <f>ROUND(I828*E828,2)</f>
        <v/>
      </c>
    </row>
    <row r="829" hidden="1" outlineLevel="1" ht="25.5" customFormat="1" customHeight="1" s="255">
      <c r="A829" s="357" t="n">
        <v>801</v>
      </c>
      <c r="B829" s="265" t="inlineStr">
        <is>
          <t>04.3.01.09-0016</t>
        </is>
      </c>
      <c r="C829" s="356" t="inlineStr">
        <is>
          <t>Раствор готовый кладочный, цементный, М200</t>
        </is>
      </c>
      <c r="D829" s="357" t="inlineStr">
        <is>
          <t>м3</t>
        </is>
      </c>
      <c r="E829" s="267" t="n">
        <v>0.1508</v>
      </c>
      <c r="F829" s="359" t="n">
        <v>600</v>
      </c>
      <c r="G829" s="268">
        <f>ROUND(E829*F829,2)</f>
        <v/>
      </c>
      <c r="H829" s="269">
        <f>G829/$G$1004</f>
        <v/>
      </c>
      <c r="I829" s="268">
        <f>ROUND(F829*Прил.10!$D$13,2)</f>
        <v/>
      </c>
      <c r="J829" s="268">
        <f>ROUND(I829*E829,2)</f>
        <v/>
      </c>
    </row>
    <row r="830" hidden="1" outlineLevel="1" ht="38.25" customFormat="1" customHeight="1" s="255">
      <c r="A830" s="357" t="n">
        <v>802</v>
      </c>
      <c r="B830" s="265" t="inlineStr">
        <is>
          <t>11.1.03.05-0066</t>
        </is>
      </c>
      <c r="C830" s="356" t="inlineStr">
        <is>
          <t>Доска необрезная, хвойных пород, длина 2-3,75 м, все ширины, толщина 32-40 мм, сорт IV</t>
        </is>
      </c>
      <c r="D830" s="357" t="inlineStr">
        <is>
          <t>м3</t>
        </is>
      </c>
      <c r="E830" s="267" t="n">
        <v>0.1496</v>
      </c>
      <c r="F830" s="359" t="n">
        <v>602</v>
      </c>
      <c r="G830" s="268">
        <f>ROUND(E830*F830,2)</f>
        <v/>
      </c>
      <c r="H830" s="269">
        <f>G830/$G$1004</f>
        <v/>
      </c>
      <c r="I830" s="268">
        <f>ROUND(F830*Прил.10!$D$13,2)</f>
        <v/>
      </c>
      <c r="J830" s="268">
        <f>ROUND(I830*E830,2)</f>
        <v/>
      </c>
    </row>
    <row r="831" hidden="1" outlineLevel="1" ht="51" customFormat="1" customHeight="1" s="255">
      <c r="A831" s="357" t="n">
        <v>803</v>
      </c>
      <c r="B831" s="265" t="inlineStr">
        <is>
          <t>18.1.09.06-0024</t>
        </is>
      </c>
      <c r="C831" s="356" t="inlineStr">
        <is>
          <t>Кран шаровой 11Б27п1, номинальное давление 1,0 МПа (10 кгс/см2), номинальный диаметр 32 мм, присоединение к трубопроводу муфтовое</t>
        </is>
      </c>
      <c r="D831" s="357" t="inlineStr">
        <is>
          <t>шт</t>
        </is>
      </c>
      <c r="E831" s="267" t="n">
        <v>1</v>
      </c>
      <c r="F831" s="359" t="n">
        <v>87.19</v>
      </c>
      <c r="G831" s="268">
        <f>ROUND(E831*F831,2)</f>
        <v/>
      </c>
      <c r="H831" s="269">
        <f>G831/$G$1004</f>
        <v/>
      </c>
      <c r="I831" s="268">
        <f>ROUND(F831*Прил.10!$D$13,2)</f>
        <v/>
      </c>
      <c r="J831" s="268">
        <f>ROUND(I831*E831,2)</f>
        <v/>
      </c>
    </row>
    <row r="832" hidden="1" outlineLevel="1" ht="14.25" customFormat="1" customHeight="1" s="255">
      <c r="A832" s="357" t="n">
        <v>804</v>
      </c>
      <c r="B832" s="265" t="inlineStr">
        <is>
          <t>01.7.07.29-0241</t>
        </is>
      </c>
      <c r="C832" s="356" t="inlineStr">
        <is>
          <t>Хомутик</t>
        </is>
      </c>
      <c r="D832" s="357" t="inlineStr">
        <is>
          <t>10 шт</t>
        </is>
      </c>
      <c r="E832" s="267" t="n">
        <v>1.188</v>
      </c>
      <c r="F832" s="359" t="n">
        <v>72</v>
      </c>
      <c r="G832" s="268">
        <f>ROUND(E832*F832,2)</f>
        <v/>
      </c>
      <c r="H832" s="269">
        <f>G832/$G$1004</f>
        <v/>
      </c>
      <c r="I832" s="268">
        <f>ROUND(F832*Прил.10!$D$13,2)</f>
        <v/>
      </c>
      <c r="J832" s="268">
        <f>ROUND(I832*E832,2)</f>
        <v/>
      </c>
    </row>
    <row r="833" hidden="1" outlineLevel="1" ht="25.5" customFormat="1" customHeight="1" s="255">
      <c r="A833" s="357" t="n">
        <v>805</v>
      </c>
      <c r="B833" s="265" t="inlineStr">
        <is>
          <t>Прайс из СД ОП</t>
        </is>
      </c>
      <c r="C833" s="356" t="inlineStr">
        <is>
          <t>Автоматический выключатель трехполюсный, OptiDin BM63-3С6</t>
        </is>
      </c>
      <c r="D833" s="357" t="inlineStr">
        <is>
          <t>шт.</t>
        </is>
      </c>
      <c r="E833" s="267" t="n">
        <v>1</v>
      </c>
      <c r="F833" s="359" t="n">
        <v>82.81999999999999</v>
      </c>
      <c r="G833" s="268">
        <f>ROUND(E833*F833,2)</f>
        <v/>
      </c>
      <c r="H833" s="269">
        <f>G833/$G$1004</f>
        <v/>
      </c>
      <c r="I833" s="268">
        <f>ROUND(F833*Прил.10!$D$13,2)</f>
        <v/>
      </c>
      <c r="J833" s="268">
        <f>ROUND(I833*E833,2)</f>
        <v/>
      </c>
    </row>
    <row r="834" hidden="1" outlineLevel="1" ht="38.25" customFormat="1" customHeight="1" s="255">
      <c r="A834" s="357" t="n">
        <v>806</v>
      </c>
      <c r="B834" s="265" t="inlineStr">
        <is>
          <t>25.1.05.01-0013</t>
        </is>
      </c>
      <c r="C834" s="356" t="inlineStr">
        <is>
          <t>Накладки двухголовые для стыковых соединений рельсов Р-75, Р-65, Р-50, Р-43</t>
        </is>
      </c>
      <c r="D834" s="357" t="inlineStr">
        <is>
          <t>т</t>
        </is>
      </c>
      <c r="E834" s="267" t="n">
        <v>0.0166</v>
      </c>
      <c r="F834" s="359" t="n">
        <v>4911.8</v>
      </c>
      <c r="G834" s="268">
        <f>ROUND(E834*F834,2)</f>
        <v/>
      </c>
      <c r="H834" s="269">
        <f>G834/$G$1004</f>
        <v/>
      </c>
      <c r="I834" s="268">
        <f>ROUND(F834*Прил.10!$D$13,2)</f>
        <v/>
      </c>
      <c r="J834" s="268">
        <f>ROUND(I834*E834,2)</f>
        <v/>
      </c>
    </row>
    <row r="835" hidden="1" outlineLevel="1" ht="14.25" customFormat="1" customHeight="1" s="255">
      <c r="A835" s="357" t="n">
        <v>807</v>
      </c>
      <c r="B835" s="265" t="inlineStr">
        <is>
          <t>14.5.01.07-1000</t>
        </is>
      </c>
      <c r="C835" s="356" t="inlineStr">
        <is>
          <t>Герметик клей силиконовый</t>
        </is>
      </c>
      <c r="D835" s="357" t="inlineStr">
        <is>
          <t>л</t>
        </is>
      </c>
      <c r="E835" s="267" t="n">
        <v>0.62</v>
      </c>
      <c r="F835" s="359" t="n">
        <v>131.35</v>
      </c>
      <c r="G835" s="268">
        <f>ROUND(E835*F835,2)</f>
        <v/>
      </c>
      <c r="H835" s="269">
        <f>G835/$G$1004</f>
        <v/>
      </c>
      <c r="I835" s="268">
        <f>ROUND(F835*Прил.10!$D$13,2)</f>
        <v/>
      </c>
      <c r="J835" s="268">
        <f>ROUND(I835*E835,2)</f>
        <v/>
      </c>
    </row>
    <row r="836" hidden="1" outlineLevel="1" ht="38.25" customFormat="1" customHeight="1" s="255">
      <c r="A836" s="357" t="n">
        <v>808</v>
      </c>
      <c r="B836" s="265" t="inlineStr">
        <is>
          <t>Прайс из СД ОП</t>
        </is>
      </c>
      <c r="C836" s="356" t="inlineStr">
        <is>
          <t>Автоматический выключатель однополюсный модульный, Iн=10А, OptiDin BM63-1C10</t>
        </is>
      </c>
      <c r="D836" s="357" t="inlineStr">
        <is>
          <t>шт.</t>
        </is>
      </c>
      <c r="E836" s="267" t="n">
        <v>4</v>
      </c>
      <c r="F836" s="359" t="n">
        <v>20.12</v>
      </c>
      <c r="G836" s="268">
        <f>ROUND(E836*F836,2)</f>
        <v/>
      </c>
      <c r="H836" s="269">
        <f>G836/$G$1004</f>
        <v/>
      </c>
      <c r="I836" s="268">
        <f>ROUND(F836*Прил.10!$D$13,2)</f>
        <v/>
      </c>
      <c r="J836" s="268">
        <f>ROUND(I836*E836,2)</f>
        <v/>
      </c>
    </row>
    <row r="837" hidden="1" outlineLevel="1" ht="25.5" customFormat="1" customHeight="1" s="255">
      <c r="A837" s="357" t="n">
        <v>809</v>
      </c>
      <c r="B837" s="265" t="inlineStr">
        <is>
          <t>19.1.05.04-0003</t>
        </is>
      </c>
      <c r="C837" s="356" t="inlineStr">
        <is>
          <t>Диффузоры потолочные пластиковые веерные, диаметр 160 мм</t>
        </is>
      </c>
      <c r="D837" s="357" t="inlineStr">
        <is>
          <t>шт</t>
        </is>
      </c>
      <c r="E837" s="267" t="n">
        <v>2</v>
      </c>
      <c r="F837" s="359" t="n">
        <v>40.01</v>
      </c>
      <c r="G837" s="268">
        <f>ROUND(E837*F837,2)</f>
        <v/>
      </c>
      <c r="H837" s="269">
        <f>G837/$G$1004</f>
        <v/>
      </c>
      <c r="I837" s="268">
        <f>ROUND(F837*Прил.10!$D$13,2)</f>
        <v/>
      </c>
      <c r="J837" s="268">
        <f>ROUND(I837*E837,2)</f>
        <v/>
      </c>
    </row>
    <row r="838" hidden="1" outlineLevel="1" ht="25.5" customFormat="1" customHeight="1" s="255">
      <c r="A838" s="357" t="n">
        <v>810</v>
      </c>
      <c r="B838" s="265" t="inlineStr">
        <is>
          <t>Прайс из СД ОП</t>
        </is>
      </c>
      <c r="C838" s="356" t="inlineStr">
        <is>
          <t>Коробка распределительная для скрытого монтажа, 80х45 мм ГСК СП, арт.10174</t>
        </is>
      </c>
      <c r="D838" s="357" t="inlineStr">
        <is>
          <t>шт.</t>
        </is>
      </c>
      <c r="E838" s="267" t="n">
        <v>36</v>
      </c>
      <c r="F838" s="359" t="n">
        <v>2.19</v>
      </c>
      <c r="G838" s="268">
        <f>ROUND(E838*F838,2)</f>
        <v/>
      </c>
      <c r="H838" s="269">
        <f>G838/$G$1004</f>
        <v/>
      </c>
      <c r="I838" s="268">
        <f>ROUND(F838*Прил.10!$D$13,2)</f>
        <v/>
      </c>
      <c r="J838" s="268">
        <f>ROUND(I838*E838,2)</f>
        <v/>
      </c>
    </row>
    <row r="839" hidden="1" outlineLevel="1" ht="14.25" customFormat="1" customHeight="1" s="255">
      <c r="A839" s="357" t="n">
        <v>811</v>
      </c>
      <c r="B839" s="265" t="inlineStr">
        <is>
          <t>Прайс из СД ОП</t>
        </is>
      </c>
      <c r="C839" s="356" t="inlineStr">
        <is>
          <t xml:space="preserve">Наружная решетка CG 125 </t>
        </is>
      </c>
      <c r="D839" s="357" t="inlineStr">
        <is>
          <t>шт.</t>
        </is>
      </c>
      <c r="E839" s="267" t="n">
        <v>1</v>
      </c>
      <c r="F839" s="359" t="n">
        <v>78.70999999999999</v>
      </c>
      <c r="G839" s="268">
        <f>ROUND(E839*F839,2)</f>
        <v/>
      </c>
      <c r="H839" s="269">
        <f>G839/$G$1004</f>
        <v/>
      </c>
      <c r="I839" s="268">
        <f>ROUND(F839*Прил.10!$D$13,2)</f>
        <v/>
      </c>
      <c r="J839" s="268">
        <f>ROUND(I839*E839,2)</f>
        <v/>
      </c>
    </row>
    <row r="840" hidden="1" outlineLevel="1" ht="14.25" customFormat="1" customHeight="1" s="255">
      <c r="A840" s="357" t="n">
        <v>812</v>
      </c>
      <c r="B840" s="265" t="inlineStr">
        <is>
          <t>Прайс из СД ОП</t>
        </is>
      </c>
      <c r="C840" s="356" t="inlineStr">
        <is>
          <t xml:space="preserve">Наружная решетка CG 125 </t>
        </is>
      </c>
      <c r="D840" s="357" t="inlineStr">
        <is>
          <t>шт.</t>
        </is>
      </c>
      <c r="E840" s="267" t="n">
        <v>1</v>
      </c>
      <c r="F840" s="359" t="n">
        <v>78.70999999999999</v>
      </c>
      <c r="G840" s="268">
        <f>ROUND(E840*F840,2)</f>
        <v/>
      </c>
      <c r="H840" s="269">
        <f>G840/$G$1004</f>
        <v/>
      </c>
      <c r="I840" s="268">
        <f>ROUND(F840*Прил.10!$D$13,2)</f>
        <v/>
      </c>
      <c r="J840" s="268">
        <f>ROUND(I840*E840,2)</f>
        <v/>
      </c>
    </row>
    <row r="841" hidden="1" outlineLevel="1" ht="38.25" customFormat="1" customHeight="1" s="255">
      <c r="A841" s="357" t="n">
        <v>813</v>
      </c>
      <c r="B841" s="265" t="inlineStr">
        <is>
          <t>Прайс из СД ОП</t>
        </is>
      </c>
      <c r="C841" s="356" t="inlineStr">
        <is>
          <t>Выключатель двухклавишный скрытой установки, 10 А, IP44 Legrand Plexo, арт. 069625</t>
        </is>
      </c>
      <c r="D841" s="357" t="inlineStr">
        <is>
          <t>шт.</t>
        </is>
      </c>
      <c r="E841" s="267" t="n">
        <v>1</v>
      </c>
      <c r="F841" s="359" t="n">
        <v>76.86</v>
      </c>
      <c r="G841" s="268">
        <f>ROUND(E841*F841,2)</f>
        <v/>
      </c>
      <c r="H841" s="269">
        <f>G841/$G$1004</f>
        <v/>
      </c>
      <c r="I841" s="268">
        <f>ROUND(F841*Прил.10!$D$13,2)</f>
        <v/>
      </c>
      <c r="J841" s="268">
        <f>ROUND(I841*E841,2)</f>
        <v/>
      </c>
    </row>
    <row r="842" hidden="1" outlineLevel="1" ht="25.5" customFormat="1" customHeight="1" s="255">
      <c r="A842" s="357" t="n">
        <v>814</v>
      </c>
      <c r="B842" s="265" t="inlineStr">
        <is>
          <t>Прайс из СД ОП</t>
        </is>
      </c>
      <c r="C842" s="356" t="inlineStr">
        <is>
          <t>Уплотнитель терморазделяющая полоса  45ммх30м</t>
        </is>
      </c>
      <c r="D842" s="357" t="inlineStr">
        <is>
          <t>шт</t>
        </is>
      </c>
      <c r="E842" s="267" t="n">
        <v>3</v>
      </c>
      <c r="F842" s="359" t="n">
        <v>25.52</v>
      </c>
      <c r="G842" s="268">
        <f>ROUND(E842*F842,2)</f>
        <v/>
      </c>
      <c r="H842" s="269">
        <f>G842/$G$1004</f>
        <v/>
      </c>
      <c r="I842" s="268">
        <f>ROUND(F842*Прил.10!$D$13,2)</f>
        <v/>
      </c>
      <c r="J842" s="268">
        <f>ROUND(I842*E842,2)</f>
        <v/>
      </c>
    </row>
    <row r="843" hidden="1" outlineLevel="1" ht="25.5" customFormat="1" customHeight="1" s="255">
      <c r="A843" s="357" t="n">
        <v>815</v>
      </c>
      <c r="B843" s="265" t="inlineStr">
        <is>
          <t>01.7.15.06-0146</t>
        </is>
      </c>
      <c r="C843" s="356" t="inlineStr">
        <is>
          <t>Гвозди толевые круглые, размер 3,0х40 мм</t>
        </is>
      </c>
      <c r="D843" s="357" t="inlineStr">
        <is>
          <t>т</t>
        </is>
      </c>
      <c r="E843" s="267" t="n">
        <v>0.0089</v>
      </c>
      <c r="F843" s="359" t="n">
        <v>8475</v>
      </c>
      <c r="G843" s="268">
        <f>ROUND(E843*F843,2)</f>
        <v/>
      </c>
      <c r="H843" s="269">
        <f>G843/$G$1004</f>
        <v/>
      </c>
      <c r="I843" s="268">
        <f>ROUND(F843*Прил.10!$D$13,2)</f>
        <v/>
      </c>
      <c r="J843" s="268">
        <f>ROUND(I843*E843,2)</f>
        <v/>
      </c>
    </row>
    <row r="844" hidden="1" outlineLevel="1" ht="14.25" customFormat="1" customHeight="1" s="255">
      <c r="A844" s="357" t="n">
        <v>816</v>
      </c>
      <c r="B844" s="265" t="inlineStr">
        <is>
          <t>01.3.01.02-0002</t>
        </is>
      </c>
      <c r="C844" s="356" t="inlineStr">
        <is>
          <t>Вазелин технический</t>
        </is>
      </c>
      <c r="D844" s="357" t="inlineStr">
        <is>
          <t>кг</t>
        </is>
      </c>
      <c r="E844" s="267" t="n">
        <v>1.611</v>
      </c>
      <c r="F844" s="359" t="n">
        <v>44.97</v>
      </c>
      <c r="G844" s="268">
        <f>ROUND(E844*F844,2)</f>
        <v/>
      </c>
      <c r="H844" s="269">
        <f>G844/$G$1004</f>
        <v/>
      </c>
      <c r="I844" s="268">
        <f>ROUND(F844*Прил.10!$D$13,2)</f>
        <v/>
      </c>
      <c r="J844" s="268">
        <f>ROUND(I844*E844,2)</f>
        <v/>
      </c>
    </row>
    <row r="845" hidden="1" outlineLevel="1" ht="25.5" customFormat="1" customHeight="1" s="255">
      <c r="A845" s="357" t="n">
        <v>817</v>
      </c>
      <c r="B845" s="265" t="inlineStr">
        <is>
          <t>08.3.05.02-0111</t>
        </is>
      </c>
      <c r="C845" s="356" t="inlineStr">
        <is>
          <t>Прокат толстолистовой горячекатаный из углеродистой стали, толщина 1,6-1,7 мм</t>
        </is>
      </c>
      <c r="D845" s="357" t="inlineStr">
        <is>
          <t>т</t>
        </is>
      </c>
      <c r="E845" s="267" t="n">
        <v>0.0134</v>
      </c>
      <c r="F845" s="359" t="n">
        <v>5325</v>
      </c>
      <c r="G845" s="268">
        <f>ROUND(E845*F845,2)</f>
        <v/>
      </c>
      <c r="H845" s="269">
        <f>G845/$G$1004</f>
        <v/>
      </c>
      <c r="I845" s="268">
        <f>ROUND(F845*Прил.10!$D$13,2)</f>
        <v/>
      </c>
      <c r="J845" s="268">
        <f>ROUND(I845*E845,2)</f>
        <v/>
      </c>
    </row>
    <row r="846" hidden="1" outlineLevel="1" ht="14.25" customFormat="1" customHeight="1" s="255">
      <c r="A846" s="357" t="n">
        <v>818</v>
      </c>
      <c r="B846" s="265" t="inlineStr">
        <is>
          <t>Прайс из СД ОП</t>
        </is>
      </c>
      <c r="C846" s="356" t="inlineStr">
        <is>
          <t xml:space="preserve">Монтажный хомут Канал-МК-160 </t>
        </is>
      </c>
      <c r="D846" s="357" t="inlineStr">
        <is>
          <t>шт.</t>
        </is>
      </c>
      <c r="E846" s="267" t="n">
        <v>4</v>
      </c>
      <c r="F846" s="359" t="n">
        <v>17.64</v>
      </c>
      <c r="G846" s="268">
        <f>ROUND(E846*F846,2)</f>
        <v/>
      </c>
      <c r="H846" s="269">
        <f>G846/$G$1004</f>
        <v/>
      </c>
      <c r="I846" s="268">
        <f>ROUND(F846*Прил.10!$D$13,2)</f>
        <v/>
      </c>
      <c r="J846" s="268">
        <f>ROUND(I846*E846,2)</f>
        <v/>
      </c>
    </row>
    <row r="847" hidden="1" outlineLevel="1" ht="14.25" customFormat="1" customHeight="1" s="255">
      <c r="A847" s="357" t="n">
        <v>819</v>
      </c>
      <c r="B847" s="265" t="inlineStr">
        <is>
          <t>Прайс из СД ОП</t>
        </is>
      </c>
      <c r="C847" s="356" t="inlineStr">
        <is>
          <t>Реле тепловое РТЛ-1007</t>
        </is>
      </c>
      <c r="D847" s="357" t="inlineStr">
        <is>
          <t>шт.</t>
        </is>
      </c>
      <c r="E847" s="267" t="n">
        <v>1</v>
      </c>
      <c r="F847" s="359" t="n">
        <v>70.31</v>
      </c>
      <c r="G847" s="268">
        <f>ROUND(E847*F847,2)</f>
        <v/>
      </c>
      <c r="H847" s="269">
        <f>G847/$G$1004</f>
        <v/>
      </c>
      <c r="I847" s="268">
        <f>ROUND(F847*Прил.10!$D$13,2)</f>
        <v/>
      </c>
      <c r="J847" s="268">
        <f>ROUND(I847*E847,2)</f>
        <v/>
      </c>
    </row>
    <row r="848" hidden="1" outlineLevel="1" ht="25.5" customFormat="1" customHeight="1" s="255">
      <c r="A848" s="357" t="n">
        <v>820</v>
      </c>
      <c r="B848" s="265" t="inlineStr">
        <is>
          <t>01.3.02.03-0012</t>
        </is>
      </c>
      <c r="C848" s="356" t="inlineStr">
        <is>
          <t>Ацетилен растворенный технический, марка Б</t>
        </is>
      </c>
      <c r="D848" s="357" t="inlineStr">
        <is>
          <t>т</t>
        </is>
      </c>
      <c r="E848" s="267" t="n">
        <v>0.0023</v>
      </c>
      <c r="F848" s="359" t="n">
        <v>30540</v>
      </c>
      <c r="G848" s="268">
        <f>ROUND(E848*F848,2)</f>
        <v/>
      </c>
      <c r="H848" s="269">
        <f>G848/$G$1004</f>
        <v/>
      </c>
      <c r="I848" s="268">
        <f>ROUND(F848*Прил.10!$D$13,2)</f>
        <v/>
      </c>
      <c r="J848" s="268">
        <f>ROUND(I848*E848,2)</f>
        <v/>
      </c>
    </row>
    <row r="849" hidden="1" outlineLevel="1" ht="14.25" customFormat="1" customHeight="1" s="255">
      <c r="A849" s="357" t="n">
        <v>821</v>
      </c>
      <c r="B849" s="265" t="inlineStr">
        <is>
          <t>14.5.04.08-0014</t>
        </is>
      </c>
      <c r="C849" s="356" t="inlineStr">
        <is>
          <t>Мастика полиизобутиленовая</t>
        </is>
      </c>
      <c r="D849" s="357" t="inlineStr">
        <is>
          <t>кг</t>
        </is>
      </c>
      <c r="E849" s="267" t="n">
        <v>24</v>
      </c>
      <c r="F849" s="359" t="n">
        <v>2.91</v>
      </c>
      <c r="G849" s="268">
        <f>ROUND(E849*F849,2)</f>
        <v/>
      </c>
      <c r="H849" s="269">
        <f>G849/$G$1004</f>
        <v/>
      </c>
      <c r="I849" s="268">
        <f>ROUND(F849*Прил.10!$D$13,2)</f>
        <v/>
      </c>
      <c r="J849" s="268">
        <f>ROUND(I849*E849,2)</f>
        <v/>
      </c>
    </row>
    <row r="850" hidden="1" outlineLevel="1" ht="14.25" customFormat="1" customHeight="1" s="255">
      <c r="A850" s="357" t="n">
        <v>822</v>
      </c>
      <c r="B850" s="265" t="inlineStr">
        <is>
          <t>Прайс из СД ОП</t>
        </is>
      </c>
      <c r="C850" s="356" t="inlineStr">
        <is>
          <t xml:space="preserve">Этикетка "Внимание электрообогрев" </t>
        </is>
      </c>
      <c r="D850" s="357" t="inlineStr">
        <is>
          <t>шт.</t>
        </is>
      </c>
      <c r="E850" s="267" t="n">
        <v>30</v>
      </c>
      <c r="F850" s="359" t="n">
        <v>2.31</v>
      </c>
      <c r="G850" s="268">
        <f>ROUND(E850*F850,2)</f>
        <v/>
      </c>
      <c r="H850" s="269">
        <f>G850/$G$1004</f>
        <v/>
      </c>
      <c r="I850" s="268">
        <f>ROUND(F850*Прил.10!$D$13,2)</f>
        <v/>
      </c>
      <c r="J850" s="268">
        <f>ROUND(I850*E850,2)</f>
        <v/>
      </c>
    </row>
    <row r="851" hidden="1" outlineLevel="1" ht="25.5" customFormat="1" customHeight="1" s="255">
      <c r="A851" s="357" t="n">
        <v>823</v>
      </c>
      <c r="B851" s="265" t="inlineStr">
        <is>
          <t>18.2.06.09-0007</t>
        </is>
      </c>
      <c r="C851" s="356" t="inlineStr">
        <is>
          <t>Сифон трубный для моек с отводным коленом 1 1/2"х50 мм</t>
        </is>
      </c>
      <c r="D851" s="357" t="inlineStr">
        <is>
          <t>компл</t>
        </is>
      </c>
      <c r="E851" s="267" t="n">
        <v>1</v>
      </c>
      <c r="F851" s="359" t="n">
        <v>68.73999999999999</v>
      </c>
      <c r="G851" s="268">
        <f>ROUND(E851*F851,2)</f>
        <v/>
      </c>
      <c r="H851" s="269">
        <f>G851/$G$1004</f>
        <v/>
      </c>
      <c r="I851" s="268">
        <f>ROUND(F851*Прил.10!$D$13,2)</f>
        <v/>
      </c>
      <c r="J851" s="268">
        <f>ROUND(I851*E851,2)</f>
        <v/>
      </c>
    </row>
    <row r="852" hidden="1" outlineLevel="1" ht="14.25" customFormat="1" customHeight="1" s="255">
      <c r="A852" s="357" t="n">
        <v>824</v>
      </c>
      <c r="B852" s="265" t="inlineStr">
        <is>
          <t>Прайс из СД ОП</t>
        </is>
      </c>
      <c r="C852" s="356" t="inlineStr">
        <is>
          <t>Клемма винтовая, 2,5 мм2, М2,5</t>
        </is>
      </c>
      <c r="D852" s="357" t="inlineStr">
        <is>
          <t>шт.</t>
        </is>
      </c>
      <c r="E852" s="267" t="n">
        <v>15</v>
      </c>
      <c r="F852" s="359" t="n">
        <v>4.58</v>
      </c>
      <c r="G852" s="268">
        <f>ROUND(E852*F852,2)</f>
        <v/>
      </c>
      <c r="H852" s="269">
        <f>G852/$G$1004</f>
        <v/>
      </c>
      <c r="I852" s="268">
        <f>ROUND(F852*Прил.10!$D$13,2)</f>
        <v/>
      </c>
      <c r="J852" s="268">
        <f>ROUND(I852*E852,2)</f>
        <v/>
      </c>
    </row>
    <row r="853" hidden="1" outlineLevel="1" ht="25.5" customFormat="1" customHeight="1" s="255">
      <c r="A853" s="357" t="n">
        <v>825</v>
      </c>
      <c r="B853" s="265" t="inlineStr">
        <is>
          <t>10.3.02.03-0011</t>
        </is>
      </c>
      <c r="C853" s="356" t="inlineStr">
        <is>
          <t>Припои оловянно-свинцовые бессурьмянистые, марка ПОС30</t>
        </is>
      </c>
      <c r="D853" s="357" t="inlineStr">
        <is>
          <t>т</t>
        </is>
      </c>
      <c r="E853" s="267" t="n">
        <v>0.001</v>
      </c>
      <c r="F853" s="359" t="n">
        <v>68050</v>
      </c>
      <c r="G853" s="268">
        <f>ROUND(E853*F853,2)</f>
        <v/>
      </c>
      <c r="H853" s="269">
        <f>G853/$G$1004</f>
        <v/>
      </c>
      <c r="I853" s="268">
        <f>ROUND(F853*Прил.10!$D$13,2)</f>
        <v/>
      </c>
      <c r="J853" s="268">
        <f>ROUND(I853*E853,2)</f>
        <v/>
      </c>
    </row>
    <row r="854" hidden="1" outlineLevel="1" ht="51" customFormat="1" customHeight="1" s="255">
      <c r="A854" s="357" t="n">
        <v>826</v>
      </c>
      <c r="B854" s="265" t="inlineStr">
        <is>
          <t>23.8.03.11-0126</t>
        </is>
      </c>
      <c r="C854" s="356" t="inlineStr">
        <is>
          <t>Фланцы стальные плоские приварные с соединительным выступом, марка стали ВСт3сп2, ВСт3сп3, номинальное давление 1 МПа, номинальный диаметр 32 мм</t>
        </is>
      </c>
      <c r="D854" s="357" t="inlineStr">
        <is>
          <t>шт</t>
        </is>
      </c>
      <c r="E854" s="267" t="n">
        <v>2</v>
      </c>
      <c r="F854" s="359" t="n">
        <v>33.92</v>
      </c>
      <c r="G854" s="268">
        <f>ROUND(E854*F854,2)</f>
        <v/>
      </c>
      <c r="H854" s="269">
        <f>G854/$G$1004</f>
        <v/>
      </c>
      <c r="I854" s="268">
        <f>ROUND(F854*Прил.10!$D$13,2)</f>
        <v/>
      </c>
      <c r="J854" s="268">
        <f>ROUND(I854*E854,2)</f>
        <v/>
      </c>
    </row>
    <row r="855" hidden="1" outlineLevel="1" ht="38.25" customFormat="1" customHeight="1" s="255">
      <c r="A855" s="357" t="n">
        <v>827</v>
      </c>
      <c r="B855" s="265" t="inlineStr">
        <is>
          <t>Прайс из СД ОП</t>
        </is>
      </c>
      <c r="C855" s="356" t="inlineStr">
        <is>
          <t>Автоматический выключатель трехполюсный модульный, Iн=16А, OptiDin BM63-3C20</t>
        </is>
      </c>
      <c r="D855" s="357" t="inlineStr">
        <is>
          <t>шт.</t>
        </is>
      </c>
      <c r="E855" s="267" t="n">
        <v>1</v>
      </c>
      <c r="F855" s="359" t="n">
        <v>67.34999999999999</v>
      </c>
      <c r="G855" s="268">
        <f>ROUND(E855*F855,2)</f>
        <v/>
      </c>
      <c r="H855" s="269">
        <f>G855/$G$1004</f>
        <v/>
      </c>
      <c r="I855" s="268">
        <f>ROUND(F855*Прил.10!$D$13,2)</f>
        <v/>
      </c>
      <c r="J855" s="268">
        <f>ROUND(I855*E855,2)</f>
        <v/>
      </c>
    </row>
    <row r="856" hidden="1" outlineLevel="1" ht="51" customFormat="1" customHeight="1" s="255">
      <c r="A856" s="357" t="n">
        <v>828</v>
      </c>
      <c r="B856" s="265" t="inlineStr">
        <is>
          <t>07.2.06.05-0001</t>
        </is>
      </c>
      <c r="C856" s="356" t="inlineStr">
        <is>
          <t>Удлинитель стальной, оцинкованный к профилю 60х27 мм, для соединения потолочных профилей, сечение 110х58х25х0,6 мм</t>
        </is>
      </c>
      <c r="D856" s="357" t="inlineStr">
        <is>
          <t>100 шт</t>
        </is>
      </c>
      <c r="E856" s="267" t="n">
        <v>1.1087</v>
      </c>
      <c r="F856" s="359" t="n">
        <v>59</v>
      </c>
      <c r="G856" s="268">
        <f>ROUND(E856*F856,2)</f>
        <v/>
      </c>
      <c r="H856" s="269">
        <f>G856/$G$1004</f>
        <v/>
      </c>
      <c r="I856" s="268">
        <f>ROUND(F856*Прил.10!$D$13,2)</f>
        <v/>
      </c>
      <c r="J856" s="268">
        <f>ROUND(I856*E856,2)</f>
        <v/>
      </c>
    </row>
    <row r="857" hidden="1" outlineLevel="1" ht="14.25" customFormat="1" customHeight="1" s="255">
      <c r="A857" s="357" t="n">
        <v>829</v>
      </c>
      <c r="B857" s="265" t="inlineStr">
        <is>
          <t>20.5.04.09-0001</t>
        </is>
      </c>
      <c r="C857" s="356" t="inlineStr">
        <is>
          <t>Сжимы ответвительные</t>
        </is>
      </c>
      <c r="D857" s="357" t="inlineStr">
        <is>
          <t>100 шт</t>
        </is>
      </c>
      <c r="E857" s="267" t="n">
        <v>0.123</v>
      </c>
      <c r="F857" s="359" t="n">
        <v>528</v>
      </c>
      <c r="G857" s="268">
        <f>ROUND(E857*F857,2)</f>
        <v/>
      </c>
      <c r="H857" s="269">
        <f>G857/$G$1004</f>
        <v/>
      </c>
      <c r="I857" s="268">
        <f>ROUND(F857*Прил.10!$D$13,2)</f>
        <v/>
      </c>
      <c r="J857" s="268">
        <f>ROUND(I857*E857,2)</f>
        <v/>
      </c>
    </row>
    <row r="858" hidden="1" outlineLevel="1" ht="25.5" customFormat="1" customHeight="1" s="255">
      <c r="A858" s="357" t="n">
        <v>830</v>
      </c>
      <c r="B858" s="265" t="inlineStr">
        <is>
          <t>Прайс из СД ОП</t>
        </is>
      </c>
      <c r="C858" s="356" t="inlineStr">
        <is>
          <t>Автоматический выключатель трехполюсный, OptiDin BM63-3С4</t>
        </is>
      </c>
      <c r="D858" s="357" t="inlineStr">
        <is>
          <t>шт.</t>
        </is>
      </c>
      <c r="E858" s="267" t="n">
        <v>1</v>
      </c>
      <c r="F858" s="359" t="n">
        <v>64.66</v>
      </c>
      <c r="G858" s="268">
        <f>ROUND(E858*F858,2)</f>
        <v/>
      </c>
      <c r="H858" s="269">
        <f>G858/$G$1004</f>
        <v/>
      </c>
      <c r="I858" s="268">
        <f>ROUND(F858*Прил.10!$D$13,2)</f>
        <v/>
      </c>
      <c r="J858" s="268">
        <f>ROUND(I858*E858,2)</f>
        <v/>
      </c>
    </row>
    <row r="859" hidden="1" outlineLevel="1" ht="25.5" customFormat="1" customHeight="1" s="255">
      <c r="A859" s="357" t="n">
        <v>831</v>
      </c>
      <c r="B859" s="265" t="inlineStr">
        <is>
          <t>01.7.15.04-0011</t>
        </is>
      </c>
      <c r="C859" s="356" t="inlineStr">
        <is>
          <t>Винты с полукруглой головкой, длина 50 мм</t>
        </is>
      </c>
      <c r="D859" s="357" t="inlineStr">
        <is>
          <t>т</t>
        </is>
      </c>
      <c r="E859" s="267" t="n">
        <v>0.0052</v>
      </c>
      <c r="F859" s="359" t="n">
        <v>12430</v>
      </c>
      <c r="G859" s="268">
        <f>ROUND(E859*F859,2)</f>
        <v/>
      </c>
      <c r="H859" s="269">
        <f>G859/$G$1004</f>
        <v/>
      </c>
      <c r="I859" s="268">
        <f>ROUND(F859*Прил.10!$D$13,2)</f>
        <v/>
      </c>
      <c r="J859" s="268">
        <f>ROUND(I859*E859,2)</f>
        <v/>
      </c>
    </row>
    <row r="860" hidden="1" outlineLevel="1" ht="38.25" customFormat="1" customHeight="1" s="255">
      <c r="A860" s="357" t="n">
        <v>832</v>
      </c>
      <c r="B860" s="265" t="inlineStr">
        <is>
          <t>11.1.03.06-0099</t>
        </is>
      </c>
      <c r="C860" s="356" t="inlineStr">
        <is>
          <t>Доска обрезная, хвойных пород, ширина 75-150, мм толщина 19-22 мм, длина 4-6,5 м, сорт III</t>
        </is>
      </c>
      <c r="D860" s="357" t="inlineStr">
        <is>
          <t>м3</t>
        </is>
      </c>
      <c r="E860" s="267" t="n">
        <v>0.052</v>
      </c>
      <c r="F860" s="359" t="n">
        <v>1242.2</v>
      </c>
      <c r="G860" s="268">
        <f>ROUND(E860*F860,2)</f>
        <v/>
      </c>
      <c r="H860" s="269">
        <f>G860/$G$1004</f>
        <v/>
      </c>
      <c r="I860" s="268">
        <f>ROUND(F860*Прил.10!$D$13,2)</f>
        <v/>
      </c>
      <c r="J860" s="268">
        <f>ROUND(I860*E860,2)</f>
        <v/>
      </c>
    </row>
    <row r="861" hidden="1" outlineLevel="1" ht="25.5" customFormat="1" customHeight="1" s="255">
      <c r="A861" s="357" t="n">
        <v>833</v>
      </c>
      <c r="B861" s="265" t="inlineStr">
        <is>
          <t>Прайс из СД ОП</t>
        </is>
      </c>
      <c r="C861" s="356" t="inlineStr">
        <is>
          <t>Автоматический выключатель трехполюсный, OptiDin BM63-3С40</t>
        </is>
      </c>
      <c r="D861" s="357" t="inlineStr">
        <is>
          <t>шт.</t>
        </is>
      </c>
      <c r="E861" s="267" t="n">
        <v>1</v>
      </c>
      <c r="F861" s="359" t="n">
        <v>64.39</v>
      </c>
      <c r="G861" s="268">
        <f>ROUND(E861*F861,2)</f>
        <v/>
      </c>
      <c r="H861" s="269">
        <f>G861/$G$1004</f>
        <v/>
      </c>
      <c r="I861" s="268">
        <f>ROUND(F861*Прил.10!$D$13,2)</f>
        <v/>
      </c>
      <c r="J861" s="268">
        <f>ROUND(I861*E861,2)</f>
        <v/>
      </c>
    </row>
    <row r="862" hidden="1" outlineLevel="1" ht="25.5" customFormat="1" customHeight="1" s="255">
      <c r="A862" s="357" t="n">
        <v>834</v>
      </c>
      <c r="B862" s="265" t="inlineStr">
        <is>
          <t>01.7.15.02-0086</t>
        </is>
      </c>
      <c r="C862" s="356" t="inlineStr">
        <is>
          <t>Болты с шестигранной головкой, диаметр 20 (22) мм</t>
        </is>
      </c>
      <c r="D862" s="357" t="inlineStr">
        <is>
          <t>т</t>
        </is>
      </c>
      <c r="E862" s="267" t="n">
        <v>0.0064</v>
      </c>
      <c r="F862" s="359" t="n">
        <v>9800</v>
      </c>
      <c r="G862" s="268">
        <f>ROUND(E862*F862,2)</f>
        <v/>
      </c>
      <c r="H862" s="269">
        <f>G862/$G$1004</f>
        <v/>
      </c>
      <c r="I862" s="268">
        <f>ROUND(F862*Прил.10!$D$13,2)</f>
        <v/>
      </c>
      <c r="J862" s="268">
        <f>ROUND(I862*E862,2)</f>
        <v/>
      </c>
    </row>
    <row r="863" hidden="1" outlineLevel="1" ht="14.25" customFormat="1" customHeight="1" s="255">
      <c r="A863" s="357" t="n">
        <v>835</v>
      </c>
      <c r="B863" s="265" t="inlineStr">
        <is>
          <t>14.4.03.17-0011</t>
        </is>
      </c>
      <c r="C863" s="356" t="inlineStr">
        <is>
          <t>Лак электроизоляционный 318</t>
        </is>
      </c>
      <c r="D863" s="357" t="inlineStr">
        <is>
          <t>кг</t>
        </is>
      </c>
      <c r="E863" s="267" t="n">
        <v>1.746</v>
      </c>
      <c r="F863" s="359" t="n">
        <v>35.63</v>
      </c>
      <c r="G863" s="268">
        <f>ROUND(E863*F863,2)</f>
        <v/>
      </c>
      <c r="H863" s="269">
        <f>G863/$G$1004</f>
        <v/>
      </c>
      <c r="I863" s="268">
        <f>ROUND(F863*Прил.10!$D$13,2)</f>
        <v/>
      </c>
      <c r="J863" s="268">
        <f>ROUND(I863*E863,2)</f>
        <v/>
      </c>
    </row>
    <row r="864" hidden="1" outlineLevel="1" ht="25.5" customFormat="1" customHeight="1" s="255">
      <c r="A864" s="357" t="n">
        <v>836</v>
      </c>
      <c r="B864" s="265" t="inlineStr">
        <is>
          <t>Прайс из СД ОП</t>
        </is>
      </c>
      <c r="C864" s="356" t="inlineStr">
        <is>
          <t>Выключатель нагрузки трехполюсный, OptiDin BM63Р-363</t>
        </is>
      </c>
      <c r="D864" s="357" t="inlineStr">
        <is>
          <t>шт.</t>
        </is>
      </c>
      <c r="E864" s="267" t="n">
        <v>1</v>
      </c>
      <c r="F864" s="359" t="n">
        <v>61.31</v>
      </c>
      <c r="G864" s="268">
        <f>ROUND(E864*F864,2)</f>
        <v/>
      </c>
      <c r="H864" s="269">
        <f>G864/$G$1004</f>
        <v/>
      </c>
      <c r="I864" s="268">
        <f>ROUND(F864*Прил.10!$D$13,2)</f>
        <v/>
      </c>
      <c r="J864" s="268">
        <f>ROUND(I864*E864,2)</f>
        <v/>
      </c>
    </row>
    <row r="865" hidden="1" outlineLevel="1" ht="14.25" customFormat="1" customHeight="1" s="255">
      <c r="A865" s="357" t="n">
        <v>837</v>
      </c>
      <c r="B865" s="265" t="inlineStr">
        <is>
          <t>20.2.09.13-0011</t>
        </is>
      </c>
      <c r="C865" s="356" t="inlineStr">
        <is>
          <t>Муфты</t>
        </is>
      </c>
      <c r="D865" s="357" t="inlineStr">
        <is>
          <t>шт</t>
        </is>
      </c>
      <c r="E865" s="267" t="n">
        <v>12.216</v>
      </c>
      <c r="F865" s="359" t="n">
        <v>5</v>
      </c>
      <c r="G865" s="268">
        <f>ROUND(E865*F865,2)</f>
        <v/>
      </c>
      <c r="H865" s="269">
        <f>G865/$G$1004</f>
        <v/>
      </c>
      <c r="I865" s="268">
        <f>ROUND(F865*Прил.10!$D$13,2)</f>
        <v/>
      </c>
      <c r="J865" s="268">
        <f>ROUND(I865*E865,2)</f>
        <v/>
      </c>
    </row>
    <row r="866" hidden="1" outlineLevel="1" ht="25.5" customFormat="1" customHeight="1" s="255">
      <c r="A866" s="357" t="n">
        <v>838</v>
      </c>
      <c r="B866" s="265" t="inlineStr">
        <is>
          <t>Прайс из СД ОП</t>
        </is>
      </c>
      <c r="C866" s="356" t="inlineStr">
        <is>
          <t>Коробка распределительная для скрытого монтажа, 80х45 мм ГСК СП, арт.10174</t>
        </is>
      </c>
      <c r="D866" s="357" t="inlineStr">
        <is>
          <t>шт.</t>
        </is>
      </c>
      <c r="E866" s="267" t="n">
        <v>36</v>
      </c>
      <c r="F866" s="359" t="n">
        <v>1.69</v>
      </c>
      <c r="G866" s="268">
        <f>ROUND(E866*F866,2)</f>
        <v/>
      </c>
      <c r="H866" s="269">
        <f>G866/$G$1004</f>
        <v/>
      </c>
      <c r="I866" s="268">
        <f>ROUND(F866*Прил.10!$D$13,2)</f>
        <v/>
      </c>
      <c r="J866" s="268">
        <f>ROUND(I866*E866,2)</f>
        <v/>
      </c>
    </row>
    <row r="867" hidden="1" outlineLevel="1" ht="38.25" customFormat="1" customHeight="1" s="255">
      <c r="A867" s="357" t="n">
        <v>839</v>
      </c>
      <c r="B867" s="265" t="inlineStr">
        <is>
          <t>Прайс из СД ОП</t>
        </is>
      </c>
      <c r="C867" s="356" t="inlineStr">
        <is>
          <t xml:space="preserve">Автоматический выключатель однополюсный модульный, Iн=10А, OptiDin BM63-1C10 </t>
        </is>
      </c>
      <c r="D867" s="357" t="inlineStr">
        <is>
          <t>шт.</t>
        </is>
      </c>
      <c r="E867" s="267" t="n">
        <v>3</v>
      </c>
      <c r="F867" s="359" t="n">
        <v>20.12</v>
      </c>
      <c r="G867" s="268">
        <f>ROUND(E867*F867,2)</f>
        <v/>
      </c>
      <c r="H867" s="269">
        <f>G867/$G$1004</f>
        <v/>
      </c>
      <c r="I867" s="268">
        <f>ROUND(F867*Прил.10!$D$13,2)</f>
        <v/>
      </c>
      <c r="J867" s="268">
        <f>ROUND(I867*E867,2)</f>
        <v/>
      </c>
    </row>
    <row r="868" hidden="1" outlineLevel="1" ht="14.25" customFormat="1" customHeight="1" s="255">
      <c r="A868" s="357" t="n">
        <v>840</v>
      </c>
      <c r="B868" s="265" t="inlineStr">
        <is>
          <t>Прайс из СД ОП</t>
        </is>
      </c>
      <c r="C868" s="356" t="inlineStr">
        <is>
          <t xml:space="preserve">Монтажный хомут Канал-МК-125 </t>
        </is>
      </c>
      <c r="D868" s="357" t="inlineStr">
        <is>
          <t>шт.</t>
        </is>
      </c>
      <c r="E868" s="267" t="n">
        <v>4</v>
      </c>
      <c r="F868" s="359" t="n">
        <v>15.03</v>
      </c>
      <c r="G868" s="268">
        <f>ROUND(E868*F868,2)</f>
        <v/>
      </c>
      <c r="H868" s="269">
        <f>G868/$G$1004</f>
        <v/>
      </c>
      <c r="I868" s="268">
        <f>ROUND(F868*Прил.10!$D$13,2)</f>
        <v/>
      </c>
      <c r="J868" s="268">
        <f>ROUND(I868*E868,2)</f>
        <v/>
      </c>
    </row>
    <row r="869" hidden="1" outlineLevel="1" ht="14.25" customFormat="1" customHeight="1" s="255">
      <c r="A869" s="357" t="n">
        <v>841</v>
      </c>
      <c r="B869" s="265" t="inlineStr">
        <is>
          <t>01.7.07.20-0002</t>
        </is>
      </c>
      <c r="C869" s="356" t="inlineStr">
        <is>
          <t>Тальк молотый, сорт I</t>
        </is>
      </c>
      <c r="D869" s="357" t="inlineStr">
        <is>
          <t>т</t>
        </is>
      </c>
      <c r="E869" s="267" t="n">
        <v>0.0328</v>
      </c>
      <c r="F869" s="359" t="n">
        <v>1820</v>
      </c>
      <c r="G869" s="268">
        <f>ROUND(E869*F869,2)</f>
        <v/>
      </c>
      <c r="H869" s="269">
        <f>G869/$G$1004</f>
        <v/>
      </c>
      <c r="I869" s="268">
        <f>ROUND(F869*Прил.10!$D$13,2)</f>
        <v/>
      </c>
      <c r="J869" s="268">
        <f>ROUND(I869*E869,2)</f>
        <v/>
      </c>
    </row>
    <row r="870" hidden="1" outlineLevel="1" ht="25.5" customFormat="1" customHeight="1" s="255">
      <c r="A870" s="357" t="n">
        <v>842</v>
      </c>
      <c r="B870" s="265" t="inlineStr">
        <is>
          <t>19.1.05.04-0007</t>
        </is>
      </c>
      <c r="C870" s="356" t="inlineStr">
        <is>
          <t>Диффузоры потолочные пластиковые универсальные, диаметр 125 мм</t>
        </is>
      </c>
      <c r="D870" s="357" t="inlineStr">
        <is>
          <t>шт</t>
        </is>
      </c>
      <c r="E870" s="267" t="n">
        <v>2</v>
      </c>
      <c r="F870" s="359" t="n">
        <v>29.2</v>
      </c>
      <c r="G870" s="268">
        <f>ROUND(E870*F870,2)</f>
        <v/>
      </c>
      <c r="H870" s="269">
        <f>G870/$G$1004</f>
        <v/>
      </c>
      <c r="I870" s="268">
        <f>ROUND(F870*Прил.10!$D$13,2)</f>
        <v/>
      </c>
      <c r="J870" s="268">
        <f>ROUND(I870*E870,2)</f>
        <v/>
      </c>
    </row>
    <row r="871" hidden="1" outlineLevel="1" ht="25.5" customFormat="1" customHeight="1" s="255">
      <c r="A871" s="357" t="n">
        <v>843</v>
      </c>
      <c r="B871" s="265" t="inlineStr">
        <is>
          <t>Прайс из СД ОП</t>
        </is>
      </c>
      <c r="C871" s="356" t="inlineStr">
        <is>
          <t>Автоматический выключатель трехполюсный, OptiDin BM63-3С20</t>
        </is>
      </c>
      <c r="D871" s="357" t="inlineStr">
        <is>
          <t>шт.</t>
        </is>
      </c>
      <c r="E871" s="267" t="n">
        <v>1</v>
      </c>
      <c r="F871" s="359" t="n">
        <v>58.38</v>
      </c>
      <c r="G871" s="268">
        <f>ROUND(E871*F871,2)</f>
        <v/>
      </c>
      <c r="H871" s="269">
        <f>G871/$G$1004</f>
        <v/>
      </c>
      <c r="I871" s="268">
        <f>ROUND(F871*Прил.10!$D$13,2)</f>
        <v/>
      </c>
      <c r="J871" s="268">
        <f>ROUND(I871*E871,2)</f>
        <v/>
      </c>
    </row>
    <row r="872" hidden="1" outlineLevel="1" ht="25.5" customFormat="1" customHeight="1" s="255">
      <c r="A872" s="357" t="n">
        <v>844</v>
      </c>
      <c r="B872" s="265" t="inlineStr">
        <is>
          <t>Прайс из СД ОП</t>
        </is>
      </c>
      <c r="C872" s="356" t="inlineStr">
        <is>
          <t>Рамка скрытая однопостовая, Legrand Plexo, арт. 069692</t>
        </is>
      </c>
      <c r="D872" s="357" t="inlineStr">
        <is>
          <t>шт.</t>
        </is>
      </c>
      <c r="E872" s="267" t="n">
        <v>2</v>
      </c>
      <c r="F872" s="359" t="n">
        <v>29.16</v>
      </c>
      <c r="G872" s="268">
        <f>ROUND(E872*F872,2)</f>
        <v/>
      </c>
      <c r="H872" s="269">
        <f>G872/$G$1004</f>
        <v/>
      </c>
      <c r="I872" s="268">
        <f>ROUND(F872*Прил.10!$D$13,2)</f>
        <v/>
      </c>
      <c r="J872" s="268">
        <f>ROUND(I872*E872,2)</f>
        <v/>
      </c>
    </row>
    <row r="873" hidden="1" outlineLevel="1" ht="25.5" customFormat="1" customHeight="1" s="255">
      <c r="A873" s="357" t="n">
        <v>845</v>
      </c>
      <c r="B873" s="265" t="inlineStr">
        <is>
          <t>Прайс из СД ОП</t>
        </is>
      </c>
      <c r="C873" s="356" t="inlineStr">
        <is>
          <t>Автоматический выключатель трехполюсный, OptiDin BM63-3С25</t>
        </is>
      </c>
      <c r="D873" s="357" t="inlineStr">
        <is>
          <t>шт.</t>
        </is>
      </c>
      <c r="E873" s="267" t="n">
        <v>1</v>
      </c>
      <c r="F873" s="359" t="n">
        <v>58.24</v>
      </c>
      <c r="G873" s="268">
        <f>ROUND(E873*F873,2)</f>
        <v/>
      </c>
      <c r="H873" s="269">
        <f>G873/$G$1004</f>
        <v/>
      </c>
      <c r="I873" s="268">
        <f>ROUND(F873*Прил.10!$D$13,2)</f>
        <v/>
      </c>
      <c r="J873" s="268">
        <f>ROUND(I873*E873,2)</f>
        <v/>
      </c>
    </row>
    <row r="874" hidden="1" outlineLevel="1" ht="14.25" customFormat="1" customHeight="1" s="255">
      <c r="A874" s="357" t="n">
        <v>846</v>
      </c>
      <c r="B874" s="265" t="inlineStr">
        <is>
          <t>01.1.02.08-0031</t>
        </is>
      </c>
      <c r="C874" s="356" t="inlineStr">
        <is>
          <t>Прокладки паронитовые</t>
        </is>
      </c>
      <c r="D874" s="357" t="inlineStr">
        <is>
          <t>кг</t>
        </is>
      </c>
      <c r="E874" s="267" t="n">
        <v>2.184</v>
      </c>
      <c r="F874" s="359" t="n">
        <v>26.44</v>
      </c>
      <c r="G874" s="268">
        <f>ROUND(E874*F874,2)</f>
        <v/>
      </c>
      <c r="H874" s="269">
        <f>G874/$G$1004</f>
        <v/>
      </c>
      <c r="I874" s="268">
        <f>ROUND(F874*Прил.10!$D$13,2)</f>
        <v/>
      </c>
      <c r="J874" s="268">
        <f>ROUND(I874*E874,2)</f>
        <v/>
      </c>
    </row>
    <row r="875" hidden="1" outlineLevel="1" ht="38.25" customFormat="1" customHeight="1" s="255">
      <c r="A875" s="357" t="n">
        <v>847</v>
      </c>
      <c r="B875" s="265" t="inlineStr">
        <is>
          <t>Прайс из СД ОП</t>
        </is>
      </c>
      <c r="C875" s="356" t="inlineStr">
        <is>
          <t>Выключатель двухклавишный скрытой установки, 10 А, IP20 Legrand Valena, арт. 774405</t>
        </is>
      </c>
      <c r="D875" s="357" t="inlineStr">
        <is>
          <t>шт.</t>
        </is>
      </c>
      <c r="E875" s="267" t="n">
        <v>2</v>
      </c>
      <c r="F875" s="359" t="n">
        <v>27.91</v>
      </c>
      <c r="G875" s="268">
        <f>ROUND(E875*F875,2)</f>
        <v/>
      </c>
      <c r="H875" s="269">
        <f>G875/$G$1004</f>
        <v/>
      </c>
      <c r="I875" s="268">
        <f>ROUND(F875*Прил.10!$D$13,2)</f>
        <v/>
      </c>
      <c r="J875" s="268">
        <f>ROUND(I875*E875,2)</f>
        <v/>
      </c>
    </row>
    <row r="876" hidden="1" outlineLevel="1" ht="25.5" customFormat="1" customHeight="1" s="255">
      <c r="A876" s="357" t="n">
        <v>848</v>
      </c>
      <c r="B876" s="265" t="inlineStr">
        <is>
          <t>08.3.05.02-0073</t>
        </is>
      </c>
      <c r="C876" s="356" t="inlineStr">
        <is>
          <t>Сталь листовая горячекатаная марки Ст3пс толщиной: 6-8 мм</t>
        </is>
      </c>
      <c r="D876" s="357" t="inlineStr">
        <is>
          <t>т</t>
        </is>
      </c>
      <c r="E876" s="267" t="n">
        <v>0.008500000000000001</v>
      </c>
      <c r="F876" s="359" t="n">
        <v>6379.08</v>
      </c>
      <c r="G876" s="268">
        <f>ROUND(E876*F876,2)</f>
        <v/>
      </c>
      <c r="H876" s="269">
        <f>G876/$G$1004</f>
        <v/>
      </c>
      <c r="I876" s="268">
        <f>ROUND(F876*Прил.10!$D$13,2)</f>
        <v/>
      </c>
      <c r="J876" s="268">
        <f>ROUND(I876*E876,2)</f>
        <v/>
      </c>
    </row>
    <row r="877" hidden="1" outlineLevel="1" ht="25.5" customFormat="1" customHeight="1" s="255">
      <c r="A877" s="357" t="n">
        <v>849</v>
      </c>
      <c r="B877" s="265" t="inlineStr">
        <is>
          <t>08.3.08.02-0072</t>
        </is>
      </c>
      <c r="C877" s="356" t="inlineStr">
        <is>
          <t>Сталь угловая равнополочная, марка стали: Ст3пс, шириной полок 75-75 мм</t>
        </is>
      </c>
      <c r="D877" s="357" t="inlineStr">
        <is>
          <t>т</t>
        </is>
      </c>
      <c r="E877" s="267" t="n">
        <v>0.0112</v>
      </c>
      <c r="F877" s="359" t="n">
        <v>4840.65</v>
      </c>
      <c r="G877" s="268">
        <f>ROUND(E877*F877,2)</f>
        <v/>
      </c>
      <c r="H877" s="269">
        <f>G877/$G$1004</f>
        <v/>
      </c>
      <c r="I877" s="268">
        <f>ROUND(F877*Прил.10!$D$13,2)</f>
        <v/>
      </c>
      <c r="J877" s="268">
        <f>ROUND(I877*E877,2)</f>
        <v/>
      </c>
    </row>
    <row r="878" hidden="1" outlineLevel="1" ht="14.25" customFormat="1" customHeight="1" s="255">
      <c r="A878" s="357" t="n">
        <v>850</v>
      </c>
      <c r="B878" s="265" t="inlineStr">
        <is>
          <t>Прайс из СД ОП</t>
        </is>
      </c>
      <c r="C878" s="356" t="inlineStr">
        <is>
          <t xml:space="preserve">Датчик температуры TST05-4,0 </t>
        </is>
      </c>
      <c r="D878" s="357" t="inlineStr">
        <is>
          <t>шт.</t>
        </is>
      </c>
      <c r="E878" s="267" t="n">
        <v>1</v>
      </c>
      <c r="F878" s="359" t="n">
        <v>54.01</v>
      </c>
      <c r="G878" s="268">
        <f>ROUND(E878*F878,2)</f>
        <v/>
      </c>
      <c r="H878" s="269">
        <f>G878/$G$1004</f>
        <v/>
      </c>
      <c r="I878" s="268">
        <f>ROUND(F878*Прил.10!$D$13,2)</f>
        <v/>
      </c>
      <c r="J878" s="268">
        <f>ROUND(I878*E878,2)</f>
        <v/>
      </c>
    </row>
    <row r="879" hidden="1" outlineLevel="1" ht="25.5" customFormat="1" customHeight="1" s="255">
      <c r="A879" s="357" t="n">
        <v>851</v>
      </c>
      <c r="B879" s="265" t="inlineStr">
        <is>
          <t>01.6.01.02-0005</t>
        </is>
      </c>
      <c r="C879" s="356" t="inlineStr">
        <is>
          <t>Листы гипсокартонные ГКЛ, толщина 9,5 мм</t>
        </is>
      </c>
      <c r="D879" s="357" t="inlineStr">
        <is>
          <t>м2</t>
        </is>
      </c>
      <c r="E879" s="267" t="n">
        <v>3.603</v>
      </c>
      <c r="F879" s="359" t="n">
        <v>14.8</v>
      </c>
      <c r="G879" s="268">
        <f>ROUND(E879*F879,2)</f>
        <v/>
      </c>
      <c r="H879" s="269">
        <f>G879/$G$1004</f>
        <v/>
      </c>
      <c r="I879" s="268">
        <f>ROUND(F879*Прил.10!$D$13,2)</f>
        <v/>
      </c>
      <c r="J879" s="268">
        <f>ROUND(I879*E879,2)</f>
        <v/>
      </c>
    </row>
    <row r="880" hidden="1" outlineLevel="1" ht="38.25" customFormat="1" customHeight="1" s="255">
      <c r="A880" s="357" t="n">
        <v>852</v>
      </c>
      <c r="B880" s="265" t="inlineStr">
        <is>
          <t>Прайс из СД ОП</t>
        </is>
      </c>
      <c r="C880" s="356" t="inlineStr">
        <is>
          <t xml:space="preserve">Автоматический выключатель однополюсный модульный, Iн=6А, OptiDin BM63-1C6 </t>
        </is>
      </c>
      <c r="D880" s="357" t="inlineStr">
        <is>
          <t>шт.</t>
        </is>
      </c>
      <c r="E880" s="267" t="n">
        <v>2</v>
      </c>
      <c r="F880" s="359" t="n">
        <v>26.28</v>
      </c>
      <c r="G880" s="268">
        <f>ROUND(E880*F880,2)</f>
        <v/>
      </c>
      <c r="H880" s="269">
        <f>G880/$G$1004</f>
        <v/>
      </c>
      <c r="I880" s="268">
        <f>ROUND(F880*Прил.10!$D$13,2)</f>
        <v/>
      </c>
      <c r="J880" s="268">
        <f>ROUND(I880*E880,2)</f>
        <v/>
      </c>
    </row>
    <row r="881" hidden="1" outlineLevel="1" ht="14.25" customFormat="1" customHeight="1" s="255">
      <c r="A881" s="357" t="n">
        <v>853</v>
      </c>
      <c r="B881" s="265" t="inlineStr">
        <is>
          <t>20.2.02.01-0012</t>
        </is>
      </c>
      <c r="C881" s="356" t="inlineStr">
        <is>
          <t>Втулки, диаметр 22 мм</t>
        </is>
      </c>
      <c r="D881" s="357" t="inlineStr">
        <is>
          <t>1000 шт</t>
        </is>
      </c>
      <c r="E881" s="267" t="n">
        <v>0.4263</v>
      </c>
      <c r="F881" s="359" t="n">
        <v>119</v>
      </c>
      <c r="G881" s="268">
        <f>ROUND(E881*F881,2)</f>
        <v/>
      </c>
      <c r="H881" s="269">
        <f>G881/$G$1004</f>
        <v/>
      </c>
      <c r="I881" s="268">
        <f>ROUND(F881*Прил.10!$D$13,2)</f>
        <v/>
      </c>
      <c r="J881" s="268">
        <f>ROUND(I881*E881,2)</f>
        <v/>
      </c>
    </row>
    <row r="882" hidden="1" outlineLevel="1" ht="25.5" customFormat="1" customHeight="1" s="255">
      <c r="A882" s="357" t="n">
        <v>854</v>
      </c>
      <c r="B882" s="265" t="inlineStr">
        <is>
          <t>Прайс из СД ОП</t>
        </is>
      </c>
      <c r="C882" s="356" t="inlineStr">
        <is>
          <t>Уплотнитель замкового соединения 8ммх30м</t>
        </is>
      </c>
      <c r="D882" s="357" t="inlineStr">
        <is>
          <t>шт</t>
        </is>
      </c>
      <c r="E882" s="267" t="n">
        <v>7</v>
      </c>
      <c r="F882" s="359" t="n">
        <v>6.98</v>
      </c>
      <c r="G882" s="268">
        <f>ROUND(E882*F882,2)</f>
        <v/>
      </c>
      <c r="H882" s="269">
        <f>G882/$G$1004</f>
        <v/>
      </c>
      <c r="I882" s="268">
        <f>ROUND(F882*Прил.10!$D$13,2)</f>
        <v/>
      </c>
      <c r="J882" s="268">
        <f>ROUND(I882*E882,2)</f>
        <v/>
      </c>
    </row>
    <row r="883" hidden="1" outlineLevel="1" ht="38.25" customFormat="1" customHeight="1" s="255">
      <c r="A883" s="357" t="n">
        <v>855</v>
      </c>
      <c r="B883" s="265" t="inlineStr">
        <is>
          <t>08.3.03.05-0020</t>
        </is>
      </c>
      <c r="C883" s="356" t="inlineStr">
        <is>
          <t>Проволока стальная низкоуглеродистая разного назначения оцинкованная, диаметр 6,0-6,3 мм</t>
        </is>
      </c>
      <c r="D883" s="357" t="inlineStr">
        <is>
          <t>т</t>
        </is>
      </c>
      <c r="E883" s="267" t="n">
        <v>0.004</v>
      </c>
      <c r="F883" s="359" t="n">
        <v>12110</v>
      </c>
      <c r="G883" s="268">
        <f>ROUND(E883*F883,2)</f>
        <v/>
      </c>
      <c r="H883" s="269">
        <f>G883/$G$1004</f>
        <v/>
      </c>
      <c r="I883" s="268">
        <f>ROUND(F883*Прил.10!$D$13,2)</f>
        <v/>
      </c>
      <c r="J883" s="268">
        <f>ROUND(I883*E883,2)</f>
        <v/>
      </c>
    </row>
    <row r="884" hidden="1" outlineLevel="1" ht="51" customFormat="1" customHeight="1" s="255">
      <c r="A884" s="357" t="n">
        <v>856</v>
      </c>
      <c r="B884" s="265" t="inlineStr">
        <is>
          <t>08.3.06.01-0003</t>
        </is>
      </c>
      <c r="C884" s="356" t="inlineStr">
        <is>
          <t>Прокат ромбического рифления, горячекатаный, в листах с обрезными кромками, марка стали С235, ширина от 1 до 1,9 м, толщина 4 мм</t>
        </is>
      </c>
      <c r="D884" s="357" t="inlineStr">
        <is>
          <t>т</t>
        </is>
      </c>
      <c r="E884" s="267" t="n">
        <v>0.007</v>
      </c>
      <c r="F884" s="359" t="n">
        <v>6834.81</v>
      </c>
      <c r="G884" s="268">
        <f>ROUND(E884*F884,2)</f>
        <v/>
      </c>
      <c r="H884" s="269">
        <f>G884/$G$1004</f>
        <v/>
      </c>
      <c r="I884" s="268">
        <f>ROUND(F884*Прил.10!$D$13,2)</f>
        <v/>
      </c>
      <c r="J884" s="268">
        <f>ROUND(I884*E884,2)</f>
        <v/>
      </c>
    </row>
    <row r="885" hidden="1" outlineLevel="1" ht="14.25" customFormat="1" customHeight="1" s="255">
      <c r="A885" s="357" t="n">
        <v>857</v>
      </c>
      <c r="B885" s="265" t="inlineStr">
        <is>
          <t>Прайс из СД ОП</t>
        </is>
      </c>
      <c r="C885" s="356" t="inlineStr">
        <is>
          <t>Приставки контактные ПКЛ-11 УХЛ4</t>
        </is>
      </c>
      <c r="D885" s="357" t="inlineStr">
        <is>
          <t>шт.</t>
        </is>
      </c>
      <c r="E885" s="267" t="n">
        <v>2</v>
      </c>
      <c r="F885" s="359" t="n">
        <v>23.67</v>
      </c>
      <c r="G885" s="268">
        <f>ROUND(E885*F885,2)</f>
        <v/>
      </c>
      <c r="H885" s="269">
        <f>G885/$G$1004</f>
        <v/>
      </c>
      <c r="I885" s="268">
        <f>ROUND(F885*Прил.10!$D$13,2)</f>
        <v/>
      </c>
      <c r="J885" s="268">
        <f>ROUND(I885*E885,2)</f>
        <v/>
      </c>
    </row>
    <row r="886" hidden="1" outlineLevel="1" ht="14.25" customFormat="1" customHeight="1" s="255">
      <c r="A886" s="357" t="n">
        <v>858</v>
      </c>
      <c r="B886" s="265" t="inlineStr">
        <is>
          <t>12.2.03.14-0002</t>
        </is>
      </c>
      <c r="C886" s="356" t="inlineStr">
        <is>
          <t>Жгут пароизоловый, диаметр 40 мм</t>
        </is>
      </c>
      <c r="D886" s="357" t="inlineStr">
        <is>
          <t>м</t>
        </is>
      </c>
      <c r="E886" s="267" t="n">
        <v>8</v>
      </c>
      <c r="F886" s="359" t="n">
        <v>5.9</v>
      </c>
      <c r="G886" s="268">
        <f>ROUND(E886*F886,2)</f>
        <v/>
      </c>
      <c r="H886" s="269">
        <f>G886/$G$1004</f>
        <v/>
      </c>
      <c r="I886" s="268">
        <f>ROUND(F886*Прил.10!$D$13,2)</f>
        <v/>
      </c>
      <c r="J886" s="268">
        <f>ROUND(I886*E886,2)</f>
        <v/>
      </c>
    </row>
    <row r="887" hidden="1" outlineLevel="1" ht="14.25" customFormat="1" customHeight="1" s="255">
      <c r="A887" s="357" t="n">
        <v>859</v>
      </c>
      <c r="B887" s="265" t="inlineStr">
        <is>
          <t>01.7.20.04-0003</t>
        </is>
      </c>
      <c r="C887" s="356" t="inlineStr">
        <is>
          <t>Нитки суровые</t>
        </is>
      </c>
      <c r="D887" s="357" t="inlineStr">
        <is>
          <t>кг</t>
        </is>
      </c>
      <c r="E887" s="267" t="n">
        <v>0.3</v>
      </c>
      <c r="F887" s="359" t="n">
        <v>155</v>
      </c>
      <c r="G887" s="268">
        <f>ROUND(E887*F887,2)</f>
        <v/>
      </c>
      <c r="H887" s="269">
        <f>G887/$G$1004</f>
        <v/>
      </c>
      <c r="I887" s="268">
        <f>ROUND(F887*Прил.10!$D$13,2)</f>
        <v/>
      </c>
      <c r="J887" s="268">
        <f>ROUND(I887*E887,2)</f>
        <v/>
      </c>
    </row>
    <row r="888" hidden="1" outlineLevel="1" ht="25.5" customFormat="1" customHeight="1" s="255">
      <c r="A888" s="357" t="n">
        <v>860</v>
      </c>
      <c r="B888" s="265" t="inlineStr">
        <is>
          <t>Прайс из СД ОП</t>
        </is>
      </c>
      <c r="C888" s="356" t="inlineStr">
        <is>
          <t>Автоматический выключатель однополюсный, OptiDin BM63-1С1</t>
        </is>
      </c>
      <c r="D888" s="357" t="inlineStr">
        <is>
          <t>шт.</t>
        </is>
      </c>
      <c r="E888" s="267" t="n">
        <v>2</v>
      </c>
      <c r="F888" s="359" t="n">
        <v>22.77</v>
      </c>
      <c r="G888" s="268">
        <f>ROUND(E888*F888,2)</f>
        <v/>
      </c>
      <c r="H888" s="269">
        <f>G888/$G$1004</f>
        <v/>
      </c>
      <c r="I888" s="268">
        <f>ROUND(F888*Прил.10!$D$13,2)</f>
        <v/>
      </c>
      <c r="J888" s="268">
        <f>ROUND(I888*E888,2)</f>
        <v/>
      </c>
    </row>
    <row r="889" hidden="1" outlineLevel="1" ht="14.25" customFormat="1" customHeight="1" s="255">
      <c r="A889" s="357" t="n">
        <v>861</v>
      </c>
      <c r="B889" s="265" t="inlineStr">
        <is>
          <t>01.7.15.14-0165</t>
        </is>
      </c>
      <c r="C889" s="356" t="inlineStr">
        <is>
          <t>Шурупы с полукруглой головкой 4х40 мм</t>
        </is>
      </c>
      <c r="D889" s="357" t="inlineStr">
        <is>
          <t>т</t>
        </is>
      </c>
      <c r="E889" s="267" t="n">
        <v>0.0036</v>
      </c>
      <c r="F889" s="359" t="n">
        <v>12430</v>
      </c>
      <c r="G889" s="268">
        <f>ROUND(E889*F889,2)</f>
        <v/>
      </c>
      <c r="H889" s="269">
        <f>G889/$G$1004</f>
        <v/>
      </c>
      <c r="I889" s="268">
        <f>ROUND(F889*Прил.10!$D$13,2)</f>
        <v/>
      </c>
      <c r="J889" s="268">
        <f>ROUND(I889*E889,2)</f>
        <v/>
      </c>
    </row>
    <row r="890" hidden="1" outlineLevel="1" ht="25.5" customFormat="1" customHeight="1" s="255">
      <c r="A890" s="357" t="n">
        <v>862</v>
      </c>
      <c r="B890" s="265" t="inlineStr">
        <is>
          <t>01.7.06.03-0023</t>
        </is>
      </c>
      <c r="C890" s="356" t="inlineStr">
        <is>
          <t>Лента полиэтиленовая с липким слоем, марка А</t>
        </is>
      </c>
      <c r="D890" s="357" t="inlineStr">
        <is>
          <t>кг</t>
        </is>
      </c>
      <c r="E890" s="267" t="n">
        <v>1.1017</v>
      </c>
      <c r="F890" s="359" t="n">
        <v>39.02</v>
      </c>
      <c r="G890" s="268">
        <f>ROUND(E890*F890,2)</f>
        <v/>
      </c>
      <c r="H890" s="269">
        <f>G890/$G$1004</f>
        <v/>
      </c>
      <c r="I890" s="268">
        <f>ROUND(F890*Прил.10!$D$13,2)</f>
        <v/>
      </c>
      <c r="J890" s="268">
        <f>ROUND(I890*E890,2)</f>
        <v/>
      </c>
    </row>
    <row r="891" hidden="1" outlineLevel="1" ht="25.5" customFormat="1" customHeight="1" s="255">
      <c r="A891" s="357" t="n">
        <v>863</v>
      </c>
      <c r="B891" s="265" t="inlineStr">
        <is>
          <t>01.7.15.02-0071</t>
        </is>
      </c>
      <c r="C891" s="356" t="inlineStr">
        <is>
          <t>Болты распорный МР диаметр 12 мм, длина 100 мм</t>
        </is>
      </c>
      <c r="D891" s="357" t="inlineStr">
        <is>
          <t>шт</t>
        </is>
      </c>
      <c r="E891" s="267" t="n">
        <v>8</v>
      </c>
      <c r="F891" s="359" t="n">
        <v>5.28</v>
      </c>
      <c r="G891" s="268">
        <f>ROUND(E891*F891,2)</f>
        <v/>
      </c>
      <c r="H891" s="269">
        <f>G891/$G$1004</f>
        <v/>
      </c>
      <c r="I891" s="268">
        <f>ROUND(F891*Прил.10!$D$13,2)</f>
        <v/>
      </c>
      <c r="J891" s="268">
        <f>ROUND(I891*E891,2)</f>
        <v/>
      </c>
    </row>
    <row r="892" hidden="1" outlineLevel="1" ht="25.5" customFormat="1" customHeight="1" s="255">
      <c r="A892" s="357" t="n">
        <v>864</v>
      </c>
      <c r="B892" s="265" t="inlineStr">
        <is>
          <t>01.1.02.04-0011</t>
        </is>
      </c>
      <c r="C892" s="356" t="inlineStr">
        <is>
          <t>Картон асбестовый общего назначения марка КАОН-1, толщина 3 мм</t>
        </is>
      </c>
      <c r="D892" s="357" t="inlineStr">
        <is>
          <t>т</t>
        </is>
      </c>
      <c r="E892" s="267" t="n">
        <v>0.0047</v>
      </c>
      <c r="F892" s="359" t="n">
        <v>8892</v>
      </c>
      <c r="G892" s="268">
        <f>ROUND(E892*F892,2)</f>
        <v/>
      </c>
      <c r="H892" s="269">
        <f>G892/$G$1004</f>
        <v/>
      </c>
      <c r="I892" s="268">
        <f>ROUND(F892*Прил.10!$D$13,2)</f>
        <v/>
      </c>
      <c r="J892" s="268">
        <f>ROUND(I892*E892,2)</f>
        <v/>
      </c>
    </row>
    <row r="893" hidden="1" outlineLevel="1" ht="25.5" customFormat="1" customHeight="1" s="255">
      <c r="A893" s="357" t="n">
        <v>865</v>
      </c>
      <c r="B893" s="265" t="inlineStr">
        <is>
          <t>01.7.11.07-0040</t>
        </is>
      </c>
      <c r="C893" s="356" t="inlineStr">
        <is>
          <t>Электроды сварочные Э50А, диаметр 4 мм</t>
        </is>
      </c>
      <c r="D893" s="357" t="inlineStr">
        <is>
          <t>т</t>
        </is>
      </c>
      <c r="E893" s="267" t="n">
        <v>0.0036</v>
      </c>
      <c r="F893" s="359" t="n">
        <v>11524</v>
      </c>
      <c r="G893" s="268">
        <f>ROUND(E893*F893,2)</f>
        <v/>
      </c>
      <c r="H893" s="269">
        <f>G893/$G$1004</f>
        <v/>
      </c>
      <c r="I893" s="268">
        <f>ROUND(F893*Прил.10!$D$13,2)</f>
        <v/>
      </c>
      <c r="J893" s="268">
        <f>ROUND(I893*E893,2)</f>
        <v/>
      </c>
    </row>
    <row r="894" hidden="1" outlineLevel="1" ht="14.25" customFormat="1" customHeight="1" s="255">
      <c r="A894" s="357" t="n">
        <v>866</v>
      </c>
      <c r="B894" s="265" t="inlineStr">
        <is>
          <t>Прайс из СД ОП</t>
        </is>
      </c>
      <c r="C894" s="356" t="inlineStr">
        <is>
          <t xml:space="preserve">Решетка декоративная Р25-200х150 </t>
        </is>
      </c>
      <c r="D894" s="357" t="inlineStr">
        <is>
          <t>шт.</t>
        </is>
      </c>
      <c r="E894" s="267" t="n">
        <v>1</v>
      </c>
      <c r="F894" s="359" t="n">
        <v>41.43</v>
      </c>
      <c r="G894" s="268">
        <f>ROUND(E894*F894,2)</f>
        <v/>
      </c>
      <c r="H894" s="269">
        <f>G894/$G$1004</f>
        <v/>
      </c>
      <c r="I894" s="268">
        <f>ROUND(F894*Прил.10!$D$13,2)</f>
        <v/>
      </c>
      <c r="J894" s="268">
        <f>ROUND(I894*E894,2)</f>
        <v/>
      </c>
    </row>
    <row r="895" hidden="1" outlineLevel="1" ht="14.25" customFormat="1" customHeight="1" s="255">
      <c r="A895" s="357" t="n">
        <v>867</v>
      </c>
      <c r="B895" s="265" t="inlineStr">
        <is>
          <t>14.1.06.02-1002</t>
        </is>
      </c>
      <c r="C895" s="356" t="inlineStr">
        <is>
          <t>Клей плиточный</t>
        </is>
      </c>
      <c r="D895" s="357" t="inlineStr">
        <is>
          <t>кг</t>
        </is>
      </c>
      <c r="E895" s="267" t="n">
        <v>29.25</v>
      </c>
      <c r="F895" s="359" t="n">
        <v>1.37</v>
      </c>
      <c r="G895" s="268">
        <f>ROUND(E895*F895,2)</f>
        <v/>
      </c>
      <c r="H895" s="269">
        <f>G895/$G$1004</f>
        <v/>
      </c>
      <c r="I895" s="268">
        <f>ROUND(F895*Прил.10!$D$13,2)</f>
        <v/>
      </c>
      <c r="J895" s="268">
        <f>ROUND(I895*E895,2)</f>
        <v/>
      </c>
    </row>
    <row r="896" hidden="1" outlineLevel="1" ht="38.25" customFormat="1" customHeight="1" s="255">
      <c r="A896" s="357" t="n">
        <v>868</v>
      </c>
      <c r="B896" s="265" t="inlineStr">
        <is>
          <t>08.3.03.05-0011</t>
        </is>
      </c>
      <c r="C896" s="356" t="inlineStr">
        <is>
          <t>Проволока стальная низкоуглеродистая разного назначения оцинкованная, диаметр 1,1 мм</t>
        </is>
      </c>
      <c r="D896" s="357" t="inlineStr">
        <is>
          <t>т</t>
        </is>
      </c>
      <c r="E896" s="267" t="n">
        <v>0.0027</v>
      </c>
      <c r="F896" s="359" t="n">
        <v>14690</v>
      </c>
      <c r="G896" s="268">
        <f>ROUND(E896*F896,2)</f>
        <v/>
      </c>
      <c r="H896" s="269">
        <f>G896/$G$1004</f>
        <v/>
      </c>
      <c r="I896" s="268">
        <f>ROUND(F896*Прил.10!$D$13,2)</f>
        <v/>
      </c>
      <c r="J896" s="268">
        <f>ROUND(I896*E896,2)</f>
        <v/>
      </c>
    </row>
    <row r="897" hidden="1" outlineLevel="1" ht="38.25" customFormat="1" customHeight="1" s="255">
      <c r="A897" s="357" t="n">
        <v>869</v>
      </c>
      <c r="B897" s="265" t="inlineStr">
        <is>
          <t>Прайс из СД ОП</t>
        </is>
      </c>
      <c r="C897" s="356" t="inlineStr">
        <is>
          <t>Выключатель одноклавишный скрытой установки, 10 А, IP44 Legrand Plexo, арт. 069630</t>
        </is>
      </c>
      <c r="D897" s="357" t="inlineStr">
        <is>
          <t>шт.</t>
        </is>
      </c>
      <c r="E897" s="267" t="n">
        <v>1</v>
      </c>
      <c r="F897" s="359" t="n">
        <v>38.66</v>
      </c>
      <c r="G897" s="268">
        <f>ROUND(E897*F897,2)</f>
        <v/>
      </c>
      <c r="H897" s="269">
        <f>G897/$G$1004</f>
        <v/>
      </c>
      <c r="I897" s="268">
        <f>ROUND(F897*Прил.10!$D$13,2)</f>
        <v/>
      </c>
      <c r="J897" s="268">
        <f>ROUND(I897*E897,2)</f>
        <v/>
      </c>
    </row>
    <row r="898" hidden="1" outlineLevel="1" ht="14.25" customFormat="1" customHeight="1" s="255">
      <c r="A898" s="357" t="n">
        <v>870</v>
      </c>
      <c r="B898" s="265" t="inlineStr">
        <is>
          <t>01.7.02.07-0011</t>
        </is>
      </c>
      <c r="C898" s="356" t="inlineStr">
        <is>
          <t>Прессшпан листовой, марка А</t>
        </is>
      </c>
      <c r="D898" s="357" t="inlineStr">
        <is>
          <t>кг</t>
        </is>
      </c>
      <c r="E898" s="267" t="n">
        <v>0.8</v>
      </c>
      <c r="F898" s="359" t="n">
        <v>47.57</v>
      </c>
      <c r="G898" s="268">
        <f>ROUND(E898*F898,2)</f>
        <v/>
      </c>
      <c r="H898" s="269">
        <f>G898/$G$1004</f>
        <v/>
      </c>
      <c r="I898" s="268">
        <f>ROUND(F898*Прил.10!$D$13,2)</f>
        <v/>
      </c>
      <c r="J898" s="268">
        <f>ROUND(I898*E898,2)</f>
        <v/>
      </c>
    </row>
    <row r="899" hidden="1" outlineLevel="1" ht="14.25" customFormat="1" customHeight="1" s="255">
      <c r="A899" s="357" t="n">
        <v>871</v>
      </c>
      <c r="B899" s="265" t="inlineStr">
        <is>
          <t>01.7.07.29-0101</t>
        </is>
      </c>
      <c r="C899" s="356" t="inlineStr">
        <is>
          <t>Очес льняной</t>
        </is>
      </c>
      <c r="D899" s="357" t="inlineStr">
        <is>
          <t>кг</t>
        </is>
      </c>
      <c r="E899" s="267" t="n">
        <v>1.0161</v>
      </c>
      <c r="F899" s="359" t="n">
        <v>37.29</v>
      </c>
      <c r="G899" s="268">
        <f>ROUND(E899*F899,2)</f>
        <v/>
      </c>
      <c r="H899" s="269">
        <f>G899/$G$1004</f>
        <v/>
      </c>
      <c r="I899" s="268">
        <f>ROUND(F899*Прил.10!$D$13,2)</f>
        <v/>
      </c>
      <c r="J899" s="268">
        <f>ROUND(I899*E899,2)</f>
        <v/>
      </c>
    </row>
    <row r="900" hidden="1" outlineLevel="1" ht="38.25" customFormat="1" customHeight="1" s="255">
      <c r="A900" s="357" t="n">
        <v>872</v>
      </c>
      <c r="B900" s="265" t="inlineStr">
        <is>
          <t>Прайс из СД ОП</t>
        </is>
      </c>
      <c r="C900" s="356" t="inlineStr">
        <is>
          <t>Выключатель двухклавишный открытой установки, 10 А, IP44 Этюд, арт. ВА10-042В</t>
        </is>
      </c>
      <c r="D900" s="357" t="inlineStr">
        <is>
          <t>шт.</t>
        </is>
      </c>
      <c r="E900" s="267" t="n">
        <v>2</v>
      </c>
      <c r="F900" s="359" t="n">
        <v>18.82</v>
      </c>
      <c r="G900" s="268">
        <f>ROUND(E900*F900,2)</f>
        <v/>
      </c>
      <c r="H900" s="269">
        <f>G900/$G$1004</f>
        <v/>
      </c>
      <c r="I900" s="268">
        <f>ROUND(F900*Прил.10!$D$13,2)</f>
        <v/>
      </c>
      <c r="J900" s="268">
        <f>ROUND(I900*E900,2)</f>
        <v/>
      </c>
    </row>
    <row r="901" hidden="1" outlineLevel="1" ht="38.25" customFormat="1" customHeight="1" s="255">
      <c r="A901" s="357" t="n">
        <v>873</v>
      </c>
      <c r="B901" s="265" t="inlineStr">
        <is>
          <t>01.7.15.06-0094</t>
        </is>
      </c>
      <c r="C901" s="356" t="inlineStr">
        <is>
          <t>Гвозди проволочные оцинкованные для асбестоцементной кровли, размер 4,5х120 мм</t>
        </is>
      </c>
      <c r="D901" s="357" t="inlineStr">
        <is>
          <t>т</t>
        </is>
      </c>
      <c r="E901" s="267" t="n">
        <v>0.0031</v>
      </c>
      <c r="F901" s="359" t="n">
        <v>11978</v>
      </c>
      <c r="G901" s="268">
        <f>ROUND(E901*F901,2)</f>
        <v/>
      </c>
      <c r="H901" s="269">
        <f>G901/$G$1004</f>
        <v/>
      </c>
      <c r="I901" s="268">
        <f>ROUND(F901*Прил.10!$D$13,2)</f>
        <v/>
      </c>
      <c r="J901" s="268">
        <f>ROUND(I901*E901,2)</f>
        <v/>
      </c>
    </row>
    <row r="902" hidden="1" outlineLevel="1" ht="14.25" customFormat="1" customHeight="1" s="255">
      <c r="A902" s="357" t="n">
        <v>874</v>
      </c>
      <c r="B902" s="265" t="inlineStr">
        <is>
          <t>25.2.01.01-0017</t>
        </is>
      </c>
      <c r="C902" s="356" t="inlineStr">
        <is>
          <t>Бирки маркировочные пластмассовые</t>
        </is>
      </c>
      <c r="D902" s="357" t="inlineStr">
        <is>
          <t>100 шт</t>
        </is>
      </c>
      <c r="E902" s="267" t="n">
        <v>1.199</v>
      </c>
      <c r="F902" s="359" t="n">
        <v>30.74</v>
      </c>
      <c r="G902" s="268">
        <f>ROUND(E902*F902,2)</f>
        <v/>
      </c>
      <c r="H902" s="269">
        <f>G902/$G$1004</f>
        <v/>
      </c>
      <c r="I902" s="268">
        <f>ROUND(F902*Прил.10!$D$13,2)</f>
        <v/>
      </c>
      <c r="J902" s="268">
        <f>ROUND(I902*E902,2)</f>
        <v/>
      </c>
    </row>
    <row r="903" hidden="1" outlineLevel="1" ht="14.25" customFormat="1" customHeight="1" s="255">
      <c r="A903" s="357" t="n">
        <v>875</v>
      </c>
      <c r="B903" s="265" t="inlineStr">
        <is>
          <t>01.7.20.04-0005</t>
        </is>
      </c>
      <c r="C903" s="356" t="inlineStr">
        <is>
          <t>Нитки швейные</t>
        </is>
      </c>
      <c r="D903" s="357" t="inlineStr">
        <is>
          <t>кг</t>
        </is>
      </c>
      <c r="E903" s="267" t="n">
        <v>0.2762</v>
      </c>
      <c r="F903" s="359" t="n">
        <v>133.05</v>
      </c>
      <c r="G903" s="268">
        <f>ROUND(E903*F903,2)</f>
        <v/>
      </c>
      <c r="H903" s="269">
        <f>G903/$G$1004</f>
        <v/>
      </c>
      <c r="I903" s="268">
        <f>ROUND(F903*Прил.10!$D$13,2)</f>
        <v/>
      </c>
      <c r="J903" s="268">
        <f>ROUND(I903*E903,2)</f>
        <v/>
      </c>
    </row>
    <row r="904" hidden="1" outlineLevel="1" ht="25.5" customFormat="1" customHeight="1" s="255">
      <c r="A904" s="357" t="n">
        <v>876</v>
      </c>
      <c r="B904" s="265" t="inlineStr">
        <is>
          <t>01.7.15.04-0054</t>
        </is>
      </c>
      <c r="C904" s="356" t="inlineStr">
        <is>
          <t>Винты самонарезающие, оцинкованные, размер 4х12 мм</t>
        </is>
      </c>
      <c r="D904" s="357" t="inlineStr">
        <is>
          <t>т</t>
        </is>
      </c>
      <c r="E904" s="267" t="n">
        <v>0.0011</v>
      </c>
      <c r="F904" s="359" t="n">
        <v>33180</v>
      </c>
      <c r="G904" s="268">
        <f>ROUND(E904*F904,2)</f>
        <v/>
      </c>
      <c r="H904" s="269">
        <f>G904/$G$1004</f>
        <v/>
      </c>
      <c r="I904" s="268">
        <f>ROUND(F904*Прил.10!$D$13,2)</f>
        <v/>
      </c>
      <c r="J904" s="268">
        <f>ROUND(I904*E904,2)</f>
        <v/>
      </c>
    </row>
    <row r="905" hidden="1" outlineLevel="1" ht="25.5" customFormat="1" customHeight="1" s="255">
      <c r="A905" s="357" t="n">
        <v>877</v>
      </c>
      <c r="B905" s="265" t="inlineStr">
        <is>
          <t>Прайс из СД ОП</t>
        </is>
      </c>
      <c r="C905" s="356" t="inlineStr">
        <is>
          <t>Шина защитного заземления  PE на 2х угловых изоляторах ШНИ-6х9-20-У2-Ж</t>
        </is>
      </c>
      <c r="D905" s="357" t="inlineStr">
        <is>
          <t>шт.</t>
        </is>
      </c>
      <c r="E905" s="267" t="n">
        <v>2</v>
      </c>
      <c r="F905" s="359" t="n">
        <v>17.75</v>
      </c>
      <c r="G905" s="268">
        <f>ROUND(E905*F905,2)</f>
        <v/>
      </c>
      <c r="H905" s="269">
        <f>G905/$G$1004</f>
        <v/>
      </c>
      <c r="I905" s="268">
        <f>ROUND(F905*Прил.10!$D$13,2)</f>
        <v/>
      </c>
      <c r="J905" s="268">
        <f>ROUND(I905*E905,2)</f>
        <v/>
      </c>
    </row>
    <row r="906" hidden="1" outlineLevel="1" ht="14.25" customFormat="1" customHeight="1" s="255">
      <c r="A906" s="357" t="n">
        <v>878</v>
      </c>
      <c r="B906" s="265" t="inlineStr">
        <is>
          <t>Прайс из СД ОП</t>
        </is>
      </c>
      <c r="C906" s="356" t="inlineStr">
        <is>
          <t>Шина нулевая ШНИ-6х9-20-У2-С</t>
        </is>
      </c>
      <c r="D906" s="357" t="inlineStr">
        <is>
          <t>шт.</t>
        </is>
      </c>
      <c r="E906" s="267" t="n">
        <v>2</v>
      </c>
      <c r="F906" s="359" t="n">
        <v>17.75</v>
      </c>
      <c r="G906" s="268">
        <f>ROUND(E906*F906,2)</f>
        <v/>
      </c>
      <c r="H906" s="269">
        <f>G906/$G$1004</f>
        <v/>
      </c>
      <c r="I906" s="268">
        <f>ROUND(F906*Прил.10!$D$13,2)</f>
        <v/>
      </c>
      <c r="J906" s="268">
        <f>ROUND(I906*E906,2)</f>
        <v/>
      </c>
    </row>
    <row r="907" hidden="1" outlineLevel="1" ht="14.25" customFormat="1" customHeight="1" s="255">
      <c r="A907" s="357" t="n">
        <v>879</v>
      </c>
      <c r="B907" s="265" t="inlineStr">
        <is>
          <t>Прайс из СД ОП</t>
        </is>
      </c>
      <c r="C907" s="356" t="inlineStr">
        <is>
          <t xml:space="preserve">Монтажный хомут Канал-МК-160 </t>
        </is>
      </c>
      <c r="D907" s="357" t="inlineStr">
        <is>
          <t>шт.</t>
        </is>
      </c>
      <c r="E907" s="267" t="n">
        <v>2</v>
      </c>
      <c r="F907" s="359" t="n">
        <v>17.64</v>
      </c>
      <c r="G907" s="268">
        <f>ROUND(E907*F907,2)</f>
        <v/>
      </c>
      <c r="H907" s="269">
        <f>G907/$G$1004</f>
        <v/>
      </c>
      <c r="I907" s="268">
        <f>ROUND(F907*Прил.10!$D$13,2)</f>
        <v/>
      </c>
      <c r="J907" s="268">
        <f>ROUND(I907*E907,2)</f>
        <v/>
      </c>
    </row>
    <row r="908" hidden="1" outlineLevel="1" ht="25.5" customFormat="1" customHeight="1" s="255">
      <c r="A908" s="357" t="n">
        <v>880</v>
      </c>
      <c r="B908" s="265" t="inlineStr">
        <is>
          <t>Прайс из СД ОП</t>
        </is>
      </c>
      <c r="C908" s="356" t="inlineStr">
        <is>
          <t>Коробка распределительная для скрытого монтажа, 80х45 мм ГСК СП, арт.10174</t>
        </is>
      </c>
      <c r="D908" s="357" t="inlineStr">
        <is>
          <t>шт.</t>
        </is>
      </c>
      <c r="E908" s="267" t="n">
        <v>16</v>
      </c>
      <c r="F908" s="359" t="n">
        <v>2.18</v>
      </c>
      <c r="G908" s="268">
        <f>ROUND(E908*F908,2)</f>
        <v/>
      </c>
      <c r="H908" s="269">
        <f>G908/$G$1004</f>
        <v/>
      </c>
      <c r="I908" s="268">
        <f>ROUND(F908*Прил.10!$D$13,2)</f>
        <v/>
      </c>
      <c r="J908" s="268">
        <f>ROUND(I908*E908,2)</f>
        <v/>
      </c>
    </row>
    <row r="909" hidden="1" outlineLevel="1" ht="14.25" customFormat="1" customHeight="1" s="255">
      <c r="A909" s="357" t="n">
        <v>881</v>
      </c>
      <c r="B909" s="265" t="inlineStr">
        <is>
          <t>01.7.06.07-0002</t>
        </is>
      </c>
      <c r="C909" s="356" t="inlineStr">
        <is>
          <t>Лента монтажная, тип ЛМ-5</t>
        </is>
      </c>
      <c r="D909" s="357" t="inlineStr">
        <is>
          <t>10 м</t>
        </is>
      </c>
      <c r="E909" s="267" t="n">
        <v>4.7844</v>
      </c>
      <c r="F909" s="359" t="n">
        <v>6.9</v>
      </c>
      <c r="G909" s="268">
        <f>ROUND(E909*F909,2)</f>
        <v/>
      </c>
      <c r="H909" s="269">
        <f>G909/$G$1004</f>
        <v/>
      </c>
      <c r="I909" s="268">
        <f>ROUND(F909*Прил.10!$D$13,2)</f>
        <v/>
      </c>
      <c r="J909" s="268">
        <f>ROUND(I909*E909,2)</f>
        <v/>
      </c>
    </row>
    <row r="910" hidden="1" outlineLevel="1" ht="14.25" customFormat="1" customHeight="1" s="255">
      <c r="A910" s="357" t="n">
        <v>882</v>
      </c>
      <c r="B910" s="265" t="inlineStr">
        <is>
          <t>01.7.19.07-0003</t>
        </is>
      </c>
      <c r="C910" s="356" t="inlineStr">
        <is>
          <t>Резина прессованная</t>
        </is>
      </c>
      <c r="D910" s="357" t="inlineStr">
        <is>
          <t>кг</t>
        </is>
      </c>
      <c r="E910" s="267" t="n">
        <v>1.112</v>
      </c>
      <c r="F910" s="359" t="n">
        <v>28.26</v>
      </c>
      <c r="G910" s="268">
        <f>ROUND(E910*F910,2)</f>
        <v/>
      </c>
      <c r="H910" s="269">
        <f>G910/$G$1004</f>
        <v/>
      </c>
      <c r="I910" s="268">
        <f>ROUND(F910*Прил.10!$D$13,2)</f>
        <v/>
      </c>
      <c r="J910" s="268">
        <f>ROUND(I910*E910,2)</f>
        <v/>
      </c>
    </row>
    <row r="911" hidden="1" outlineLevel="1" ht="14.25" customFormat="1" customHeight="1" s="255">
      <c r="A911" s="357" t="n">
        <v>883</v>
      </c>
      <c r="B911" s="265" t="inlineStr">
        <is>
          <t>24.3.01.01-0002</t>
        </is>
      </c>
      <c r="C911" s="356" t="inlineStr">
        <is>
          <t>Трубка полихлорвиниловая</t>
        </is>
      </c>
      <c r="D911" s="357" t="inlineStr">
        <is>
          <t>кг</t>
        </is>
      </c>
      <c r="E911" s="267" t="n">
        <v>0.832</v>
      </c>
      <c r="F911" s="359" t="n">
        <v>35.7</v>
      </c>
      <c r="G911" s="268">
        <f>ROUND(E911*F911,2)</f>
        <v/>
      </c>
      <c r="H911" s="269">
        <f>G911/$G$1004</f>
        <v/>
      </c>
      <c r="I911" s="268">
        <f>ROUND(F911*Прил.10!$D$13,2)</f>
        <v/>
      </c>
      <c r="J911" s="268">
        <f>ROUND(I911*E911,2)</f>
        <v/>
      </c>
    </row>
    <row r="912" hidden="1" outlineLevel="1" ht="14.25" customFormat="1" customHeight="1" s="255">
      <c r="A912" s="357" t="n">
        <v>884</v>
      </c>
      <c r="B912" s="265" t="inlineStr">
        <is>
          <t>22.2.02.11-0051</t>
        </is>
      </c>
      <c r="C912" s="356" t="inlineStr">
        <is>
          <t>Гайки установочные заземляющие</t>
        </is>
      </c>
      <c r="D912" s="357" t="inlineStr">
        <is>
          <t>100 шт</t>
        </is>
      </c>
      <c r="E912" s="267" t="n">
        <v>0.329</v>
      </c>
      <c r="F912" s="359" t="n">
        <v>88.5</v>
      </c>
      <c r="G912" s="268">
        <f>ROUND(E912*F912,2)</f>
        <v/>
      </c>
      <c r="H912" s="269">
        <f>G912/$G$1004</f>
        <v/>
      </c>
      <c r="I912" s="268">
        <f>ROUND(F912*Прил.10!$D$13,2)</f>
        <v/>
      </c>
      <c r="J912" s="268">
        <f>ROUND(I912*E912,2)</f>
        <v/>
      </c>
    </row>
    <row r="913" hidden="1" outlineLevel="1" ht="14.25" customFormat="1" customHeight="1" s="255">
      <c r="A913" s="357" t="n">
        <v>885</v>
      </c>
      <c r="B913" s="265" t="inlineStr">
        <is>
          <t>01.7.15.02-0055</t>
        </is>
      </c>
      <c r="C913" s="356" t="inlineStr">
        <is>
          <t>Болты высокопрочные</t>
        </is>
      </c>
      <c r="D913" s="357" t="inlineStr">
        <is>
          <t>т</t>
        </is>
      </c>
      <c r="E913" s="267" t="n">
        <v>0.001</v>
      </c>
      <c r="F913" s="359" t="n">
        <v>27595</v>
      </c>
      <c r="G913" s="268">
        <f>ROUND(E913*F913,2)</f>
        <v/>
      </c>
      <c r="H913" s="269">
        <f>G913/$G$1004</f>
        <v/>
      </c>
      <c r="I913" s="268">
        <f>ROUND(F913*Прил.10!$D$13,2)</f>
        <v/>
      </c>
      <c r="J913" s="268">
        <f>ROUND(I913*E913,2)</f>
        <v/>
      </c>
    </row>
    <row r="914" hidden="1" outlineLevel="1" ht="14.25" customFormat="1" customHeight="1" s="255">
      <c r="A914" s="357" t="n">
        <v>886</v>
      </c>
      <c r="B914" s="265" t="inlineStr">
        <is>
          <t>01.7.07.29-0031</t>
        </is>
      </c>
      <c r="C914" s="356" t="inlineStr">
        <is>
          <t>Каболка</t>
        </is>
      </c>
      <c r="D914" s="357" t="inlineStr">
        <is>
          <t>т</t>
        </is>
      </c>
      <c r="E914" s="267" t="n">
        <v>0.0009</v>
      </c>
      <c r="F914" s="359" t="n">
        <v>30030</v>
      </c>
      <c r="G914" s="268">
        <f>ROUND(E914*F914,2)</f>
        <v/>
      </c>
      <c r="H914" s="269">
        <f>G914/$G$1004</f>
        <v/>
      </c>
      <c r="I914" s="268">
        <f>ROUND(F914*Прил.10!$D$13,2)</f>
        <v/>
      </c>
      <c r="J914" s="268">
        <f>ROUND(I914*E914,2)</f>
        <v/>
      </c>
    </row>
    <row r="915" hidden="1" outlineLevel="1" ht="14.25" customFormat="1" customHeight="1" s="255">
      <c r="A915" s="357" t="n">
        <v>887</v>
      </c>
      <c r="B915" s="265" t="inlineStr">
        <is>
          <t>20.2.02.01-0014</t>
        </is>
      </c>
      <c r="C915" s="356" t="inlineStr">
        <is>
          <t>Втулки, диаметр 42 мм</t>
        </is>
      </c>
      <c r="D915" s="357" t="inlineStr">
        <is>
          <t>1000 шт</t>
        </is>
      </c>
      <c r="E915" s="267" t="n">
        <v>0.0891</v>
      </c>
      <c r="F915" s="359" t="n">
        <v>282.03</v>
      </c>
      <c r="G915" s="268">
        <f>ROUND(E915*F915,2)</f>
        <v/>
      </c>
      <c r="H915" s="269">
        <f>G915/$G$1004</f>
        <v/>
      </c>
      <c r="I915" s="268">
        <f>ROUND(F915*Прил.10!$D$13,2)</f>
        <v/>
      </c>
      <c r="J915" s="268">
        <f>ROUND(I915*E915,2)</f>
        <v/>
      </c>
    </row>
    <row r="916" hidden="1" outlineLevel="1" ht="14.25" customFormat="1" customHeight="1" s="255">
      <c r="A916" s="357" t="n">
        <v>888</v>
      </c>
      <c r="B916" s="265" t="inlineStr">
        <is>
          <t>Прайс из СД ОП</t>
        </is>
      </c>
      <c r="C916" s="356" t="inlineStr">
        <is>
          <t>Лампа сигнальная зеленая AD-22DS</t>
        </is>
      </c>
      <c r="D916" s="357" t="inlineStr">
        <is>
          <t>шт.</t>
        </is>
      </c>
      <c r="E916" s="267" t="n">
        <v>2</v>
      </c>
      <c r="F916" s="359" t="n">
        <v>12.19</v>
      </c>
      <c r="G916" s="268">
        <f>ROUND(E916*F916,2)</f>
        <v/>
      </c>
      <c r="H916" s="269">
        <f>G916/$G$1004</f>
        <v/>
      </c>
      <c r="I916" s="268">
        <f>ROUND(F916*Прил.10!$D$13,2)</f>
        <v/>
      </c>
      <c r="J916" s="268">
        <f>ROUND(I916*E916,2)</f>
        <v/>
      </c>
    </row>
    <row r="917" hidden="1" outlineLevel="1" ht="14.25" customFormat="1" customHeight="1" s="255">
      <c r="A917" s="357" t="n">
        <v>889</v>
      </c>
      <c r="B917" s="265" t="inlineStr">
        <is>
          <t>Прайс из СД ОП</t>
        </is>
      </c>
      <c r="C917" s="356" t="inlineStr">
        <is>
          <t>Лампа сигнальная красная AD-22DS</t>
        </is>
      </c>
      <c r="D917" s="357" t="inlineStr">
        <is>
          <t>шт.</t>
        </is>
      </c>
      <c r="E917" s="267" t="n">
        <v>2</v>
      </c>
      <c r="F917" s="359" t="n">
        <v>12.19</v>
      </c>
      <c r="G917" s="268">
        <f>ROUND(E917*F917,2)</f>
        <v/>
      </c>
      <c r="H917" s="269">
        <f>G917/$G$1004</f>
        <v/>
      </c>
      <c r="I917" s="268">
        <f>ROUND(F917*Прил.10!$D$13,2)</f>
        <v/>
      </c>
      <c r="J917" s="268">
        <f>ROUND(I917*E917,2)</f>
        <v/>
      </c>
    </row>
    <row r="918" hidden="1" outlineLevel="1" ht="25.5" customFormat="1" customHeight="1" s="255">
      <c r="A918" s="357" t="n">
        <v>890</v>
      </c>
      <c r="B918" s="265" t="inlineStr">
        <is>
          <t>01.7.02.06-0017</t>
        </is>
      </c>
      <c r="C918" s="356" t="inlineStr">
        <is>
          <t>Картон строительный прокладочный, марка Б</t>
        </is>
      </c>
      <c r="D918" s="357" t="inlineStr">
        <is>
          <t>т</t>
        </is>
      </c>
      <c r="E918" s="267" t="n">
        <v>0.0012</v>
      </c>
      <c r="F918" s="359" t="n">
        <v>19800</v>
      </c>
      <c r="G918" s="268">
        <f>ROUND(E918*F918,2)</f>
        <v/>
      </c>
      <c r="H918" s="269">
        <f>G918/$G$1004</f>
        <v/>
      </c>
      <c r="I918" s="268">
        <f>ROUND(F918*Прил.10!$D$13,2)</f>
        <v/>
      </c>
      <c r="J918" s="268">
        <f>ROUND(I918*E918,2)</f>
        <v/>
      </c>
    </row>
    <row r="919" hidden="1" outlineLevel="1" ht="14.25" customFormat="1" customHeight="1" s="255">
      <c r="A919" s="357" t="n">
        <v>891</v>
      </c>
      <c r="B919" s="265" t="inlineStr">
        <is>
          <t>Прайс из СД ОП</t>
        </is>
      </c>
      <c r="C919" s="356" t="inlineStr">
        <is>
          <t>Шина нулевая</t>
        </is>
      </c>
      <c r="D919" s="357" t="inlineStr">
        <is>
          <t>шт.</t>
        </is>
      </c>
      <c r="E919" s="267" t="n">
        <v>2</v>
      </c>
      <c r="F919" s="359" t="n">
        <v>11.66</v>
      </c>
      <c r="G919" s="268">
        <f>ROUND(E919*F919,2)</f>
        <v/>
      </c>
      <c r="H919" s="269">
        <f>G919/$G$1004</f>
        <v/>
      </c>
      <c r="I919" s="268">
        <f>ROUND(F919*Прил.10!$D$13,2)</f>
        <v/>
      </c>
      <c r="J919" s="268">
        <f>ROUND(I919*E919,2)</f>
        <v/>
      </c>
    </row>
    <row r="920" hidden="1" outlineLevel="1" ht="38.25" customFormat="1" customHeight="1" s="255">
      <c r="A920" s="357" t="n">
        <v>892</v>
      </c>
      <c r="B920" s="265" t="inlineStr">
        <is>
          <t>08.3.05.02-0101</t>
        </is>
      </c>
      <c r="C920" s="356" t="inlineStr">
        <is>
          <t>Прокат толстолистовой горячекатаный в листах, марка стали ВСт3пс5, толщина 4-6 мм</t>
        </is>
      </c>
      <c r="D920" s="357" t="inlineStr">
        <is>
          <t>т</t>
        </is>
      </c>
      <c r="E920" s="267" t="n">
        <v>0.004</v>
      </c>
      <c r="F920" s="359" t="n">
        <v>5763</v>
      </c>
      <c r="G920" s="268">
        <f>ROUND(E920*F920,2)</f>
        <v/>
      </c>
      <c r="H920" s="269">
        <f>G920/$G$1004</f>
        <v/>
      </c>
      <c r="I920" s="268">
        <f>ROUND(F920*Прил.10!$D$13,2)</f>
        <v/>
      </c>
      <c r="J920" s="268">
        <f>ROUND(I920*E920,2)</f>
        <v/>
      </c>
    </row>
    <row r="921" hidden="1" outlineLevel="1" ht="14.25" customFormat="1" customHeight="1" s="255">
      <c r="A921" s="357" t="n">
        <v>893</v>
      </c>
      <c r="B921" s="265" t="inlineStr">
        <is>
          <t>20.2.01.05-0005</t>
        </is>
      </c>
      <c r="C921" s="356" t="inlineStr">
        <is>
          <t>Гильзы кабельные медные ГМ 16</t>
        </is>
      </c>
      <c r="D921" s="357" t="inlineStr">
        <is>
          <t>100 шт</t>
        </is>
      </c>
      <c r="E921" s="267" t="n">
        <v>0.16</v>
      </c>
      <c r="F921" s="359" t="n">
        <v>143</v>
      </c>
      <c r="G921" s="268">
        <f>ROUND(E921*F921,2)</f>
        <v/>
      </c>
      <c r="H921" s="269">
        <f>G921/$G$1004</f>
        <v/>
      </c>
      <c r="I921" s="268">
        <f>ROUND(F921*Прил.10!$D$13,2)</f>
        <v/>
      </c>
      <c r="J921" s="268">
        <f>ROUND(I921*E921,2)</f>
        <v/>
      </c>
    </row>
    <row r="922" hidden="1" outlineLevel="1" ht="25.5" customFormat="1" customHeight="1" s="255">
      <c r="A922" s="357" t="n">
        <v>894</v>
      </c>
      <c r="B922" s="265" t="inlineStr">
        <is>
          <t>Прайс из СД ОП</t>
        </is>
      </c>
      <c r="C922" s="356" t="inlineStr">
        <is>
          <t>Автоматический выключатель однополюсный, Iнр=6А, OptiDin BM63-1С6</t>
        </is>
      </c>
      <c r="D922" s="357" t="inlineStr">
        <is>
          <t>шт.</t>
        </is>
      </c>
      <c r="E922" s="267" t="n">
        <v>1</v>
      </c>
      <c r="F922" s="359" t="n">
        <v>22.77</v>
      </c>
      <c r="G922" s="268">
        <f>ROUND(E922*F922,2)</f>
        <v/>
      </c>
      <c r="H922" s="269">
        <f>G922/$G$1004</f>
        <v/>
      </c>
      <c r="I922" s="268">
        <f>ROUND(F922*Прил.10!$D$13,2)</f>
        <v/>
      </c>
      <c r="J922" s="268">
        <f>ROUND(I922*E922,2)</f>
        <v/>
      </c>
    </row>
    <row r="923" hidden="1" outlineLevel="1" ht="51" customFormat="1" customHeight="1" s="255">
      <c r="A923" s="357" t="n">
        <v>895</v>
      </c>
      <c r="B923" s="265" t="inlineStr">
        <is>
          <t>01.7.15.14-0042</t>
        </is>
      </c>
      <c r="C923" s="356" t="inlineStr">
        <is>
          <t>Шурупы самонарезающий прокалывающий, для крепления металлических профилей или листовых деталей 3,5/9,5 мм</t>
        </is>
      </c>
      <c r="D923" s="357" t="inlineStr">
        <is>
          <t>100 шт</t>
        </is>
      </c>
      <c r="E923" s="267" t="n">
        <v>11.0824</v>
      </c>
      <c r="F923" s="359" t="n">
        <v>2</v>
      </c>
      <c r="G923" s="268">
        <f>ROUND(E923*F923,2)</f>
        <v/>
      </c>
      <c r="H923" s="269">
        <f>G923/$G$1004</f>
        <v/>
      </c>
      <c r="I923" s="268">
        <f>ROUND(F923*Прил.10!$D$13,2)</f>
        <v/>
      </c>
      <c r="J923" s="268">
        <f>ROUND(I923*E923,2)</f>
        <v/>
      </c>
    </row>
    <row r="924" hidden="1" outlineLevel="1" ht="38.25" customFormat="1" customHeight="1" s="255">
      <c r="A924" s="357" t="n">
        <v>896</v>
      </c>
      <c r="B924" s="265" t="inlineStr">
        <is>
          <t>Прайс из СД ОП</t>
        </is>
      </c>
      <c r="C924" s="356" t="inlineStr">
        <is>
          <t>Выключатель одноклавишный наружной установки, 10 А, IP20 Этюд, арт. ВА10-001В</t>
        </is>
      </c>
      <c r="D924" s="357" t="inlineStr">
        <is>
          <t>шт.</t>
        </is>
      </c>
      <c r="E924" s="267" t="n">
        <v>3</v>
      </c>
      <c r="F924" s="359" t="n">
        <v>7.36</v>
      </c>
      <c r="G924" s="268">
        <f>ROUND(E924*F924,2)</f>
        <v/>
      </c>
      <c r="H924" s="269">
        <f>G924/$G$1004</f>
        <v/>
      </c>
      <c r="I924" s="268">
        <f>ROUND(F924*Прил.10!$D$13,2)</f>
        <v/>
      </c>
      <c r="J924" s="268">
        <f>ROUND(I924*E924,2)</f>
        <v/>
      </c>
    </row>
    <row r="925" hidden="1" outlineLevel="1" ht="25.5" customFormat="1" customHeight="1" s="255">
      <c r="A925" s="357" t="n">
        <v>897</v>
      </c>
      <c r="B925" s="265" t="inlineStr">
        <is>
          <t>01.7.11.04-0072</t>
        </is>
      </c>
      <c r="C925" s="356" t="inlineStr">
        <is>
          <t>Проволока сварочная легированная, диаметр 4 мм</t>
        </is>
      </c>
      <c r="D925" s="357" t="inlineStr">
        <is>
          <t>т</t>
        </is>
      </c>
      <c r="E925" s="267" t="n">
        <v>0.0016</v>
      </c>
      <c r="F925" s="359" t="n">
        <v>13560</v>
      </c>
      <c r="G925" s="268">
        <f>ROUND(E925*F925,2)</f>
        <v/>
      </c>
      <c r="H925" s="269">
        <f>G925/$G$1004</f>
        <v/>
      </c>
      <c r="I925" s="268">
        <f>ROUND(F925*Прил.10!$D$13,2)</f>
        <v/>
      </c>
      <c r="J925" s="268">
        <f>ROUND(I925*E925,2)</f>
        <v/>
      </c>
    </row>
    <row r="926" hidden="1" outlineLevel="1" ht="25.5" customFormat="1" customHeight="1" s="255">
      <c r="A926" s="357" t="n">
        <v>898</v>
      </c>
      <c r="B926" s="265" t="inlineStr">
        <is>
          <t>Прайс из СД ОП</t>
        </is>
      </c>
      <c r="C926" s="356" t="inlineStr">
        <is>
          <t>Автоматический выключатель однополюсный, OptiDin BM63-1С32</t>
        </is>
      </c>
      <c r="D926" s="357" t="inlineStr">
        <is>
          <t>шт.</t>
        </is>
      </c>
      <c r="E926" s="267" t="n">
        <v>1</v>
      </c>
      <c r="F926" s="359" t="n">
        <v>20.11</v>
      </c>
      <c r="G926" s="268">
        <f>ROUND(E926*F926,2)</f>
        <v/>
      </c>
      <c r="H926" s="269">
        <f>G926/$G$1004</f>
        <v/>
      </c>
      <c r="I926" s="268">
        <f>ROUND(F926*Прил.10!$D$13,2)</f>
        <v/>
      </c>
      <c r="J926" s="268">
        <f>ROUND(I926*E926,2)</f>
        <v/>
      </c>
    </row>
    <row r="927" hidden="1" outlineLevel="1" ht="38.25" customFormat="1" customHeight="1" s="255">
      <c r="A927" s="357" t="n">
        <v>899</v>
      </c>
      <c r="B927" s="265" t="inlineStr">
        <is>
          <t>Прайс из СД ОП</t>
        </is>
      </c>
      <c r="C927" s="356" t="inlineStr">
        <is>
          <t>Выключатель двухклавишный наружной установки, 10 А, IP20 Этюд, арт. ВА10-002В</t>
        </is>
      </c>
      <c r="D927" s="357" t="inlineStr">
        <is>
          <t>шт.</t>
        </is>
      </c>
      <c r="E927" s="267" t="n">
        <v>2</v>
      </c>
      <c r="F927" s="359" t="n">
        <v>9.98</v>
      </c>
      <c r="G927" s="268">
        <f>ROUND(E927*F927,2)</f>
        <v/>
      </c>
      <c r="H927" s="269">
        <f>G927/$G$1004</f>
        <v/>
      </c>
      <c r="I927" s="268">
        <f>ROUND(F927*Прил.10!$D$13,2)</f>
        <v/>
      </c>
      <c r="J927" s="268">
        <f>ROUND(I927*E927,2)</f>
        <v/>
      </c>
    </row>
    <row r="928" hidden="1" outlineLevel="1" ht="25.5" customFormat="1" customHeight="1" s="255">
      <c r="A928" s="357" t="n">
        <v>900</v>
      </c>
      <c r="B928" s="265" t="inlineStr">
        <is>
          <t>01.7.15.03-0031</t>
        </is>
      </c>
      <c r="C928" s="356" t="inlineStr">
        <is>
          <t>Болты с гайками и шайбами оцинкованные, диаметр 6 мм</t>
        </is>
      </c>
      <c r="D928" s="357" t="inlineStr">
        <is>
          <t>кг</t>
        </is>
      </c>
      <c r="E928" s="267" t="n">
        <v>0.7</v>
      </c>
      <c r="F928" s="359" t="n">
        <v>28.22</v>
      </c>
      <c r="G928" s="268">
        <f>ROUND(E928*F928,2)</f>
        <v/>
      </c>
      <c r="H928" s="269">
        <f>G928/$G$1004</f>
        <v/>
      </c>
      <c r="I928" s="268">
        <f>ROUND(F928*Прил.10!$D$13,2)</f>
        <v/>
      </c>
      <c r="J928" s="268">
        <f>ROUND(I928*E928,2)</f>
        <v/>
      </c>
    </row>
    <row r="929" hidden="1" outlineLevel="1" ht="14.25" customFormat="1" customHeight="1" s="255">
      <c r="A929" s="357" t="n">
        <v>901</v>
      </c>
      <c r="B929" s="265" t="inlineStr">
        <is>
          <t>01.3.05.17-0002</t>
        </is>
      </c>
      <c r="C929" s="356" t="inlineStr">
        <is>
          <t>Канифоль сосновая</t>
        </is>
      </c>
      <c r="D929" s="357" t="inlineStr">
        <is>
          <t>кг</t>
        </is>
      </c>
      <c r="E929" s="267" t="n">
        <v>0.7</v>
      </c>
      <c r="F929" s="359" t="n">
        <v>27.74</v>
      </c>
      <c r="G929" s="268">
        <f>ROUND(E929*F929,2)</f>
        <v/>
      </c>
      <c r="H929" s="269">
        <f>G929/$G$1004</f>
        <v/>
      </c>
      <c r="I929" s="268">
        <f>ROUND(F929*Прил.10!$D$13,2)</f>
        <v/>
      </c>
      <c r="J929" s="268">
        <f>ROUND(I929*E929,2)</f>
        <v/>
      </c>
    </row>
    <row r="930" hidden="1" outlineLevel="1" ht="25.5" customFormat="1" customHeight="1" s="255">
      <c r="A930" s="357" t="n">
        <v>902</v>
      </c>
      <c r="B930" s="265" t="inlineStr">
        <is>
          <t>Прайс из СД ОП</t>
        </is>
      </c>
      <c r="C930" s="356" t="inlineStr">
        <is>
          <t>Автоматический выключатель однополюсный, OptiDin BM63-1С20</t>
        </is>
      </c>
      <c r="D930" s="357" t="inlineStr">
        <is>
          <t>шт.</t>
        </is>
      </c>
      <c r="E930" s="267" t="n">
        <v>1</v>
      </c>
      <c r="F930" s="359" t="n">
        <v>19.41</v>
      </c>
      <c r="G930" s="268">
        <f>ROUND(E930*F930,2)</f>
        <v/>
      </c>
      <c r="H930" s="269">
        <f>G930/$G$1004</f>
        <v/>
      </c>
      <c r="I930" s="268">
        <f>ROUND(F930*Прил.10!$D$13,2)</f>
        <v/>
      </c>
      <c r="J930" s="268">
        <f>ROUND(I930*E930,2)</f>
        <v/>
      </c>
    </row>
    <row r="931" hidden="1" outlineLevel="1" ht="51" customFormat="1" customHeight="1" s="255">
      <c r="A931" s="357" t="n">
        <v>903</v>
      </c>
      <c r="B931" s="265" t="inlineStr">
        <is>
          <t>14.5.05.01-0012</t>
        </is>
      </c>
      <c r="C931" s="356" t="inlineStr">
        <is>
          <t>Олифа комбинированная для разведения масляных густотертых красок и для внешних работ по деревянным поверхностям</t>
        </is>
      </c>
      <c r="D931" s="357" t="inlineStr">
        <is>
          <t>т</t>
        </is>
      </c>
      <c r="E931" s="267" t="n">
        <v>0.0011</v>
      </c>
      <c r="F931" s="359" t="n">
        <v>16950</v>
      </c>
      <c r="G931" s="268">
        <f>ROUND(E931*F931,2)</f>
        <v/>
      </c>
      <c r="H931" s="269">
        <f>G931/$G$1004</f>
        <v/>
      </c>
      <c r="I931" s="268">
        <f>ROUND(F931*Прил.10!$D$13,2)</f>
        <v/>
      </c>
      <c r="J931" s="268">
        <f>ROUND(I931*E931,2)</f>
        <v/>
      </c>
    </row>
    <row r="932" hidden="1" outlineLevel="1" ht="63.75" customFormat="1" customHeight="1" s="255">
      <c r="A932" s="357" t="n">
        <v>904</v>
      </c>
      <c r="B932" s="265" t="inlineStr">
        <is>
          <t>18.1.06.10-0011</t>
        </is>
      </c>
      <c r="C932" s="356" t="inlineStr">
        <is>
          <t>Кран трехходовой 11б18бк, номинальное давление 1,6 МПа (16 кгс/см2), с контрольным фланцем для манометра, натяжной муфтовый, номинальный диаметр 15 мм</t>
        </is>
      </c>
      <c r="D932" s="357" t="inlineStr">
        <is>
          <t>шт</t>
        </is>
      </c>
      <c r="E932" s="267" t="n">
        <v>1</v>
      </c>
      <c r="F932" s="359" t="n">
        <v>17.87</v>
      </c>
      <c r="G932" s="268">
        <f>ROUND(E932*F932,2)</f>
        <v/>
      </c>
      <c r="H932" s="269">
        <f>G932/$G$1004</f>
        <v/>
      </c>
      <c r="I932" s="268">
        <f>ROUND(F932*Прил.10!$D$13,2)</f>
        <v/>
      </c>
      <c r="J932" s="268">
        <f>ROUND(I932*E932,2)</f>
        <v/>
      </c>
    </row>
    <row r="933" hidden="1" outlineLevel="1" ht="38.25" customFormat="1" customHeight="1" s="255">
      <c r="A933" s="357" t="n">
        <v>905</v>
      </c>
      <c r="B933" s="265" t="inlineStr">
        <is>
          <t>Прайс из СД ОП</t>
        </is>
      </c>
      <c r="C933" s="356" t="inlineStr">
        <is>
          <t>Автоматический выключатель однополюсный, Iнр=16А, OptiDin BM63-1С16</t>
        </is>
      </c>
      <c r="D933" s="357" t="inlineStr">
        <is>
          <t>шт.</t>
        </is>
      </c>
      <c r="E933" s="267" t="n">
        <v>1</v>
      </c>
      <c r="F933" s="359" t="n">
        <v>17.46</v>
      </c>
      <c r="G933" s="268">
        <f>ROUND(E933*F933,2)</f>
        <v/>
      </c>
      <c r="H933" s="269">
        <f>G933/$G$1004</f>
        <v/>
      </c>
      <c r="I933" s="268">
        <f>ROUND(F933*Прил.10!$D$13,2)</f>
        <v/>
      </c>
      <c r="J933" s="268">
        <f>ROUND(I933*E933,2)</f>
        <v/>
      </c>
    </row>
    <row r="934" hidden="1" outlineLevel="1" ht="14.25" customFormat="1" customHeight="1" s="255">
      <c r="A934" s="357" t="n">
        <v>906</v>
      </c>
      <c r="B934" s="265" t="inlineStr">
        <is>
          <t>Прайс из СД ОП</t>
        </is>
      </c>
      <c r="C934" s="356" t="inlineStr">
        <is>
          <t xml:space="preserve">Коробка установочная  PE 000 003 </t>
        </is>
      </c>
      <c r="D934" s="357" t="inlineStr">
        <is>
          <t>шт.</t>
        </is>
      </c>
      <c r="E934" s="267" t="n">
        <v>37</v>
      </c>
      <c r="F934" s="359" t="n">
        <v>0.47</v>
      </c>
      <c r="G934" s="268">
        <f>ROUND(E934*F934,2)</f>
        <v/>
      </c>
      <c r="H934" s="269">
        <f>G934/$G$1004</f>
        <v/>
      </c>
      <c r="I934" s="268">
        <f>ROUND(F934*Прил.10!$D$13,2)</f>
        <v/>
      </c>
      <c r="J934" s="268">
        <f>ROUND(I934*E934,2)</f>
        <v/>
      </c>
    </row>
    <row r="935" hidden="1" outlineLevel="1" ht="14.25" customFormat="1" customHeight="1" s="255">
      <c r="A935" s="357" t="n">
        <v>907</v>
      </c>
      <c r="B935" s="265" t="inlineStr">
        <is>
          <t>Прайс из СД ОП</t>
        </is>
      </c>
      <c r="C935" s="356" t="inlineStr">
        <is>
          <t xml:space="preserve">Переход К1-114,3х3,6-60,3х2,0 100х50 </t>
        </is>
      </c>
      <c r="D935" s="357" t="inlineStr">
        <is>
          <t>шт.</t>
        </is>
      </c>
      <c r="E935" s="267" t="n">
        <v>1</v>
      </c>
      <c r="F935" s="359" t="n">
        <v>17.04</v>
      </c>
      <c r="G935" s="268">
        <f>ROUND(E935*F935,2)</f>
        <v/>
      </c>
      <c r="H935" s="269">
        <f>G935/$G$1004</f>
        <v/>
      </c>
      <c r="I935" s="268">
        <f>ROUND(F935*Прил.10!$D$13,2)</f>
        <v/>
      </c>
      <c r="J935" s="268">
        <f>ROUND(I935*E935,2)</f>
        <v/>
      </c>
    </row>
    <row r="936" hidden="1" outlineLevel="1" ht="25.5" customFormat="1" customHeight="1" s="255">
      <c r="A936" s="357" t="n">
        <v>908</v>
      </c>
      <c r="B936" s="265" t="inlineStr">
        <is>
          <t>01.7.15.07-0023</t>
        </is>
      </c>
      <c r="C936" s="356" t="inlineStr">
        <is>
          <t>Дюбели распорные полиэтиленовые, размер 8х30 мм</t>
        </is>
      </c>
      <c r="D936" s="357" t="inlineStr">
        <is>
          <t>1000 шт</t>
        </is>
      </c>
      <c r="E936" s="267" t="n">
        <v>0.092</v>
      </c>
      <c r="F936" s="359" t="n">
        <v>180</v>
      </c>
      <c r="G936" s="268">
        <f>ROUND(E936*F936,2)</f>
        <v/>
      </c>
      <c r="H936" s="269">
        <f>G936/$G$1004</f>
        <v/>
      </c>
      <c r="I936" s="268">
        <f>ROUND(F936*Прил.10!$D$13,2)</f>
        <v/>
      </c>
      <c r="J936" s="268">
        <f>ROUND(I936*E936,2)</f>
        <v/>
      </c>
    </row>
    <row r="937" hidden="1" outlineLevel="1" ht="14.25" customFormat="1" customHeight="1" s="255">
      <c r="A937" s="357" t="n">
        <v>909</v>
      </c>
      <c r="B937" s="265" t="inlineStr">
        <is>
          <t>Прайс из СД ОП</t>
        </is>
      </c>
      <c r="C937" s="356" t="inlineStr">
        <is>
          <t>Коробка установочная  PE 000 003</t>
        </is>
      </c>
      <c r="D937" s="357" t="inlineStr">
        <is>
          <t>шт.</t>
        </is>
      </c>
      <c r="E937" s="267" t="n">
        <v>34</v>
      </c>
      <c r="F937" s="359" t="n">
        <v>0.47</v>
      </c>
      <c r="G937" s="268">
        <f>ROUND(E937*F937,2)</f>
        <v/>
      </c>
      <c r="H937" s="269">
        <f>G937/$G$1004</f>
        <v/>
      </c>
      <c r="I937" s="268">
        <f>ROUND(F937*Прил.10!$D$13,2)</f>
        <v/>
      </c>
      <c r="J937" s="268">
        <f>ROUND(I937*E937,2)</f>
        <v/>
      </c>
    </row>
    <row r="938" hidden="1" outlineLevel="1" ht="14.25" customFormat="1" customHeight="1" s="255">
      <c r="A938" s="357" t="n">
        <v>910</v>
      </c>
      <c r="B938" s="265" t="inlineStr">
        <is>
          <t>14.5.02.02-0105</t>
        </is>
      </c>
      <c r="C938" s="356" t="inlineStr">
        <is>
          <t>Замазка суриковая</t>
        </is>
      </c>
      <c r="D938" s="357" t="inlineStr">
        <is>
          <t>кг</t>
        </is>
      </c>
      <c r="E938" s="267" t="n">
        <v>0.8</v>
      </c>
      <c r="F938" s="359" t="n">
        <v>19.61</v>
      </c>
      <c r="G938" s="268">
        <f>ROUND(E938*F938,2)</f>
        <v/>
      </c>
      <c r="H938" s="269">
        <f>G938/$G$1004</f>
        <v/>
      </c>
      <c r="I938" s="268">
        <f>ROUND(F938*Прил.10!$D$13,2)</f>
        <v/>
      </c>
      <c r="J938" s="268">
        <f>ROUND(I938*E938,2)</f>
        <v/>
      </c>
    </row>
    <row r="939" hidden="1" outlineLevel="1" ht="14.25" customFormat="1" customHeight="1" s="255">
      <c r="A939" s="357" t="n">
        <v>911</v>
      </c>
      <c r="B939" s="265" t="inlineStr">
        <is>
          <t>01.7.06.11-0021</t>
        </is>
      </c>
      <c r="C939" s="356" t="inlineStr">
        <is>
          <t>Лента ФУМ</t>
        </is>
      </c>
      <c r="D939" s="357" t="inlineStr">
        <is>
          <t>кг</t>
        </is>
      </c>
      <c r="E939" s="267" t="n">
        <v>0.033</v>
      </c>
      <c r="F939" s="359" t="n">
        <v>444</v>
      </c>
      <c r="G939" s="268">
        <f>ROUND(E939*F939,2)</f>
        <v/>
      </c>
      <c r="H939" s="269">
        <f>G939/$G$1004</f>
        <v/>
      </c>
      <c r="I939" s="268">
        <f>ROUND(F939*Прил.10!$D$13,2)</f>
        <v/>
      </c>
      <c r="J939" s="268">
        <f>ROUND(I939*E939,2)</f>
        <v/>
      </c>
    </row>
    <row r="940" hidden="1" outlineLevel="1" ht="63.75" customFormat="1" customHeight="1" s="255">
      <c r="A940" s="357" t="n">
        <v>912</v>
      </c>
      <c r="B940" s="265" t="inlineStr">
        <is>
          <t>01.7.15.14-0046</t>
        </is>
      </c>
      <c r="C940" s="356" t="inlineStr">
        <is>
          <t>Шурупы самонарезающий прокалывающий, для крепления гипсокартонных листов (ГКЛ, ГКЛВ, ГКЛВО) к каркасу из металлических профилей 3,5/55 мм</t>
        </is>
      </c>
      <c r="D940" s="357" t="inlineStr">
        <is>
          <t>100 шт</t>
        </is>
      </c>
      <c r="E940" s="267" t="n">
        <v>2.7625</v>
      </c>
      <c r="F940" s="359" t="n">
        <v>5</v>
      </c>
      <c r="G940" s="268">
        <f>ROUND(E940*F940,2)</f>
        <v/>
      </c>
      <c r="H940" s="269">
        <f>G940/$G$1004</f>
        <v/>
      </c>
      <c r="I940" s="268">
        <f>ROUND(F940*Прил.10!$D$13,2)</f>
        <v/>
      </c>
      <c r="J940" s="268">
        <f>ROUND(I940*E940,2)</f>
        <v/>
      </c>
    </row>
    <row r="941" hidden="1" outlineLevel="1" ht="25.5" customFormat="1" customHeight="1" s="255">
      <c r="A941" s="357" t="n">
        <v>913</v>
      </c>
      <c r="B941" s="265" t="inlineStr">
        <is>
          <t>25.1.04.04-0012</t>
        </is>
      </c>
      <c r="C941" s="356" t="inlineStr">
        <is>
          <t>Болты для рельсовых стыков, диаметр 24 мм, класс 8,8</t>
        </is>
      </c>
      <c r="D941" s="357" t="inlineStr">
        <is>
          <t>т</t>
        </is>
      </c>
      <c r="E941" s="267" t="n">
        <v>0.0014</v>
      </c>
      <c r="F941" s="359" t="n">
        <v>9727.370000000001</v>
      </c>
      <c r="G941" s="268">
        <f>ROUND(E941*F941,2)</f>
        <v/>
      </c>
      <c r="H941" s="269">
        <f>G941/$G$1004</f>
        <v/>
      </c>
      <c r="I941" s="268">
        <f>ROUND(F941*Прил.10!$D$13,2)</f>
        <v/>
      </c>
      <c r="J941" s="268">
        <f>ROUND(I941*E941,2)</f>
        <v/>
      </c>
    </row>
    <row r="942" hidden="1" outlineLevel="1" ht="25.5" customFormat="1" customHeight="1" s="255">
      <c r="A942" s="357" t="n">
        <v>914</v>
      </c>
      <c r="B942" s="265" t="inlineStr">
        <is>
          <t>04.3.01.07-0011</t>
        </is>
      </c>
      <c r="C942" s="356" t="inlineStr">
        <is>
          <t>Раствор готовый отделочный тяжелый, известковый, состав 1:2</t>
        </is>
      </c>
      <c r="D942" s="357" t="inlineStr">
        <is>
          <t>м3</t>
        </is>
      </c>
      <c r="E942" s="267" t="n">
        <v>0.0294</v>
      </c>
      <c r="F942" s="359" t="n">
        <v>458</v>
      </c>
      <c r="G942" s="268">
        <f>ROUND(E942*F942,2)</f>
        <v/>
      </c>
      <c r="H942" s="269">
        <f>G942/$G$1004</f>
        <v/>
      </c>
      <c r="I942" s="268">
        <f>ROUND(F942*Прил.10!$D$13,2)</f>
        <v/>
      </c>
      <c r="J942" s="268">
        <f>ROUND(I942*E942,2)</f>
        <v/>
      </c>
    </row>
    <row r="943" hidden="1" outlineLevel="1" ht="14.25" customFormat="1" customHeight="1" s="255">
      <c r="A943" s="357" t="n">
        <v>915</v>
      </c>
      <c r="B943" s="265" t="inlineStr">
        <is>
          <t>01.7.15.10-0057</t>
        </is>
      </c>
      <c r="C943" s="356" t="inlineStr">
        <is>
          <t>Скобы скрепляющие и для подвеса</t>
        </is>
      </c>
      <c r="D943" s="357" t="inlineStr">
        <is>
          <t>кг</t>
        </is>
      </c>
      <c r="E943" s="267" t="n">
        <v>2</v>
      </c>
      <c r="F943" s="359" t="n">
        <v>6.5</v>
      </c>
      <c r="G943" s="268">
        <f>ROUND(E943*F943,2)</f>
        <v/>
      </c>
      <c r="H943" s="269">
        <f>G943/$G$1004</f>
        <v/>
      </c>
      <c r="I943" s="268">
        <f>ROUND(F943*Прил.10!$D$13,2)</f>
        <v/>
      </c>
      <c r="J943" s="268">
        <f>ROUND(I943*E943,2)</f>
        <v/>
      </c>
    </row>
    <row r="944" hidden="1" outlineLevel="1" ht="14.25" customFormat="1" customHeight="1" s="255">
      <c r="A944" s="357" t="n">
        <v>916</v>
      </c>
      <c r="B944" s="265" t="inlineStr">
        <is>
          <t>Прайс из СД ОП</t>
        </is>
      </c>
      <c r="C944" s="356" t="inlineStr">
        <is>
          <t>Шина заземления PE</t>
        </is>
      </c>
      <c r="D944" s="357" t="inlineStr">
        <is>
          <t>шт.</t>
        </is>
      </c>
      <c r="E944" s="267" t="n">
        <v>2</v>
      </c>
      <c r="F944" s="359" t="n">
        <v>6.35</v>
      </c>
      <c r="G944" s="268">
        <f>ROUND(E944*F944,2)</f>
        <v/>
      </c>
      <c r="H944" s="269">
        <f>G944/$G$1004</f>
        <v/>
      </c>
      <c r="I944" s="268">
        <f>ROUND(F944*Прил.10!$D$13,2)</f>
        <v/>
      </c>
      <c r="J944" s="268">
        <f>ROUND(I944*E944,2)</f>
        <v/>
      </c>
    </row>
    <row r="945" hidden="1" outlineLevel="1" ht="14.25" customFormat="1" customHeight="1" s="255">
      <c r="A945" s="357" t="n">
        <v>917</v>
      </c>
      <c r="B945" s="265" t="inlineStr">
        <is>
          <t>20.2.02.02-0011</t>
        </is>
      </c>
      <c r="C945" s="356" t="inlineStr">
        <is>
          <t>Заглушки</t>
        </is>
      </c>
      <c r="D945" s="357" t="inlineStr">
        <is>
          <t>10 шт</t>
        </is>
      </c>
      <c r="E945" s="267" t="n">
        <v>0.612</v>
      </c>
      <c r="F945" s="359" t="n">
        <v>19.9</v>
      </c>
      <c r="G945" s="268">
        <f>ROUND(E945*F945,2)</f>
        <v/>
      </c>
      <c r="H945" s="269">
        <f>G945/$G$1004</f>
        <v/>
      </c>
      <c r="I945" s="268">
        <f>ROUND(F945*Прил.10!$D$13,2)</f>
        <v/>
      </c>
      <c r="J945" s="268">
        <f>ROUND(I945*E945,2)</f>
        <v/>
      </c>
    </row>
    <row r="946" hidden="1" outlineLevel="1" ht="25.5" customFormat="1" customHeight="1" s="255">
      <c r="A946" s="357" t="n">
        <v>918</v>
      </c>
      <c r="B946" s="265" t="inlineStr">
        <is>
          <t>08.3.03.04-0025</t>
        </is>
      </c>
      <c r="C946" s="356" t="inlineStr">
        <is>
          <t>Проволока стальная низкоуглеродистая общего назначения, диаметр 2,0 мм</t>
        </is>
      </c>
      <c r="D946" s="357" t="inlineStr">
        <is>
          <t>кг</t>
        </is>
      </c>
      <c r="E946" s="267" t="n">
        <v>1.82</v>
      </c>
      <c r="F946" s="359" t="n">
        <v>6.6</v>
      </c>
      <c r="G946" s="268">
        <f>ROUND(E946*F946,2)</f>
        <v/>
      </c>
      <c r="H946" s="269">
        <f>G946/$G$1004</f>
        <v/>
      </c>
      <c r="I946" s="268">
        <f>ROUND(F946*Прил.10!$D$13,2)</f>
        <v/>
      </c>
      <c r="J946" s="268">
        <f>ROUND(I946*E946,2)</f>
        <v/>
      </c>
    </row>
    <row r="947" hidden="1" outlineLevel="1" ht="14.25" customFormat="1" customHeight="1" s="255">
      <c r="A947" s="357" t="n">
        <v>919</v>
      </c>
      <c r="B947" s="265" t="inlineStr">
        <is>
          <t>12.2.03.02-0002</t>
        </is>
      </c>
      <c r="C947" s="356" t="inlineStr">
        <is>
          <t>Вата минеральная</t>
        </is>
      </c>
      <c r="D947" s="357" t="inlineStr">
        <is>
          <t>м3</t>
        </is>
      </c>
      <c r="E947" s="267" t="n">
        <v>0.06</v>
      </c>
      <c r="F947" s="359" t="n">
        <v>200</v>
      </c>
      <c r="G947" s="268">
        <f>ROUND(E947*F947,2)</f>
        <v/>
      </c>
      <c r="H947" s="269">
        <f>G947/$G$1004</f>
        <v/>
      </c>
      <c r="I947" s="268">
        <f>ROUND(F947*Прил.10!$D$13,2)</f>
        <v/>
      </c>
      <c r="J947" s="268">
        <f>ROUND(I947*E947,2)</f>
        <v/>
      </c>
    </row>
    <row r="948" hidden="1" outlineLevel="1" ht="14.25" customFormat="1" customHeight="1" s="255">
      <c r="A948" s="357" t="n">
        <v>920</v>
      </c>
      <c r="B948" s="265" t="inlineStr">
        <is>
          <t>Прайс из СД ОП</t>
        </is>
      </c>
      <c r="C948" s="356" t="inlineStr">
        <is>
          <t xml:space="preserve">Шина нулевая  </t>
        </is>
      </c>
      <c r="D948" s="357" t="inlineStr">
        <is>
          <t>шт.</t>
        </is>
      </c>
      <c r="E948" s="267" t="n">
        <v>1</v>
      </c>
      <c r="F948" s="359" t="n">
        <v>11.66</v>
      </c>
      <c r="G948" s="268">
        <f>ROUND(E948*F948,2)</f>
        <v/>
      </c>
      <c r="H948" s="269">
        <f>G948/$G$1004</f>
        <v/>
      </c>
      <c r="I948" s="268">
        <f>ROUND(F948*Прил.10!$D$13,2)</f>
        <v/>
      </c>
      <c r="J948" s="268">
        <f>ROUND(I948*E948,2)</f>
        <v/>
      </c>
    </row>
    <row r="949" hidden="1" outlineLevel="1" ht="14.25" customFormat="1" customHeight="1" s="255">
      <c r="A949" s="357" t="n">
        <v>921</v>
      </c>
      <c r="B949" s="265" t="inlineStr">
        <is>
          <t>01.7.06.12-0008</t>
        </is>
      </c>
      <c r="C949" s="356" t="inlineStr">
        <is>
          <t>Лента ПВХ</t>
        </is>
      </c>
      <c r="D949" s="357" t="inlineStr">
        <is>
          <t>кг</t>
        </is>
      </c>
      <c r="E949" s="267" t="n">
        <v>0.48</v>
      </c>
      <c r="F949" s="359" t="n">
        <v>24.04</v>
      </c>
      <c r="G949" s="268">
        <f>ROUND(E949*F949,2)</f>
        <v/>
      </c>
      <c r="H949" s="269">
        <f>G949/$G$1004</f>
        <v/>
      </c>
      <c r="I949" s="268">
        <f>ROUND(F949*Прил.10!$D$13,2)</f>
        <v/>
      </c>
      <c r="J949" s="268">
        <f>ROUND(I949*E949,2)</f>
        <v/>
      </c>
    </row>
    <row r="950" hidden="1" outlineLevel="1" ht="38.25" customFormat="1" customHeight="1" s="255">
      <c r="A950" s="357" t="n">
        <v>922</v>
      </c>
      <c r="B950" s="265" t="inlineStr">
        <is>
          <t>25.2.01.07-1004</t>
        </is>
      </c>
      <c r="C950" s="356" t="inlineStr">
        <is>
          <t>Электросоединители стыковые для трамвайных путей, длина 300 мм, диаметр 20 мм</t>
        </is>
      </c>
      <c r="D950" s="357" t="inlineStr">
        <is>
          <t>шт</t>
        </is>
      </c>
      <c r="E950" s="267" t="n">
        <v>0.36</v>
      </c>
      <c r="F950" s="359" t="n">
        <v>32.03</v>
      </c>
      <c r="G950" s="268">
        <f>ROUND(E950*F950,2)</f>
        <v/>
      </c>
      <c r="H950" s="269">
        <f>G950/$G$1004</f>
        <v/>
      </c>
      <c r="I950" s="268">
        <f>ROUND(F950*Прил.10!$D$13,2)</f>
        <v/>
      </c>
      <c r="J950" s="268">
        <f>ROUND(I950*E950,2)</f>
        <v/>
      </c>
    </row>
    <row r="951" hidden="1" outlineLevel="1" ht="25.5" customFormat="1" customHeight="1" s="255">
      <c r="A951" s="357" t="n">
        <v>923</v>
      </c>
      <c r="B951" s="265" t="inlineStr">
        <is>
          <t>01.1.02.08-0002</t>
        </is>
      </c>
      <c r="C951" s="356" t="inlineStr">
        <is>
          <t>Прокладки из паронита ПМБ, толщина 1 мм, диаметр 100 мм</t>
        </is>
      </c>
      <c r="D951" s="357" t="inlineStr">
        <is>
          <t>1000 шт</t>
        </is>
      </c>
      <c r="E951" s="267" t="n">
        <v>0.002</v>
      </c>
      <c r="F951" s="359" t="n">
        <v>5650</v>
      </c>
      <c r="G951" s="268">
        <f>ROUND(E951*F951,2)</f>
        <v/>
      </c>
      <c r="H951" s="269">
        <f>G951/$G$1004</f>
        <v/>
      </c>
      <c r="I951" s="268">
        <f>ROUND(F951*Прил.10!$D$13,2)</f>
        <v/>
      </c>
      <c r="J951" s="268">
        <f>ROUND(I951*E951,2)</f>
        <v/>
      </c>
    </row>
    <row r="952" hidden="1" outlineLevel="1" ht="14.25" customFormat="1" customHeight="1" s="255">
      <c r="A952" s="357" t="n">
        <v>924</v>
      </c>
      <c r="B952" s="265" t="inlineStr">
        <is>
          <t>01.7.15.14-0169</t>
        </is>
      </c>
      <c r="C952" s="356" t="inlineStr">
        <is>
          <t>Шурупы с полукруглой головкой 6х40 мм</t>
        </is>
      </c>
      <c r="D952" s="357" t="inlineStr">
        <is>
          <t>т</t>
        </is>
      </c>
      <c r="E952" s="267" t="n">
        <v>0.0009</v>
      </c>
      <c r="F952" s="359" t="n">
        <v>12430</v>
      </c>
      <c r="G952" s="268">
        <f>ROUND(E952*F952,2)</f>
        <v/>
      </c>
      <c r="H952" s="269">
        <f>G952/$G$1004</f>
        <v/>
      </c>
      <c r="I952" s="268">
        <f>ROUND(F952*Прил.10!$D$13,2)</f>
        <v/>
      </c>
      <c r="J952" s="268">
        <f>ROUND(I952*E952,2)</f>
        <v/>
      </c>
    </row>
    <row r="953" hidden="1" outlineLevel="1" ht="14.25" customFormat="1" customHeight="1" s="255">
      <c r="A953" s="357" t="n">
        <v>925</v>
      </c>
      <c r="B953" s="265" t="inlineStr">
        <is>
          <t>Прайс из СД ОП</t>
        </is>
      </c>
      <c r="C953" s="356" t="inlineStr">
        <is>
          <t xml:space="preserve">Переход К1-60,3х2,9-33,7х2,3 50х25 </t>
        </is>
      </c>
      <c r="D953" s="357" t="inlineStr">
        <is>
          <t>шт.</t>
        </is>
      </c>
      <c r="E953" s="267" t="n">
        <v>2</v>
      </c>
      <c r="F953" s="359" t="n">
        <v>5.21</v>
      </c>
      <c r="G953" s="268">
        <f>ROUND(E953*F953,2)</f>
        <v/>
      </c>
      <c r="H953" s="269">
        <f>G953/$G$1004</f>
        <v/>
      </c>
      <c r="I953" s="268">
        <f>ROUND(F953*Прил.10!$D$13,2)</f>
        <v/>
      </c>
      <c r="J953" s="268">
        <f>ROUND(I953*E953,2)</f>
        <v/>
      </c>
    </row>
    <row r="954" hidden="1" outlineLevel="1" ht="14.25" customFormat="1" customHeight="1" s="255">
      <c r="A954" s="357" t="n">
        <v>926</v>
      </c>
      <c r="B954" s="265" t="inlineStr">
        <is>
          <t>07.2.07.02-0001</t>
        </is>
      </c>
      <c r="C954" s="356" t="inlineStr">
        <is>
          <t>Кондуктор инвентарный металлический</t>
        </is>
      </c>
      <c r="D954" s="357" t="inlineStr">
        <is>
          <t>шт</t>
        </is>
      </c>
      <c r="E954" s="267" t="n">
        <v>0.0282</v>
      </c>
      <c r="F954" s="359" t="n">
        <v>346</v>
      </c>
      <c r="G954" s="268">
        <f>ROUND(E954*F954,2)</f>
        <v/>
      </c>
      <c r="H954" s="269">
        <f>G954/$G$1004</f>
        <v/>
      </c>
      <c r="I954" s="268">
        <f>ROUND(F954*Прил.10!$D$13,2)</f>
        <v/>
      </c>
      <c r="J954" s="268">
        <f>ROUND(I954*E954,2)</f>
        <v/>
      </c>
    </row>
    <row r="955" hidden="1" outlineLevel="1" ht="14.25" customFormat="1" customHeight="1" s="255">
      <c r="A955" s="357" t="n">
        <v>927</v>
      </c>
      <c r="B955" s="265" t="inlineStr">
        <is>
          <t>Прайс из СД ОП</t>
        </is>
      </c>
      <c r="C955" s="356" t="inlineStr">
        <is>
          <t>Огнезащитное покрытие "Плазас"</t>
        </is>
      </c>
      <c r="D955" s="357" t="inlineStr">
        <is>
          <t>кг</t>
        </is>
      </c>
      <c r="E955" s="267" t="n">
        <v>1.05</v>
      </c>
      <c r="F955" s="359" t="n">
        <v>9.109999999999999</v>
      </c>
      <c r="G955" s="268">
        <f>ROUND(E955*F955,2)</f>
        <v/>
      </c>
      <c r="H955" s="269">
        <f>G955/$G$1004</f>
        <v/>
      </c>
      <c r="I955" s="268">
        <f>ROUND(F955*Прил.10!$D$13,2)</f>
        <v/>
      </c>
      <c r="J955" s="268">
        <f>ROUND(I955*E955,2)</f>
        <v/>
      </c>
    </row>
    <row r="956" hidden="1" outlineLevel="1" ht="38.25" customFormat="1" customHeight="1" s="255">
      <c r="A956" s="357" t="n">
        <v>928</v>
      </c>
      <c r="B956" s="265" t="inlineStr">
        <is>
          <t>11.1.02.04-0031</t>
        </is>
      </c>
      <c r="C956" s="356" t="inlineStr">
        <is>
          <t>Лесоматериалы круглые, хвойных пород, для строительства, диаметр 14-24 см, длина 3-6,5 м</t>
        </is>
      </c>
      <c r="D956" s="357" t="inlineStr">
        <is>
          <t>м3</t>
        </is>
      </c>
      <c r="E956" s="267" t="n">
        <v>0.0171</v>
      </c>
      <c r="F956" s="359" t="n">
        <v>558.33</v>
      </c>
      <c r="G956" s="268">
        <f>ROUND(E956*F956,2)</f>
        <v/>
      </c>
      <c r="H956" s="269">
        <f>G956/$G$1004</f>
        <v/>
      </c>
      <c r="I956" s="268">
        <f>ROUND(F956*Прил.10!$D$13,2)</f>
        <v/>
      </c>
      <c r="J956" s="268">
        <f>ROUND(I956*E956,2)</f>
        <v/>
      </c>
    </row>
    <row r="957" hidden="1" outlineLevel="1" ht="51" customFormat="1" customHeight="1" s="255">
      <c r="A957" s="357" t="n">
        <v>929</v>
      </c>
      <c r="B957" s="265" t="inlineStr">
        <is>
          <t>01.7.15.08-0011</t>
        </is>
      </c>
      <c r="C957" s="356" t="inlineStr">
        <is>
          <t>Заклепки комбинированные для соединения профилированного стального настила и разнообразных листовых деталей</t>
        </is>
      </c>
      <c r="D957" s="357" t="inlineStr">
        <is>
          <t>т</t>
        </is>
      </c>
      <c r="E957" s="267" t="n">
        <v>0.001</v>
      </c>
      <c r="F957" s="359" t="n">
        <v>9526</v>
      </c>
      <c r="G957" s="268">
        <f>ROUND(E957*F957,2)</f>
        <v/>
      </c>
      <c r="H957" s="269">
        <f>G957/$G$1004</f>
        <v/>
      </c>
      <c r="I957" s="268">
        <f>ROUND(F957*Прил.10!$D$13,2)</f>
        <v/>
      </c>
      <c r="J957" s="268">
        <f>ROUND(I957*E957,2)</f>
        <v/>
      </c>
    </row>
    <row r="958" hidden="1" outlineLevel="1" ht="14.25" customFormat="1" customHeight="1" s="255">
      <c r="A958" s="357" t="n">
        <v>930</v>
      </c>
      <c r="B958" s="265" t="inlineStr">
        <is>
          <t>Прайс из СД ОП</t>
        </is>
      </c>
      <c r="C958" s="356" t="inlineStr">
        <is>
          <t>Клемма винтовая, 2,5 мм2</t>
        </is>
      </c>
      <c r="D958" s="357" t="inlineStr">
        <is>
          <t>шт.</t>
        </is>
      </c>
      <c r="E958" s="267" t="n">
        <v>2</v>
      </c>
      <c r="F958" s="359" t="n">
        <v>4.58</v>
      </c>
      <c r="G958" s="268">
        <f>ROUND(E958*F958,2)</f>
        <v/>
      </c>
      <c r="H958" s="269">
        <f>G958/$G$1004</f>
        <v/>
      </c>
      <c r="I958" s="268">
        <f>ROUND(F958*Прил.10!$D$13,2)</f>
        <v/>
      </c>
      <c r="J958" s="268">
        <f>ROUND(I958*E958,2)</f>
        <v/>
      </c>
    </row>
    <row r="959" hidden="1" outlineLevel="1" ht="14.25" customFormat="1" customHeight="1" s="255">
      <c r="A959" s="357" t="n">
        <v>931</v>
      </c>
      <c r="B959" s="265" t="inlineStr">
        <is>
          <t>Прайс из СД ОП</t>
        </is>
      </c>
      <c r="C959" s="356" t="inlineStr">
        <is>
          <t xml:space="preserve">Переход К1-33,7х2,3-21,3х2,0 25х15 </t>
        </is>
      </c>
      <c r="D959" s="357" t="inlineStr">
        <is>
          <t>шт.</t>
        </is>
      </c>
      <c r="E959" s="267" t="n">
        <v>2</v>
      </c>
      <c r="F959" s="359" t="n">
        <v>4.26</v>
      </c>
      <c r="G959" s="268">
        <f>ROUND(E959*F959,2)</f>
        <v/>
      </c>
      <c r="H959" s="269">
        <f>G959/$G$1004</f>
        <v/>
      </c>
      <c r="I959" s="268">
        <f>ROUND(F959*Прил.10!$D$13,2)</f>
        <v/>
      </c>
      <c r="J959" s="268">
        <f>ROUND(I959*E959,2)</f>
        <v/>
      </c>
    </row>
    <row r="960" hidden="1" outlineLevel="1" ht="14.25" customFormat="1" customHeight="1" s="255">
      <c r="A960" s="357" t="n">
        <v>932</v>
      </c>
      <c r="B960" s="265" t="inlineStr">
        <is>
          <t>01.3.04.08-0014</t>
        </is>
      </c>
      <c r="C960" s="356" t="inlineStr">
        <is>
          <t>Масло креозотовое</t>
        </is>
      </c>
      <c r="D960" s="357" t="inlineStr">
        <is>
          <t>т</t>
        </is>
      </c>
      <c r="E960" s="267" t="n">
        <v>0.003</v>
      </c>
      <c r="F960" s="359" t="n">
        <v>2460</v>
      </c>
      <c r="G960" s="268">
        <f>ROUND(E960*F960,2)</f>
        <v/>
      </c>
      <c r="H960" s="269">
        <f>G960/$G$1004</f>
        <v/>
      </c>
      <c r="I960" s="268">
        <f>ROUND(F960*Прил.10!$D$13,2)</f>
        <v/>
      </c>
      <c r="J960" s="268">
        <f>ROUND(I960*E960,2)</f>
        <v/>
      </c>
    </row>
    <row r="961" hidden="1" outlineLevel="1" ht="14.25" customFormat="1" customHeight="1" s="255">
      <c r="A961" s="357" t="n">
        <v>933</v>
      </c>
      <c r="B961" s="265" t="inlineStr">
        <is>
          <t>14.4.03.17-0101</t>
        </is>
      </c>
      <c r="C961" s="356" t="inlineStr">
        <is>
          <t>Лак канифольный КФ-965</t>
        </is>
      </c>
      <c r="D961" s="357" t="inlineStr">
        <is>
          <t>т</t>
        </is>
      </c>
      <c r="E961" s="267" t="n">
        <v>0.0001</v>
      </c>
      <c r="F961" s="359" t="n">
        <v>70200</v>
      </c>
      <c r="G961" s="268">
        <f>ROUND(E961*F961,2)</f>
        <v/>
      </c>
      <c r="H961" s="269">
        <f>G961/$G$1004</f>
        <v/>
      </c>
      <c r="I961" s="268">
        <f>ROUND(F961*Прил.10!$D$13,2)</f>
        <v/>
      </c>
      <c r="J961" s="268">
        <f>ROUND(I961*E961,2)</f>
        <v/>
      </c>
    </row>
    <row r="962" hidden="1" outlineLevel="1" ht="14.25" customFormat="1" customHeight="1" s="255">
      <c r="A962" s="357" t="n">
        <v>934</v>
      </c>
      <c r="B962" s="265" t="inlineStr">
        <is>
          <t>20.2.02.01-0013</t>
        </is>
      </c>
      <c r="C962" s="356" t="inlineStr">
        <is>
          <t>Втулки, диаметр 28 мм</t>
        </is>
      </c>
      <c r="D962" s="357" t="inlineStr">
        <is>
          <t>1000 шт</t>
        </is>
      </c>
      <c r="E962" s="267" t="n">
        <v>0.039</v>
      </c>
      <c r="F962" s="359" t="n">
        <v>176.21</v>
      </c>
      <c r="G962" s="268">
        <f>ROUND(E962*F962,2)</f>
        <v/>
      </c>
      <c r="H962" s="269">
        <f>G962/$G$1004</f>
        <v/>
      </c>
      <c r="I962" s="268">
        <f>ROUND(F962*Прил.10!$D$13,2)</f>
        <v/>
      </c>
      <c r="J962" s="268">
        <f>ROUND(I962*E962,2)</f>
        <v/>
      </c>
    </row>
    <row r="963" hidden="1" outlineLevel="1" ht="14.25" customFormat="1" customHeight="1" s="255">
      <c r="A963" s="357" t="n">
        <v>935</v>
      </c>
      <c r="B963" s="265" t="inlineStr">
        <is>
          <t>14.4.03.03-0102</t>
        </is>
      </c>
      <c r="C963" s="356" t="inlineStr">
        <is>
          <t>Лак битумный БТ-577</t>
        </is>
      </c>
      <c r="D963" s="357" t="inlineStr">
        <is>
          <t>т</t>
        </is>
      </c>
      <c r="E963" s="267" t="n">
        <v>0.0007</v>
      </c>
      <c r="F963" s="359" t="n">
        <v>9550.01</v>
      </c>
      <c r="G963" s="268">
        <f>ROUND(E963*F963,2)</f>
        <v/>
      </c>
      <c r="H963" s="269">
        <f>G963/$G$1004</f>
        <v/>
      </c>
      <c r="I963" s="268">
        <f>ROUND(F963*Прил.10!$D$13,2)</f>
        <v/>
      </c>
      <c r="J963" s="268">
        <f>ROUND(I963*E963,2)</f>
        <v/>
      </c>
    </row>
    <row r="964" hidden="1" outlineLevel="1" ht="25.5" customFormat="1" customHeight="1" s="255">
      <c r="A964" s="357" t="n">
        <v>936</v>
      </c>
      <c r="B964" s="265" t="inlineStr">
        <is>
          <t>04.3.02.14-0101</t>
        </is>
      </c>
      <c r="C964" s="356" t="inlineStr">
        <is>
          <t>Смеси сухие известково-карбонатные штукатурные</t>
        </is>
      </c>
      <c r="D964" s="357" t="inlineStr">
        <is>
          <t>т</t>
        </is>
      </c>
      <c r="E964" s="267" t="n">
        <v>0.0044</v>
      </c>
      <c r="F964" s="359" t="n">
        <v>1470</v>
      </c>
      <c r="G964" s="268">
        <f>ROUND(E964*F964,2)</f>
        <v/>
      </c>
      <c r="H964" s="269">
        <f>G964/$G$1004</f>
        <v/>
      </c>
      <c r="I964" s="268">
        <f>ROUND(F964*Прил.10!$D$13,2)</f>
        <v/>
      </c>
      <c r="J964" s="268">
        <f>ROUND(I964*E964,2)</f>
        <v/>
      </c>
    </row>
    <row r="965" hidden="1" outlineLevel="1" ht="14.25" customFormat="1" customHeight="1" s="255">
      <c r="A965" s="357" t="n">
        <v>937</v>
      </c>
      <c r="B965" s="265" t="inlineStr">
        <is>
          <t>Прайс из СД ОП</t>
        </is>
      </c>
      <c r="C965" s="356" t="inlineStr">
        <is>
          <t xml:space="preserve">Шина заземления PE </t>
        </is>
      </c>
      <c r="D965" s="357" t="inlineStr">
        <is>
          <t>шт.</t>
        </is>
      </c>
      <c r="E965" s="267" t="n">
        <v>1</v>
      </c>
      <c r="F965" s="359" t="n">
        <v>6.35</v>
      </c>
      <c r="G965" s="268">
        <f>ROUND(E965*F965,2)</f>
        <v/>
      </c>
      <c r="H965" s="269">
        <f>G965/$G$1004</f>
        <v/>
      </c>
      <c r="I965" s="268">
        <f>ROUND(F965*Прил.10!$D$13,2)</f>
        <v/>
      </c>
      <c r="J965" s="268">
        <f>ROUND(I965*E965,2)</f>
        <v/>
      </c>
    </row>
    <row r="966" hidden="1" outlineLevel="1" ht="14.25" customFormat="1" customHeight="1" s="255">
      <c r="A966" s="357" t="n">
        <v>938</v>
      </c>
      <c r="B966" s="265" t="inlineStr">
        <is>
          <t>Прайс из СД ОП</t>
        </is>
      </c>
      <c r="C966" s="356" t="inlineStr">
        <is>
          <t>Анкерный болт с кольцом М10/12х100</t>
        </is>
      </c>
      <c r="D966" s="357" t="inlineStr">
        <is>
          <t>шт.</t>
        </is>
      </c>
      <c r="E966" s="267" t="n">
        <v>2</v>
      </c>
      <c r="F966" s="359" t="n">
        <v>3.17</v>
      </c>
      <c r="G966" s="268">
        <f>ROUND(E966*F966,2)</f>
        <v/>
      </c>
      <c r="H966" s="269">
        <f>G966/$G$1004</f>
        <v/>
      </c>
      <c r="I966" s="268">
        <f>ROUND(F966*Прил.10!$D$13,2)</f>
        <v/>
      </c>
      <c r="J966" s="268">
        <f>ROUND(I966*E966,2)</f>
        <v/>
      </c>
    </row>
    <row r="967" hidden="1" outlineLevel="1" ht="51" customFormat="1" customHeight="1" s="255">
      <c r="A967" s="357" t="n">
        <v>939</v>
      </c>
      <c r="B967" s="265" t="inlineStr">
        <is>
          <t>01.3.01.06-0023</t>
        </is>
      </c>
      <c r="C967" s="356" t="inlineStr">
        <is>
          <t>Смазка антифрикционная пластичная для узлов трения, работающих при переменных ударных нагрузках, диапазон температур от-60 °C до +80 °C</t>
        </is>
      </c>
      <c r="D967" s="357" t="inlineStr">
        <is>
          <t>т</t>
        </is>
      </c>
      <c r="E967" s="267" t="n">
        <v>0.0003</v>
      </c>
      <c r="F967" s="359" t="n">
        <v>20600</v>
      </c>
      <c r="G967" s="268">
        <f>ROUND(E967*F967,2)</f>
        <v/>
      </c>
      <c r="H967" s="269">
        <f>G967/$G$1004</f>
        <v/>
      </c>
      <c r="I967" s="268">
        <f>ROUND(F967*Прил.10!$D$13,2)</f>
        <v/>
      </c>
      <c r="J967" s="268">
        <f>ROUND(I967*E967,2)</f>
        <v/>
      </c>
    </row>
    <row r="968" hidden="1" outlineLevel="1" ht="25.5" customFormat="1" customHeight="1" s="255">
      <c r="A968" s="357" t="n">
        <v>940</v>
      </c>
      <c r="B968" s="265" t="inlineStr">
        <is>
          <t>01.7.15.03-0034</t>
        </is>
      </c>
      <c r="C968" s="356" t="inlineStr">
        <is>
          <t>Болты с гайками и шайбами оцинкованные, диаметр 12 мм</t>
        </is>
      </c>
      <c r="D968" s="357" t="inlineStr">
        <is>
          <t>кг</t>
        </is>
      </c>
      <c r="E968" s="267" t="n">
        <v>0.2378</v>
      </c>
      <c r="F968" s="359" t="n">
        <v>25.76</v>
      </c>
      <c r="G968" s="268">
        <f>ROUND(E968*F968,2)</f>
        <v/>
      </c>
      <c r="H968" s="269">
        <f>G968/$G$1004</f>
        <v/>
      </c>
      <c r="I968" s="268">
        <f>ROUND(F968*Прил.10!$D$13,2)</f>
        <v/>
      </c>
      <c r="J968" s="268">
        <f>ROUND(I968*E968,2)</f>
        <v/>
      </c>
    </row>
    <row r="969" hidden="1" outlineLevel="1" ht="14.25" customFormat="1" customHeight="1" s="255">
      <c r="A969" s="357" t="n">
        <v>941</v>
      </c>
      <c r="B969" s="265" t="inlineStr">
        <is>
          <t>01.7.15.11-0062</t>
        </is>
      </c>
      <c r="C969" s="356" t="inlineStr">
        <is>
          <t>Шайбы стальные</t>
        </is>
      </c>
      <c r="D969" s="357" t="inlineStr">
        <is>
          <t>т</t>
        </is>
      </c>
      <c r="E969" s="267" t="n">
        <v>0.0005999999999999999</v>
      </c>
      <c r="F969" s="359" t="n">
        <v>10208</v>
      </c>
      <c r="G969" s="268">
        <f>ROUND(E969*F969,2)</f>
        <v/>
      </c>
      <c r="H969" s="269">
        <f>G969/$G$1004</f>
        <v/>
      </c>
      <c r="I969" s="268">
        <f>ROUND(F969*Прил.10!$D$13,2)</f>
        <v/>
      </c>
      <c r="J969" s="268">
        <f>ROUND(I969*E969,2)</f>
        <v/>
      </c>
    </row>
    <row r="970" hidden="1" outlineLevel="1" ht="14.25" customFormat="1" customHeight="1" s="255">
      <c r="A970" s="357" t="n">
        <v>942</v>
      </c>
      <c r="B970" s="265" t="inlineStr">
        <is>
          <t>01.7.15.14-0161</t>
        </is>
      </c>
      <c r="C970" s="356" t="inlineStr">
        <is>
          <t>Шурупы с полукруглой головкой 2,5х20 мм</t>
        </is>
      </c>
      <c r="D970" s="357" t="inlineStr">
        <is>
          <t>т</t>
        </is>
      </c>
      <c r="E970" s="267" t="n">
        <v>0.0002</v>
      </c>
      <c r="F970" s="359" t="n">
        <v>29800</v>
      </c>
      <c r="G970" s="268">
        <f>ROUND(E970*F970,2)</f>
        <v/>
      </c>
      <c r="H970" s="269">
        <f>G970/$G$1004</f>
        <v/>
      </c>
      <c r="I970" s="268">
        <f>ROUND(F970*Прил.10!$D$13,2)</f>
        <v/>
      </c>
      <c r="J970" s="268">
        <f>ROUND(I970*E970,2)</f>
        <v/>
      </c>
    </row>
    <row r="971" hidden="1" outlineLevel="1" ht="25.5" customFormat="1" customHeight="1" s="255">
      <c r="A971" s="357" t="n">
        <v>943</v>
      </c>
      <c r="B971" s="265" t="inlineStr">
        <is>
          <t>08.3.03.04-0021</t>
        </is>
      </c>
      <c r="C971" s="356" t="inlineStr">
        <is>
          <t>Проволока стальная низкоуглеродистая общего назначения, диаметр 0,8 мм</t>
        </is>
      </c>
      <c r="D971" s="357" t="inlineStr">
        <is>
          <t>кг</t>
        </is>
      </c>
      <c r="E971" s="267" t="n">
        <v>0.65</v>
      </c>
      <c r="F971" s="359" t="n">
        <v>8.94</v>
      </c>
      <c r="G971" s="268">
        <f>ROUND(E971*F971,2)</f>
        <v/>
      </c>
      <c r="H971" s="269">
        <f>G971/$G$1004</f>
        <v/>
      </c>
      <c r="I971" s="268">
        <f>ROUND(F971*Прил.10!$D$13,2)</f>
        <v/>
      </c>
      <c r="J971" s="268">
        <f>ROUND(I971*E971,2)</f>
        <v/>
      </c>
    </row>
    <row r="972" hidden="1" outlineLevel="1" ht="25.5" customFormat="1" customHeight="1" s="255">
      <c r="A972" s="357" t="n">
        <v>944</v>
      </c>
      <c r="B972" s="265" t="inlineStr">
        <is>
          <t>01.7.15.07-0022</t>
        </is>
      </c>
      <c r="C972" s="356" t="inlineStr">
        <is>
          <t>Дюбели распорные полиэтиленовые, размер 6х40 мм</t>
        </is>
      </c>
      <c r="D972" s="357" t="inlineStr">
        <is>
          <t>1000 шт</t>
        </is>
      </c>
      <c r="E972" s="267" t="n">
        <v>0.032</v>
      </c>
      <c r="F972" s="359" t="n">
        <v>180</v>
      </c>
      <c r="G972" s="268">
        <f>ROUND(E972*F972,2)</f>
        <v/>
      </c>
      <c r="H972" s="269">
        <f>G972/$G$1004</f>
        <v/>
      </c>
      <c r="I972" s="268">
        <f>ROUND(F972*Прил.10!$D$13,2)</f>
        <v/>
      </c>
      <c r="J972" s="268">
        <f>ROUND(I972*E972,2)</f>
        <v/>
      </c>
    </row>
    <row r="973" hidden="1" outlineLevel="1" ht="51" customFormat="1" customHeight="1" s="255">
      <c r="A973" s="357" t="n">
        <v>945</v>
      </c>
      <c r="B973" s="265" t="inlineStr">
        <is>
          <t>01.7.15.14-0043</t>
        </is>
      </c>
      <c r="C973" s="356" t="inlineStr">
        <is>
          <t>Шурупы самонарезающий прокалывающий, для крепления металлических профилей или листовых деталей 3,5/11 мм</t>
        </is>
      </c>
      <c r="D973" s="357" t="inlineStr">
        <is>
          <t>100 шт</t>
        </is>
      </c>
      <c r="E973" s="267" t="n">
        <v>2.652</v>
      </c>
      <c r="F973" s="359" t="n">
        <v>2</v>
      </c>
      <c r="G973" s="268">
        <f>ROUND(E973*F973,2)</f>
        <v/>
      </c>
      <c r="H973" s="269">
        <f>G973/$G$1004</f>
        <v/>
      </c>
      <c r="I973" s="268">
        <f>ROUND(F973*Прил.10!$D$13,2)</f>
        <v/>
      </c>
      <c r="J973" s="268">
        <f>ROUND(I973*E973,2)</f>
        <v/>
      </c>
    </row>
    <row r="974" hidden="1" outlineLevel="1" ht="25.5" customFormat="1" customHeight="1" s="255">
      <c r="A974" s="357" t="n">
        <v>946</v>
      </c>
      <c r="B974" s="265" t="inlineStr">
        <is>
          <t>25.1.03.06-0036</t>
        </is>
      </c>
      <c r="C974" s="356" t="inlineStr">
        <is>
          <t>Шайбы пружинные путевые, исполнение 2, диаметр 24 мм</t>
        </is>
      </c>
      <c r="D974" s="357" t="inlineStr">
        <is>
          <t>т</t>
        </is>
      </c>
      <c r="E974" s="267" t="n">
        <v>0.0004</v>
      </c>
      <c r="F974" s="359" t="n">
        <v>13077.64</v>
      </c>
      <c r="G974" s="268">
        <f>ROUND(E974*F974,2)</f>
        <v/>
      </c>
      <c r="H974" s="269">
        <f>G974/$G$1004</f>
        <v/>
      </c>
      <c r="I974" s="268">
        <f>ROUND(F974*Прил.10!$D$13,2)</f>
        <v/>
      </c>
      <c r="J974" s="268">
        <f>ROUND(I974*E974,2)</f>
        <v/>
      </c>
    </row>
    <row r="975" hidden="1" outlineLevel="1" ht="25.5" customFormat="1" customHeight="1" s="255">
      <c r="A975" s="357" t="n">
        <v>947</v>
      </c>
      <c r="B975" s="265" t="inlineStr">
        <is>
          <t>01.7.15.04-0012</t>
        </is>
      </c>
      <c r="C975" s="356" t="inlineStr">
        <is>
          <t>Винты с полукруглой головкой, длина 55-120 мм</t>
        </is>
      </c>
      <c r="D975" s="357" t="inlineStr">
        <is>
          <t>т</t>
        </is>
      </c>
      <c r="E975" s="267" t="n">
        <v>0.0004</v>
      </c>
      <c r="F975" s="359" t="n">
        <v>12430</v>
      </c>
      <c r="G975" s="268">
        <f>ROUND(E975*F975,2)</f>
        <v/>
      </c>
      <c r="H975" s="269">
        <f>G975/$G$1004</f>
        <v/>
      </c>
      <c r="I975" s="268">
        <f>ROUND(F975*Прил.10!$D$13,2)</f>
        <v/>
      </c>
      <c r="J975" s="268">
        <f>ROUND(I975*E975,2)</f>
        <v/>
      </c>
    </row>
    <row r="976" hidden="1" outlineLevel="1" ht="14.25" customFormat="1" customHeight="1" s="255">
      <c r="A976" s="357" t="n">
        <v>948</v>
      </c>
      <c r="B976" s="265" t="inlineStr">
        <is>
          <t>Прайс из СД ОП</t>
        </is>
      </c>
      <c r="C976" s="356" t="inlineStr">
        <is>
          <t xml:space="preserve">Сетка антивандальная СЕТКА-315-30-С </t>
        </is>
      </c>
      <c r="D976" s="357" t="inlineStr">
        <is>
          <t>шт.</t>
        </is>
      </c>
      <c r="E976" s="267" t="n">
        <v>1</v>
      </c>
      <c r="F976" s="359" t="n">
        <v>4.9</v>
      </c>
      <c r="G976" s="268">
        <f>ROUND(E976*F976,2)</f>
        <v/>
      </c>
      <c r="H976" s="269">
        <f>G976/$G$1004</f>
        <v/>
      </c>
      <c r="I976" s="268">
        <f>ROUND(F976*Прил.10!$D$13,2)</f>
        <v/>
      </c>
      <c r="J976" s="268">
        <f>ROUND(I976*E976,2)</f>
        <v/>
      </c>
    </row>
    <row r="977" hidden="1" outlineLevel="1" ht="14.25" customFormat="1" customHeight="1" s="255">
      <c r="A977" s="357" t="n">
        <v>949</v>
      </c>
      <c r="B977" s="265" t="inlineStr">
        <is>
          <t>Прайс из СД ОП</t>
        </is>
      </c>
      <c r="C977" s="356" t="inlineStr">
        <is>
          <t>Коробка установочная  PE 000 003</t>
        </is>
      </c>
      <c r="D977" s="357" t="inlineStr">
        <is>
          <t>шт.</t>
        </is>
      </c>
      <c r="E977" s="267" t="n">
        <v>9</v>
      </c>
      <c r="F977" s="359" t="n">
        <v>0.54</v>
      </c>
      <c r="G977" s="268">
        <f>ROUND(E977*F977,2)</f>
        <v/>
      </c>
      <c r="H977" s="269">
        <f>G977/$G$1004</f>
        <v/>
      </c>
      <c r="I977" s="268">
        <f>ROUND(F977*Прил.10!$D$13,2)</f>
        <v/>
      </c>
      <c r="J977" s="268">
        <f>ROUND(I977*E977,2)</f>
        <v/>
      </c>
    </row>
    <row r="978" hidden="1" outlineLevel="1" ht="38.25" customFormat="1" customHeight="1" s="255">
      <c r="A978" s="357" t="n">
        <v>950</v>
      </c>
      <c r="B978" s="265" t="inlineStr">
        <is>
          <t>01.7.15.04-0056</t>
        </is>
      </c>
      <c r="C978" s="356" t="inlineStr">
        <is>
          <t>Винты самонарезающие, с уплотнительной прокладкой, размер 4,8х35 мм</t>
        </is>
      </c>
      <c r="D978" s="357" t="inlineStr">
        <is>
          <t>100 шт</t>
        </is>
      </c>
      <c r="E978" s="267" t="n">
        <v>0.24</v>
      </c>
      <c r="F978" s="359" t="n">
        <v>20</v>
      </c>
      <c r="G978" s="268">
        <f>ROUND(E978*F978,2)</f>
        <v/>
      </c>
      <c r="H978" s="269">
        <f>G978/$G$1004</f>
        <v/>
      </c>
      <c r="I978" s="268">
        <f>ROUND(F978*Прил.10!$D$13,2)</f>
        <v/>
      </c>
      <c r="J978" s="268">
        <f>ROUND(I978*E978,2)</f>
        <v/>
      </c>
    </row>
    <row r="979" hidden="1" outlineLevel="1" ht="25.5" customFormat="1" customHeight="1" s="255">
      <c r="A979" s="357" t="n">
        <v>951</v>
      </c>
      <c r="B979" s="265" t="inlineStr">
        <is>
          <t>14.2.06.01-0003</t>
        </is>
      </c>
      <c r="C979" s="356" t="inlineStr">
        <is>
          <t>Антисептик-антипирен «ПИРИЛАКС-ТЕРМА» для древесины</t>
        </is>
      </c>
      <c r="D979" s="357" t="inlineStr">
        <is>
          <t>кг</t>
        </is>
      </c>
      <c r="E979" s="267" t="n">
        <v>0.303</v>
      </c>
      <c r="F979" s="359" t="n">
        <v>15.16</v>
      </c>
      <c r="G979" s="268">
        <f>ROUND(E979*F979,2)</f>
        <v/>
      </c>
      <c r="H979" s="269">
        <f>G979/$G$1004</f>
        <v/>
      </c>
      <c r="I979" s="268">
        <f>ROUND(F979*Прил.10!$D$13,2)</f>
        <v/>
      </c>
      <c r="J979" s="268">
        <f>ROUND(I979*E979,2)</f>
        <v/>
      </c>
    </row>
    <row r="980" hidden="1" outlineLevel="1" ht="14.25" customFormat="1" customHeight="1" s="255">
      <c r="A980" s="357" t="n">
        <v>952</v>
      </c>
      <c r="B980" s="265" t="inlineStr">
        <is>
          <t>01.7.20.08-0102</t>
        </is>
      </c>
      <c r="C980" s="356" t="inlineStr">
        <is>
          <t>Миткаль суровый</t>
        </is>
      </c>
      <c r="D980" s="357" t="inlineStr">
        <is>
          <t>10 м</t>
        </is>
      </c>
      <c r="E980" s="267" t="n">
        <v>0.06</v>
      </c>
      <c r="F980" s="359" t="n">
        <v>73.65000000000001</v>
      </c>
      <c r="G980" s="268">
        <f>ROUND(E980*F980,2)</f>
        <v/>
      </c>
      <c r="H980" s="269">
        <f>G980/$G$1004</f>
        <v/>
      </c>
      <c r="I980" s="268">
        <f>ROUND(F980*Прил.10!$D$13,2)</f>
        <v/>
      </c>
      <c r="J980" s="268">
        <f>ROUND(I980*E980,2)</f>
        <v/>
      </c>
    </row>
    <row r="981" hidden="1" outlineLevel="1" ht="38.25" customFormat="1" customHeight="1" s="255">
      <c r="A981" s="357" t="n">
        <v>953</v>
      </c>
      <c r="B981" s="265" t="inlineStr">
        <is>
          <t>08.3.03.05-0013</t>
        </is>
      </c>
      <c r="C981" s="356" t="inlineStr">
        <is>
          <t>Проволока стальная низкоуглеродистая разного назначения оцинкованная, диаметр 1,6 мм</t>
        </is>
      </c>
      <c r="D981" s="357" t="inlineStr">
        <is>
          <t>т</t>
        </is>
      </c>
      <c r="E981" s="267" t="n">
        <v>0.0003</v>
      </c>
      <c r="F981" s="359" t="n">
        <v>14690</v>
      </c>
      <c r="G981" s="268">
        <f>ROUND(E981*F981,2)</f>
        <v/>
      </c>
      <c r="H981" s="269">
        <f>G981/$G$1004</f>
        <v/>
      </c>
      <c r="I981" s="268">
        <f>ROUND(F981*Прил.10!$D$13,2)</f>
        <v/>
      </c>
      <c r="J981" s="268">
        <f>ROUND(I981*E981,2)</f>
        <v/>
      </c>
    </row>
    <row r="982" hidden="1" outlineLevel="1" ht="14.25" customFormat="1" customHeight="1" s="255">
      <c r="A982" s="357" t="n">
        <v>954</v>
      </c>
      <c r="B982" s="265" t="inlineStr">
        <is>
          <t>01.7.02.09-0002</t>
        </is>
      </c>
      <c r="C982" s="356" t="inlineStr">
        <is>
          <t>Шпагат бумажный</t>
        </is>
      </c>
      <c r="D982" s="357" t="inlineStr">
        <is>
          <t>кг</t>
        </is>
      </c>
      <c r="E982" s="267" t="n">
        <v>0.3704</v>
      </c>
      <c r="F982" s="359" t="n">
        <v>11.5</v>
      </c>
      <c r="G982" s="268">
        <f>ROUND(E982*F982,2)</f>
        <v/>
      </c>
      <c r="H982" s="269">
        <f>G982/$G$1004</f>
        <v/>
      </c>
      <c r="I982" s="268">
        <f>ROUND(F982*Прил.10!$D$13,2)</f>
        <v/>
      </c>
      <c r="J982" s="268">
        <f>ROUND(I982*E982,2)</f>
        <v/>
      </c>
    </row>
    <row r="983" hidden="1" outlineLevel="1" ht="14.25" customFormat="1" customHeight="1" s="255">
      <c r="A983" s="357" t="n">
        <v>955</v>
      </c>
      <c r="B983" s="265" t="inlineStr">
        <is>
          <t>Прайс из СД ОП</t>
        </is>
      </c>
      <c r="C983" s="356" t="inlineStr">
        <is>
          <t>Анкерный болт с кольцом М6/8х60</t>
        </is>
      </c>
      <c r="D983" s="357" t="inlineStr">
        <is>
          <t>шт.</t>
        </is>
      </c>
      <c r="E983" s="267" t="n">
        <v>4</v>
      </c>
      <c r="F983" s="359" t="n">
        <v>1.05</v>
      </c>
      <c r="G983" s="268">
        <f>ROUND(E983*F983,2)</f>
        <v/>
      </c>
      <c r="H983" s="269">
        <f>G983/$G$1004</f>
        <v/>
      </c>
      <c r="I983" s="268">
        <f>ROUND(F983*Прил.10!$D$13,2)</f>
        <v/>
      </c>
      <c r="J983" s="268">
        <f>ROUND(I983*E983,2)</f>
        <v/>
      </c>
    </row>
    <row r="984" hidden="1" outlineLevel="1" ht="14.25" customFormat="1" customHeight="1" s="255">
      <c r="A984" s="357" t="n">
        <v>956</v>
      </c>
      <c r="B984" s="265" t="inlineStr">
        <is>
          <t>14.4.02.04-0006</t>
        </is>
      </c>
      <c r="C984" s="356" t="inlineStr">
        <is>
          <t>Краска для наружных работ, коричневая</t>
        </is>
      </c>
      <c r="D984" s="357" t="inlineStr">
        <is>
          <t>т</t>
        </is>
      </c>
      <c r="E984" s="267" t="n">
        <v>0.0002</v>
      </c>
      <c r="F984" s="359" t="n">
        <v>17796.96</v>
      </c>
      <c r="G984" s="268">
        <f>ROUND(E984*F984,2)</f>
        <v/>
      </c>
      <c r="H984" s="269">
        <f>G984/$G$1004</f>
        <v/>
      </c>
      <c r="I984" s="268">
        <f>ROUND(F984*Прил.10!$D$13,2)</f>
        <v/>
      </c>
      <c r="J984" s="268">
        <f>ROUND(I984*E984,2)</f>
        <v/>
      </c>
    </row>
    <row r="985" hidden="1" outlineLevel="1" ht="14.25" customFormat="1" customHeight="1" s="255">
      <c r="A985" s="357" t="n">
        <v>957</v>
      </c>
      <c r="B985" s="265" t="inlineStr">
        <is>
          <t>25.2.02.11-0041</t>
        </is>
      </c>
      <c r="C985" s="356" t="inlineStr">
        <is>
          <t>Рамка для надписей 55х15 мм</t>
        </is>
      </c>
      <c r="D985" s="357" t="inlineStr">
        <is>
          <t>шт</t>
        </is>
      </c>
      <c r="E985" s="267" t="n">
        <v>10</v>
      </c>
      <c r="F985" s="359" t="n">
        <v>0.27</v>
      </c>
      <c r="G985" s="268">
        <f>ROUND(E985*F985,2)</f>
        <v/>
      </c>
      <c r="H985" s="269">
        <f>G985/$G$1004</f>
        <v/>
      </c>
      <c r="I985" s="268">
        <f>ROUND(F985*Прил.10!$D$13,2)</f>
        <v/>
      </c>
      <c r="J985" s="268">
        <f>ROUND(I985*E985,2)</f>
        <v/>
      </c>
    </row>
    <row r="986" hidden="1" outlineLevel="1" ht="25.5" customFormat="1" customHeight="1" s="255">
      <c r="A986" s="357" t="n">
        <v>958</v>
      </c>
      <c r="B986" s="265" t="inlineStr">
        <is>
          <t>03.2.02.08-0001</t>
        </is>
      </c>
      <c r="C986" s="356" t="inlineStr">
        <is>
          <t>Цемент гипсоглиноземистый расширяющийся</t>
        </is>
      </c>
      <c r="D986" s="357" t="inlineStr">
        <is>
          <t>т</t>
        </is>
      </c>
      <c r="E986" s="267" t="n">
        <v>0.0014</v>
      </c>
      <c r="F986" s="359" t="n">
        <v>1836</v>
      </c>
      <c r="G986" s="268">
        <f>ROUND(E986*F986,2)</f>
        <v/>
      </c>
      <c r="H986" s="269">
        <f>G986/$G$1004</f>
        <v/>
      </c>
      <c r="I986" s="268">
        <f>ROUND(F986*Прил.10!$D$13,2)</f>
        <v/>
      </c>
      <c r="J986" s="268">
        <f>ROUND(I986*E986,2)</f>
        <v/>
      </c>
    </row>
    <row r="987" hidden="1" outlineLevel="1" ht="25.5" customFormat="1" customHeight="1" s="255">
      <c r="A987" s="357" t="n">
        <v>959</v>
      </c>
      <c r="B987" s="265" t="inlineStr">
        <is>
          <t>01.7.15.14-0173</t>
        </is>
      </c>
      <c r="C987" s="356" t="inlineStr">
        <is>
          <t>Шурупы с полукруглой головкой 6-10х100 мм</t>
        </is>
      </c>
      <c r="D987" s="357" t="inlineStr">
        <is>
          <t>т</t>
        </is>
      </c>
      <c r="E987" s="267" t="n">
        <v>0.0002</v>
      </c>
      <c r="F987" s="359" t="n">
        <v>11350</v>
      </c>
      <c r="G987" s="268">
        <f>ROUND(E987*F987,2)</f>
        <v/>
      </c>
      <c r="H987" s="269">
        <f>G987/$G$1004</f>
        <v/>
      </c>
      <c r="I987" s="268">
        <f>ROUND(F987*Прил.10!$D$13,2)</f>
        <v/>
      </c>
      <c r="J987" s="268">
        <f>ROUND(I987*E987,2)</f>
        <v/>
      </c>
    </row>
    <row r="988" hidden="1" outlineLevel="1" ht="25.5" customFormat="1" customHeight="1" s="255">
      <c r="A988" s="357" t="n">
        <v>960</v>
      </c>
      <c r="B988" s="265" t="inlineStr">
        <is>
          <t>02.2.05.04-1777</t>
        </is>
      </c>
      <c r="C988" s="356" t="inlineStr">
        <is>
          <t>Щебень М 800, фракция 20-40 мм, группа 2</t>
        </is>
      </c>
      <c r="D988" s="357" t="inlineStr">
        <is>
          <t>м3</t>
        </is>
      </c>
      <c r="E988" s="267" t="n">
        <v>0.0192</v>
      </c>
      <c r="F988" s="359" t="n">
        <v>108.4</v>
      </c>
      <c r="G988" s="268">
        <f>ROUND(E988*F988,2)</f>
        <v/>
      </c>
      <c r="H988" s="269">
        <f>G988/$G$1004</f>
        <v/>
      </c>
      <c r="I988" s="268">
        <f>ROUND(F988*Прил.10!$D$13,2)</f>
        <v/>
      </c>
      <c r="J988" s="268">
        <f>ROUND(I988*E988,2)</f>
        <v/>
      </c>
    </row>
    <row r="989" hidden="1" outlineLevel="1" ht="25.5" customFormat="1" customHeight="1" s="255">
      <c r="A989" s="357" t="n">
        <v>961</v>
      </c>
      <c r="B989" s="265" t="inlineStr">
        <is>
          <t>01.7.15.14-0185</t>
        </is>
      </c>
      <c r="C989" s="356" t="inlineStr">
        <is>
          <t>Шурупы с потайной головкой черные 8,0х100 мм</t>
        </is>
      </c>
      <c r="D989" s="357" t="inlineStr">
        <is>
          <t>т</t>
        </is>
      </c>
      <c r="E989" s="267" t="n">
        <v>0.0001</v>
      </c>
      <c r="F989" s="359" t="n">
        <v>17555.75</v>
      </c>
      <c r="G989" s="268">
        <f>ROUND(E989*F989,2)</f>
        <v/>
      </c>
      <c r="H989" s="269">
        <f>G989/$G$1004</f>
        <v/>
      </c>
      <c r="I989" s="268">
        <f>ROUND(F989*Прил.10!$D$13,2)</f>
        <v/>
      </c>
      <c r="J989" s="268">
        <f>ROUND(I989*E989,2)</f>
        <v/>
      </c>
    </row>
    <row r="990" hidden="1" outlineLevel="1" ht="25.5" customFormat="1" customHeight="1" s="255">
      <c r="A990" s="357" t="n">
        <v>962</v>
      </c>
      <c r="B990" s="265" t="inlineStr">
        <is>
          <t>01.7.15.07-0024</t>
        </is>
      </c>
      <c r="C990" s="356" t="inlineStr">
        <is>
          <t>Дюбели распорные полиэтиленовые, размер 8х40 мм</t>
        </is>
      </c>
      <c r="D990" s="357" t="inlineStr">
        <is>
          <t>1000 шт</t>
        </is>
      </c>
      <c r="E990" s="267" t="n">
        <v>0.008</v>
      </c>
      <c r="F990" s="359" t="n">
        <v>200</v>
      </c>
      <c r="G990" s="268">
        <f>ROUND(E990*F990,2)</f>
        <v/>
      </c>
      <c r="H990" s="269">
        <f>G990/$G$1004</f>
        <v/>
      </c>
      <c r="I990" s="268">
        <f>ROUND(F990*Прил.10!$D$13,2)</f>
        <v/>
      </c>
      <c r="J990" s="268">
        <f>ROUND(I990*E990,2)</f>
        <v/>
      </c>
    </row>
    <row r="991" hidden="1" outlineLevel="1" ht="14.25" customFormat="1" customHeight="1" s="255">
      <c r="A991" s="357" t="n">
        <v>963</v>
      </c>
      <c r="B991" s="265" t="inlineStr">
        <is>
          <t>14.1.06.04-0012</t>
        </is>
      </c>
      <c r="C991" s="356" t="inlineStr">
        <is>
          <t>Клей плиточный «Боларс Гранит»</t>
        </is>
      </c>
      <c r="D991" s="357" t="inlineStr">
        <is>
          <t>кг</t>
        </is>
      </c>
      <c r="E991" s="267" t="n">
        <v>0.4</v>
      </c>
      <c r="F991" s="359" t="n">
        <v>3.76</v>
      </c>
      <c r="G991" s="268">
        <f>ROUND(E991*F991,2)</f>
        <v/>
      </c>
      <c r="H991" s="269">
        <f>G991/$G$1004</f>
        <v/>
      </c>
      <c r="I991" s="268">
        <f>ROUND(F991*Прил.10!$D$13,2)</f>
        <v/>
      </c>
      <c r="J991" s="268">
        <f>ROUND(I991*E991,2)</f>
        <v/>
      </c>
    </row>
    <row r="992" hidden="1" outlineLevel="1" ht="14.25" customFormat="1" customHeight="1" s="255">
      <c r="A992" s="357" t="n">
        <v>964</v>
      </c>
      <c r="B992" s="265" t="inlineStr">
        <is>
          <t>24.3.01.01-0001</t>
        </is>
      </c>
      <c r="C992" s="356" t="inlineStr">
        <is>
          <t>Трубка ХВТ</t>
        </is>
      </c>
      <c r="D992" s="357" t="inlineStr">
        <is>
          <t>кг</t>
        </is>
      </c>
      <c r="E992" s="267" t="n">
        <v>0.032</v>
      </c>
      <c r="F992" s="359" t="n">
        <v>41.7</v>
      </c>
      <c r="G992" s="268">
        <f>ROUND(E992*F992,2)</f>
        <v/>
      </c>
      <c r="H992" s="269">
        <f>G992/$G$1004</f>
        <v/>
      </c>
      <c r="I992" s="268">
        <f>ROUND(F992*Прил.10!$D$13,2)</f>
        <v/>
      </c>
      <c r="J992" s="268">
        <f>ROUND(I992*E992,2)</f>
        <v/>
      </c>
    </row>
    <row r="993" hidden="1" outlineLevel="1" ht="14.25" customFormat="1" customHeight="1" s="255">
      <c r="A993" s="357" t="n">
        <v>965</v>
      </c>
      <c r="B993" s="265" t="inlineStr">
        <is>
          <t>01.3.04.03-0003</t>
        </is>
      </c>
      <c r="C993" s="356" t="inlineStr">
        <is>
          <t>Масло индустриальное И-20А</t>
        </is>
      </c>
      <c r="D993" s="357" t="inlineStr">
        <is>
          <t>л</t>
        </is>
      </c>
      <c r="E993" s="267" t="n">
        <v>0.112</v>
      </c>
      <c r="F993" s="359" t="n">
        <v>11.78</v>
      </c>
      <c r="G993" s="268">
        <f>ROUND(E993*F993,2)</f>
        <v/>
      </c>
      <c r="H993" s="269">
        <f>G993/$G$1004</f>
        <v/>
      </c>
      <c r="I993" s="268">
        <f>ROUND(F993*Прил.10!$D$13,2)</f>
        <v/>
      </c>
      <c r="J993" s="268">
        <f>ROUND(I993*E993,2)</f>
        <v/>
      </c>
    </row>
    <row r="994" hidden="1" outlineLevel="1" ht="14.25" customFormat="1" customHeight="1" s="255">
      <c r="A994" s="357" t="n">
        <v>966</v>
      </c>
      <c r="B994" s="265" t="inlineStr">
        <is>
          <t>01.7.11.07-0029</t>
        </is>
      </c>
      <c r="C994" s="356" t="inlineStr">
        <is>
          <t>Электроды сварочные Э55, диаметр 3 мм</t>
        </is>
      </c>
      <c r="D994" s="357" t="inlineStr">
        <is>
          <t>т</t>
        </is>
      </c>
      <c r="E994" s="267" t="n">
        <v>0.0001</v>
      </c>
      <c r="F994" s="359" t="n">
        <v>13045.13</v>
      </c>
      <c r="G994" s="268">
        <f>ROUND(E994*F994,2)</f>
        <v/>
      </c>
      <c r="H994" s="269">
        <f>G994/$G$1004</f>
        <v/>
      </c>
      <c r="I994" s="268">
        <f>ROUND(F994*Прил.10!$D$13,2)</f>
        <v/>
      </c>
      <c r="J994" s="268">
        <f>ROUND(I994*E994,2)</f>
        <v/>
      </c>
    </row>
    <row r="995" hidden="1" outlineLevel="1" ht="25.5" customFormat="1" customHeight="1" s="255">
      <c r="A995" s="357" t="n">
        <v>967</v>
      </c>
      <c r="B995" s="265" t="inlineStr">
        <is>
          <t>01.7.15.07-0021</t>
        </is>
      </c>
      <c r="C995" s="356" t="inlineStr">
        <is>
          <t>Дюбели распорные полиэтиленовые, размер 6х30 мм</t>
        </is>
      </c>
      <c r="D995" s="357" t="inlineStr">
        <is>
          <t>1000 шт</t>
        </is>
      </c>
      <c r="E995" s="267" t="n">
        <v>0.008</v>
      </c>
      <c r="F995" s="359" t="n">
        <v>160</v>
      </c>
      <c r="G995" s="268">
        <f>ROUND(E995*F995,2)</f>
        <v/>
      </c>
      <c r="H995" s="269">
        <f>G995/$G$1004</f>
        <v/>
      </c>
      <c r="I995" s="268">
        <f>ROUND(F995*Прил.10!$D$13,2)</f>
        <v/>
      </c>
      <c r="J995" s="268">
        <f>ROUND(I995*E995,2)</f>
        <v/>
      </c>
    </row>
    <row r="996" hidden="1" outlineLevel="1" ht="14.25" customFormat="1" customHeight="1" s="255">
      <c r="A996" s="357" t="n">
        <v>968</v>
      </c>
      <c r="B996" s="265" t="inlineStr">
        <is>
          <t>12.1.02.06-0012</t>
        </is>
      </c>
      <c r="C996" s="356" t="inlineStr">
        <is>
          <t>Рубероид кровельный РКК-350</t>
        </is>
      </c>
      <c r="D996" s="357" t="inlineStr">
        <is>
          <t>м2</t>
        </is>
      </c>
      <c r="E996" s="267" t="n">
        <v>0.168</v>
      </c>
      <c r="F996" s="359" t="n">
        <v>7.46</v>
      </c>
      <c r="G996" s="268">
        <f>ROUND(E996*F996,2)</f>
        <v/>
      </c>
      <c r="H996" s="269">
        <f>G996/$G$1004</f>
        <v/>
      </c>
      <c r="I996" s="268">
        <f>ROUND(F996*Прил.10!$D$13,2)</f>
        <v/>
      </c>
      <c r="J996" s="268">
        <f>ROUND(I996*E996,2)</f>
        <v/>
      </c>
    </row>
    <row r="997" hidden="1" outlineLevel="1" ht="14.25" customFormat="1" customHeight="1" s="255">
      <c r="A997" s="357" t="n">
        <v>969</v>
      </c>
      <c r="B997" s="265" t="inlineStr">
        <is>
          <t>01.7.15.14-0171</t>
        </is>
      </c>
      <c r="C997" s="356" t="inlineStr">
        <is>
          <t>Шурупы с полукруглой головкой 6х60 мм</t>
        </is>
      </c>
      <c r="D997" s="357" t="inlineStr">
        <is>
          <t>т</t>
        </is>
      </c>
      <c r="E997" s="267" t="n">
        <v>0.0001</v>
      </c>
      <c r="F997" s="359" t="n">
        <v>12430</v>
      </c>
      <c r="G997" s="268">
        <f>ROUND(E997*F997,2)</f>
        <v/>
      </c>
      <c r="H997" s="269">
        <f>G997/$G$1004</f>
        <v/>
      </c>
      <c r="I997" s="268">
        <f>ROUND(F997*Прил.10!$D$13,2)</f>
        <v/>
      </c>
      <c r="J997" s="268">
        <f>ROUND(I997*E997,2)</f>
        <v/>
      </c>
    </row>
    <row r="998" hidden="1" outlineLevel="1" ht="25.5" customFormat="1" customHeight="1" s="255">
      <c r="A998" s="357" t="n">
        <v>970</v>
      </c>
      <c r="B998" s="265" t="inlineStr">
        <is>
          <t>14.1.05.03-0012</t>
        </is>
      </c>
      <c r="C998" s="356" t="inlineStr">
        <is>
          <t>Клей фенолополивинилацетальный БФ-2, сорт I</t>
        </is>
      </c>
      <c r="D998" s="357" t="inlineStr">
        <is>
          <t>т</t>
        </is>
      </c>
      <c r="E998" s="267" t="n">
        <v>0.0001</v>
      </c>
      <c r="F998" s="359" t="n">
        <v>12330</v>
      </c>
      <c r="G998" s="268">
        <f>ROUND(E998*F998,2)</f>
        <v/>
      </c>
      <c r="H998" s="269">
        <f>G998/$G$1004</f>
        <v/>
      </c>
      <c r="I998" s="268">
        <f>ROUND(F998*Прил.10!$D$13,2)</f>
        <v/>
      </c>
      <c r="J998" s="268">
        <f>ROUND(I998*E998,2)</f>
        <v/>
      </c>
    </row>
    <row r="999" hidden="1" outlineLevel="1" ht="25.5" customFormat="1" customHeight="1" s="255">
      <c r="A999" s="357" t="n">
        <v>971</v>
      </c>
      <c r="B999" s="265" t="inlineStr">
        <is>
          <t>01.7.19.04-0002</t>
        </is>
      </c>
      <c r="C999" s="356" t="inlineStr">
        <is>
          <t>Пластина резиновая рулонная вулканизированная</t>
        </is>
      </c>
      <c r="D999" s="357" t="inlineStr">
        <is>
          <t>кг</t>
        </is>
      </c>
      <c r="E999" s="267" t="n">
        <v>0.08</v>
      </c>
      <c r="F999" s="359" t="n">
        <v>13.56</v>
      </c>
      <c r="G999" s="268">
        <f>ROUND(E999*F999,2)</f>
        <v/>
      </c>
      <c r="H999" s="269">
        <f>G999/$G$1004</f>
        <v/>
      </c>
      <c r="I999" s="268">
        <f>ROUND(F999*Прил.10!$D$13,2)</f>
        <v/>
      </c>
      <c r="J999" s="268">
        <f>ROUND(I999*E999,2)</f>
        <v/>
      </c>
    </row>
    <row r="1000" hidden="1" outlineLevel="1" ht="25.5" customFormat="1" customHeight="1" s="255">
      <c r="A1000" s="357" t="n">
        <v>972</v>
      </c>
      <c r="B1000" s="265" t="inlineStr">
        <is>
          <t>24.3.01.02-1004</t>
        </is>
      </c>
      <c r="C1000" s="356" t="inlineStr">
        <is>
          <t>Кольца резиновые уплотнительные для ПВХ труб канализации, диаметр 50 мм</t>
        </is>
      </c>
      <c r="D1000" s="357" t="inlineStr">
        <is>
          <t>шт</t>
        </is>
      </c>
      <c r="E1000" s="267" t="n">
        <v>4</v>
      </c>
      <c r="F1000" s="359" t="n">
        <v>0.22</v>
      </c>
      <c r="G1000" s="268">
        <f>ROUND(E1000*F1000,2)</f>
        <v/>
      </c>
      <c r="H1000" s="269">
        <f>G1000/$G$1004</f>
        <v/>
      </c>
      <c r="I1000" s="268">
        <f>ROUND(F1000*Прил.10!$D$13,2)</f>
        <v/>
      </c>
      <c r="J1000" s="268">
        <f>ROUND(I1000*E1000,2)</f>
        <v/>
      </c>
    </row>
    <row r="1001" hidden="1" outlineLevel="1" ht="14.25" customFormat="1" customHeight="1" s="255">
      <c r="A1001" s="357" t="n">
        <v>973</v>
      </c>
      <c r="B1001" s="265" t="inlineStr">
        <is>
          <t>14.5.05.02-0001</t>
        </is>
      </c>
      <c r="C1001" s="356" t="inlineStr">
        <is>
          <t>Олифа натуральная</t>
        </is>
      </c>
      <c r="D1001" s="357" t="inlineStr">
        <is>
          <t>кг</t>
        </is>
      </c>
      <c r="E1001" s="267" t="n">
        <v>0.008</v>
      </c>
      <c r="F1001" s="359" t="n">
        <v>32.6</v>
      </c>
      <c r="G1001" s="268">
        <f>ROUND(E1001*F1001,2)</f>
        <v/>
      </c>
      <c r="H1001" s="269">
        <f>G1001/$G$1004</f>
        <v/>
      </c>
      <c r="I1001" s="268">
        <f>ROUND(F1001*Прил.10!$D$13,2)</f>
        <v/>
      </c>
      <c r="J1001" s="268">
        <f>ROUND(I1001*E1001,2)</f>
        <v/>
      </c>
    </row>
    <row r="1002" hidden="1" outlineLevel="1" ht="25.5" customFormat="1" customHeight="1" s="255">
      <c r="A1002" s="357" t="n">
        <v>974</v>
      </c>
      <c r="B1002" s="265" t="inlineStr">
        <is>
          <t>03.1.02.03-0015</t>
        </is>
      </c>
      <c r="C1002" s="356" t="inlineStr">
        <is>
          <t>Известь строительная негашеная хлорная, марка А</t>
        </is>
      </c>
      <c r="D1002" s="357" t="inlineStr">
        <is>
          <t>кг</t>
        </is>
      </c>
      <c r="E1002" s="267" t="n">
        <v>0.0304</v>
      </c>
      <c r="F1002" s="359" t="n">
        <v>2.15</v>
      </c>
      <c r="G1002" s="268">
        <f>ROUND(E1002*F1002,2)</f>
        <v/>
      </c>
      <c r="H1002" s="269">
        <f>G1002/$G$1004</f>
        <v/>
      </c>
      <c r="I1002" s="268">
        <f>ROUND(F1002*Прил.10!$D$13,2)</f>
        <v/>
      </c>
      <c r="J1002" s="268">
        <f>ROUND(I1002*E1002,2)</f>
        <v/>
      </c>
    </row>
    <row r="1003" collapsed="1" ht="14.25" customFormat="1" customHeight="1" s="255">
      <c r="A1003" s="357" t="n"/>
      <c r="B1003" s="357" t="n"/>
      <c r="C1003" s="356" t="inlineStr">
        <is>
          <t>Итого прочие материалы</t>
        </is>
      </c>
      <c r="D1003" s="357" t="n"/>
      <c r="E1003" s="358" t="n"/>
      <c r="F1003" s="359" t="n"/>
      <c r="G1003" s="277">
        <f>SUM(G246:G1002)</f>
        <v/>
      </c>
      <c r="H1003" s="269">
        <f>G1003/$G$1004</f>
        <v/>
      </c>
      <c r="I1003" s="268" t="n"/>
      <c r="J1003" s="277">
        <f>SUM(J246:J1002)</f>
        <v/>
      </c>
    </row>
    <row r="1004" ht="14.25" customFormat="1" customHeight="1" s="255">
      <c r="A1004" s="357" t="n"/>
      <c r="B1004" s="357" t="n"/>
      <c r="C1004" s="344" t="inlineStr">
        <is>
          <t>Итого по разделу «Материалы»</t>
        </is>
      </c>
      <c r="D1004" s="357" t="n"/>
      <c r="E1004" s="358" t="n"/>
      <c r="F1004" s="359" t="n"/>
      <c r="G1004" s="268">
        <f>G245+G1003</f>
        <v/>
      </c>
      <c r="H1004" s="269">
        <f>G1004/$G$1004</f>
        <v/>
      </c>
      <c r="I1004" s="268" t="n"/>
      <c r="J1004" s="268">
        <f>J245+J1003</f>
        <v/>
      </c>
    </row>
    <row r="1005" ht="14.25" customFormat="1" customHeight="1" s="255">
      <c r="A1005" s="357" t="n"/>
      <c r="B1005" s="357" t="n"/>
      <c r="C1005" s="356" t="inlineStr">
        <is>
          <t>ИТОГО ПО РМ</t>
        </is>
      </c>
      <c r="D1005" s="357" t="n"/>
      <c r="E1005" s="358" t="n"/>
      <c r="F1005" s="359" t="n"/>
      <c r="G1005" s="268">
        <f>G14+G97+G1004</f>
        <v/>
      </c>
      <c r="H1005" s="360" t="n"/>
      <c r="I1005" s="268" t="n"/>
      <c r="J1005" s="268">
        <f>J14+J97+J1004</f>
        <v/>
      </c>
    </row>
    <row r="1006" ht="14.25" customFormat="1" customHeight="1" s="255">
      <c r="A1006" s="357" t="n"/>
      <c r="B1006" s="357" t="n"/>
      <c r="C1006" s="356" t="inlineStr">
        <is>
          <t>Накладные расходы</t>
        </is>
      </c>
      <c r="D1006" s="285">
        <f>ROUND(G1006/(G$16+$G$14),2)</f>
        <v/>
      </c>
      <c r="E1006" s="358" t="n"/>
      <c r="F1006" s="359" t="n"/>
      <c r="G1006" s="268" t="n">
        <v>948840</v>
      </c>
      <c r="H1006" s="360" t="n"/>
      <c r="I1006" s="268" t="n"/>
      <c r="J1006" s="268">
        <f>ROUND(D1006*(J14+J16),2)</f>
        <v/>
      </c>
    </row>
    <row r="1007" ht="14.25" customFormat="1" customHeight="1" s="255">
      <c r="A1007" s="357" t="n"/>
      <c r="B1007" s="357" t="n"/>
      <c r="C1007" s="356" t="inlineStr">
        <is>
          <t>Сметная прибыль</t>
        </is>
      </c>
      <c r="D1007" s="285">
        <f>ROUND(G1007/(G$14+G$16),2)</f>
        <v/>
      </c>
      <c r="E1007" s="358" t="n"/>
      <c r="F1007" s="359" t="n"/>
      <c r="G1007" s="268" t="n">
        <v>631240</v>
      </c>
      <c r="H1007" s="360" t="n"/>
      <c r="I1007" s="268" t="n"/>
      <c r="J1007" s="268">
        <f>ROUND(D1007*(J14+J16),2)</f>
        <v/>
      </c>
    </row>
    <row r="1008" ht="14.25" customFormat="1" customHeight="1" s="255">
      <c r="A1008" s="357" t="n"/>
      <c r="B1008" s="357" t="n"/>
      <c r="C1008" s="356" t="inlineStr">
        <is>
          <t>Итого СМР (с НР и СП)</t>
        </is>
      </c>
      <c r="D1008" s="357" t="n"/>
      <c r="E1008" s="358" t="n"/>
      <c r="F1008" s="359" t="n"/>
      <c r="G1008" s="268">
        <f>ROUND((G14+G97+G1004+G1006+G1007),2)</f>
        <v/>
      </c>
      <c r="H1008" s="360" t="n"/>
      <c r="I1008" s="268" t="n"/>
      <c r="J1008" s="268">
        <f>ROUND((J14+J97+J1004+J1006+J1007),2)</f>
        <v/>
      </c>
    </row>
    <row r="1009" ht="14.25" customFormat="1" customHeight="1" s="255">
      <c r="A1009" s="357" t="n"/>
      <c r="B1009" s="357" t="n"/>
      <c r="C1009" s="356" t="inlineStr">
        <is>
          <t>ВСЕГО СМР + ОБОРУДОВАНИЕ</t>
        </is>
      </c>
      <c r="D1009" s="357" t="n"/>
      <c r="E1009" s="358" t="n"/>
      <c r="F1009" s="359" t="n"/>
      <c r="G1009" s="268">
        <f>G1008+G193</f>
        <v/>
      </c>
      <c r="H1009" s="360" t="n"/>
      <c r="I1009" s="268" t="n"/>
      <c r="J1009" s="268">
        <f>J1008+J193</f>
        <v/>
      </c>
    </row>
    <row r="1010" ht="34.5" customFormat="1" customHeight="1" s="255">
      <c r="A1010" s="357" t="n"/>
      <c r="B1010" s="357" t="n"/>
      <c r="C1010" s="356" t="inlineStr">
        <is>
          <t>ИТОГО ПОКАЗАТЕЛЬ НА ЕД. ИЗМ.</t>
        </is>
      </c>
      <c r="D1010" s="357" t="inlineStr">
        <is>
          <t>ед.</t>
        </is>
      </c>
      <c r="E1010" s="358" t="n">
        <v>1</v>
      </c>
      <c r="F1010" s="359" t="n"/>
      <c r="G1010" s="268">
        <f>G1009/E1010</f>
        <v/>
      </c>
      <c r="H1010" s="360" t="n"/>
      <c r="I1010" s="268" t="n"/>
      <c r="J1010" s="268">
        <f>J1009/E1010</f>
        <v/>
      </c>
    </row>
    <row r="1012" ht="14.25" customFormat="1" customHeight="1" s="255">
      <c r="A1012" s="256" t="inlineStr">
        <is>
          <t>Составил ______________________     Д.Ю. Нефедова</t>
        </is>
      </c>
    </row>
    <row r="1013" ht="14.25" customFormat="1" customHeight="1" s="255">
      <c r="A1013" s="286" t="inlineStr">
        <is>
          <t xml:space="preserve">                         (подпись, инициалы, фамилия)</t>
        </is>
      </c>
    </row>
    <row r="1014" ht="14.25" customFormat="1" customHeight="1" s="255">
      <c r="A1014" s="256" t="n"/>
    </row>
    <row r="1015" ht="14.25" customFormat="1" customHeight="1" s="255">
      <c r="A1015" s="256" t="inlineStr">
        <is>
          <t>Проверил ______________________        А.В. Костянецкая</t>
        </is>
      </c>
    </row>
    <row r="1016" ht="14.25" customFormat="1" customHeight="1" s="255">
      <c r="A1016" s="286" t="inlineStr">
        <is>
          <t xml:space="preserve">                        (подпись, инициалы, фамилия)</t>
        </is>
      </c>
    </row>
  </sheetData>
  <mergeCells count="21">
    <mergeCell ref="B99:H99"/>
    <mergeCell ref="H9:H10"/>
    <mergeCell ref="A4:J4"/>
    <mergeCell ref="B15:H15"/>
    <mergeCell ref="H2:J2"/>
    <mergeCell ref="C9:C10"/>
    <mergeCell ref="E9:E10"/>
    <mergeCell ref="A7:H7"/>
    <mergeCell ref="B9:B10"/>
    <mergeCell ref="D9:D10"/>
    <mergeCell ref="B18:H18"/>
    <mergeCell ref="B12:H12"/>
    <mergeCell ref="D6:J6"/>
    <mergeCell ref="B195:H195"/>
    <mergeCell ref="A8:H8"/>
    <mergeCell ref="B98:H98"/>
    <mergeCell ref="F9:G9"/>
    <mergeCell ref="B17:H17"/>
    <mergeCell ref="A9:A10"/>
    <mergeCell ref="B196:H196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77" fitToHeight="0" cellComments="atEnd"/>
  <rowBreaks count="1" manualBreakCount="1">
    <brk id="242" min="0" max="9" man="1"/>
  </rowBreaks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10"/>
  <sheetViews>
    <sheetView tabSelected="1" view="pageBreakPreview" topLeftCell="A73" zoomScale="40" zoomScaleSheetLayoutView="40" workbookViewId="0">
      <selection activeCell="AW104" sqref="AW104:AX104"/>
    </sheetView>
  </sheetViews>
  <sheetFormatPr baseColWidth="8" defaultRowHeight="15"/>
  <cols>
    <col width="5.7109375" customWidth="1" style="248" min="1" max="1"/>
    <col width="17.5703125" customWidth="1" style="248" min="2" max="2"/>
    <col width="39.140625" customWidth="1" style="248" min="3" max="3"/>
    <col width="10.7109375" customWidth="1" style="248" min="4" max="4"/>
    <col width="13.85546875" customWidth="1" style="248" min="5" max="5"/>
    <col width="13.28515625" customWidth="1" style="248" min="6" max="6"/>
    <col width="14.140625" customWidth="1" style="248" min="7" max="7"/>
  </cols>
  <sheetData>
    <row r="1">
      <c r="A1" s="369" t="inlineStr">
        <is>
          <t>Приложение №6</t>
        </is>
      </c>
    </row>
    <row r="2">
      <c r="A2" s="369" t="n"/>
      <c r="B2" s="369" t="n"/>
      <c r="C2" s="369" t="n"/>
      <c r="D2" s="369" t="n"/>
      <c r="E2" s="369" t="n"/>
      <c r="F2" s="369" t="n"/>
      <c r="G2" s="369" t="n"/>
    </row>
    <row r="3">
      <c r="A3" s="324" t="inlineStr">
        <is>
          <t>Расчет стоимости оборудования</t>
        </is>
      </c>
    </row>
    <row r="4">
      <c r="A4" s="327" t="inlineStr">
        <is>
          <t>Наименование разрабатываемого показателя УНЦ — Здание ЗПС 110 кВ</t>
        </is>
      </c>
    </row>
    <row r="5">
      <c r="A5" s="256" t="n"/>
      <c r="B5" s="256" t="n"/>
      <c r="C5" s="256" t="n"/>
      <c r="D5" s="256" t="n"/>
      <c r="E5" s="256" t="n"/>
      <c r="F5" s="256" t="n"/>
      <c r="G5" s="256" t="n"/>
    </row>
    <row r="6">
      <c r="A6" s="374" t="inlineStr">
        <is>
          <t>№ пп.</t>
        </is>
      </c>
      <c r="B6" s="374" t="inlineStr">
        <is>
          <t>Код ресурса</t>
        </is>
      </c>
      <c r="C6" s="374" t="inlineStr">
        <is>
          <t>Наименование</t>
        </is>
      </c>
      <c r="D6" s="374" t="inlineStr">
        <is>
          <t>Ед. изм.</t>
        </is>
      </c>
      <c r="E6" s="357" t="inlineStr">
        <is>
          <t>Кол-во единиц по проектным данным</t>
        </is>
      </c>
      <c r="F6" s="374" t="inlineStr">
        <is>
          <t>Сметная стоимость в ценах на 01.01.2000 (руб.)</t>
        </is>
      </c>
      <c r="G6" s="420" t="n"/>
    </row>
    <row r="7" ht="24" customHeight="1" s="248">
      <c r="A7" s="422" t="n"/>
      <c r="B7" s="422" t="n"/>
      <c r="C7" s="422" t="n"/>
      <c r="D7" s="422" t="n"/>
      <c r="E7" s="422" t="n"/>
      <c r="F7" s="357" t="inlineStr">
        <is>
          <t>на ед. изм.</t>
        </is>
      </c>
      <c r="G7" s="357" t="inlineStr">
        <is>
          <t>общая</t>
        </is>
      </c>
    </row>
    <row r="8">
      <c r="A8" s="357" t="n">
        <v>1</v>
      </c>
      <c r="B8" s="357" t="n">
        <v>2</v>
      </c>
      <c r="C8" s="357" t="n">
        <v>3</v>
      </c>
      <c r="D8" s="357" t="n">
        <v>4</v>
      </c>
      <c r="E8" s="357" t="n">
        <v>5</v>
      </c>
      <c r="F8" s="357" t="n">
        <v>6</v>
      </c>
      <c r="G8" s="357" t="n">
        <v>7</v>
      </c>
    </row>
    <row r="9">
      <c r="A9" s="211" t="n"/>
      <c r="B9" s="356" t="inlineStr">
        <is>
          <t>ИНЖЕНЕРНОЕ ОБОРУДОВАНИЕ</t>
        </is>
      </c>
      <c r="C9" s="419" t="n"/>
      <c r="D9" s="419" t="n"/>
      <c r="E9" s="419" t="n"/>
      <c r="F9" s="419" t="n"/>
      <c r="G9" s="420" t="n"/>
    </row>
    <row r="10" ht="38.25" customHeight="1" s="248">
      <c r="A10" s="357" t="n">
        <v>1</v>
      </c>
      <c r="B10" s="254">
        <f>'Прил.5 Расчет СМР и ОБ'!B100</f>
        <v/>
      </c>
      <c r="C10" s="254">
        <f>'Прил.5 Расчет СМР и ОБ'!C100</f>
        <v/>
      </c>
      <c r="D10" s="265">
        <f>'Прил.5 Расчет СМР и ОБ'!D100</f>
        <v/>
      </c>
      <c r="E10" s="265">
        <f>'Прил.5 Расчет СМР и ОБ'!E100</f>
        <v/>
      </c>
      <c r="F10" s="265">
        <f>'Прил.5 Расчет СМР и ОБ'!F100</f>
        <v/>
      </c>
      <c r="G10" s="268">
        <f>ROUND(E10*F10,2)</f>
        <v/>
      </c>
    </row>
    <row r="11" ht="38.25" customHeight="1" s="248">
      <c r="A11" s="357" t="n">
        <v>2</v>
      </c>
      <c r="B11" s="254">
        <f>'Прил.5 Расчет СМР и ОБ'!B101</f>
        <v/>
      </c>
      <c r="C11" s="254">
        <f>'Прил.5 Расчет СМР и ОБ'!C101</f>
        <v/>
      </c>
      <c r="D11" s="265">
        <f>'Прил.5 Расчет СМР и ОБ'!D101</f>
        <v/>
      </c>
      <c r="E11" s="265">
        <f>'Прил.5 Расчет СМР и ОБ'!E101</f>
        <v/>
      </c>
      <c r="F11" s="265">
        <f>'Прил.5 Расчет СМР и ОБ'!F101</f>
        <v/>
      </c>
      <c r="G11" s="268">
        <f>ROUND(E11*F11,2)</f>
        <v/>
      </c>
    </row>
    <row r="12" ht="38.25" customHeight="1" s="248">
      <c r="A12" s="357" t="n">
        <v>3</v>
      </c>
      <c r="B12" s="254">
        <f>'Прил.5 Расчет СМР и ОБ'!B102</f>
        <v/>
      </c>
      <c r="C12" s="254">
        <f>'Прил.5 Расчет СМР и ОБ'!C102</f>
        <v/>
      </c>
      <c r="D12" s="265">
        <f>'Прил.5 Расчет СМР и ОБ'!D102</f>
        <v/>
      </c>
      <c r="E12" s="265">
        <f>'Прил.5 Расчет СМР и ОБ'!E102</f>
        <v/>
      </c>
      <c r="F12" s="265">
        <f>'Прил.5 Расчет СМР и ОБ'!F102</f>
        <v/>
      </c>
      <c r="G12" s="268">
        <f>ROUND(E12*F12,2)</f>
        <v/>
      </c>
    </row>
    <row r="13" ht="25.5" customHeight="1" s="248">
      <c r="A13" s="357" t="n">
        <v>4</v>
      </c>
      <c r="B13" s="254">
        <f>'Прил.5 Расчет СМР и ОБ'!B103</f>
        <v/>
      </c>
      <c r="C13" s="254">
        <f>'Прил.5 Расчет СМР и ОБ'!C103</f>
        <v/>
      </c>
      <c r="D13" s="265">
        <f>'Прил.5 Расчет СМР и ОБ'!D103</f>
        <v/>
      </c>
      <c r="E13" s="265">
        <f>'Прил.5 Расчет СМР и ОБ'!E103</f>
        <v/>
      </c>
      <c r="F13" s="265">
        <f>'Прил.5 Расчет СМР и ОБ'!F103</f>
        <v/>
      </c>
      <c r="G13" s="268">
        <f>ROUND(E13*F13,2)</f>
        <v/>
      </c>
    </row>
    <row r="14" ht="25.5" customHeight="1" s="248">
      <c r="A14" s="357" t="n">
        <v>5</v>
      </c>
      <c r="B14" s="254">
        <f>'Прил.5 Расчет СМР и ОБ'!B104</f>
        <v/>
      </c>
      <c r="C14" s="254">
        <f>'Прил.5 Расчет СМР и ОБ'!C104</f>
        <v/>
      </c>
      <c r="D14" s="265">
        <f>'Прил.5 Расчет СМР и ОБ'!D104</f>
        <v/>
      </c>
      <c r="E14" s="265">
        <f>'Прил.5 Расчет СМР и ОБ'!E104</f>
        <v/>
      </c>
      <c r="F14" s="265">
        <f>'Прил.5 Расчет СМР и ОБ'!F104</f>
        <v/>
      </c>
      <c r="G14" s="268">
        <f>ROUND(E14*F14,2)</f>
        <v/>
      </c>
    </row>
    <row r="15" ht="38.25" customHeight="1" s="248">
      <c r="A15" s="357" t="n">
        <v>6</v>
      </c>
      <c r="B15" s="254">
        <f>'Прил.5 Расчет СМР и ОБ'!B105</f>
        <v/>
      </c>
      <c r="C15" s="254">
        <f>'Прил.5 Расчет СМР и ОБ'!C105</f>
        <v/>
      </c>
      <c r="D15" s="265">
        <f>'Прил.5 Расчет СМР и ОБ'!D105</f>
        <v/>
      </c>
      <c r="E15" s="265">
        <f>'Прил.5 Расчет СМР и ОБ'!E105</f>
        <v/>
      </c>
      <c r="F15" s="265">
        <f>'Прил.5 Расчет СМР и ОБ'!F105</f>
        <v/>
      </c>
      <c r="G15" s="268">
        <f>ROUND(E15*F15,2)</f>
        <v/>
      </c>
    </row>
    <row r="16" ht="38.25" customHeight="1" s="248">
      <c r="A16" s="357" t="n">
        <v>7</v>
      </c>
      <c r="B16" s="254">
        <f>'Прил.5 Расчет СМР и ОБ'!B106</f>
        <v/>
      </c>
      <c r="C16" s="254">
        <f>'Прил.5 Расчет СМР и ОБ'!C106</f>
        <v/>
      </c>
      <c r="D16" s="265">
        <f>'Прил.5 Расчет СМР и ОБ'!D106</f>
        <v/>
      </c>
      <c r="E16" s="265">
        <f>'Прил.5 Расчет СМР и ОБ'!E106</f>
        <v/>
      </c>
      <c r="F16" s="265">
        <f>'Прил.5 Расчет СМР и ОБ'!F106</f>
        <v/>
      </c>
      <c r="G16" s="268">
        <f>ROUND(E16*F16,2)</f>
        <v/>
      </c>
    </row>
    <row r="17" ht="25.5" customHeight="1" s="248">
      <c r="A17" s="357" t="n">
        <v>8</v>
      </c>
      <c r="B17" s="254">
        <f>'Прил.5 Расчет СМР и ОБ'!B107</f>
        <v/>
      </c>
      <c r="C17" s="254">
        <f>'Прил.5 Расчет СМР и ОБ'!C107</f>
        <v/>
      </c>
      <c r="D17" s="265">
        <f>'Прил.5 Расчет СМР и ОБ'!D107</f>
        <v/>
      </c>
      <c r="E17" s="265">
        <f>'Прил.5 Расчет СМР и ОБ'!E107</f>
        <v/>
      </c>
      <c r="F17" s="265">
        <f>'Прил.5 Расчет СМР и ОБ'!F107</f>
        <v/>
      </c>
      <c r="G17" s="268">
        <f>ROUND(E17*F17,2)</f>
        <v/>
      </c>
    </row>
    <row r="18" ht="38.25" customHeight="1" s="248">
      <c r="A18" s="357" t="n">
        <v>9</v>
      </c>
      <c r="B18" s="254">
        <f>'Прил.5 Расчет СМР и ОБ'!B108</f>
        <v/>
      </c>
      <c r="C18" s="254">
        <f>'Прил.5 Расчет СМР и ОБ'!C108</f>
        <v/>
      </c>
      <c r="D18" s="265">
        <f>'Прил.5 Расчет СМР и ОБ'!D108</f>
        <v/>
      </c>
      <c r="E18" s="265">
        <f>'Прил.5 Расчет СМР и ОБ'!E108</f>
        <v/>
      </c>
      <c r="F18" s="265">
        <f>'Прил.5 Расчет СМР и ОБ'!F108</f>
        <v/>
      </c>
      <c r="G18" s="268">
        <f>ROUND(E18*F18,2)</f>
        <v/>
      </c>
    </row>
    <row r="19" ht="38.85" customHeight="1" s="248">
      <c r="A19" s="357" t="n">
        <v>10</v>
      </c>
      <c r="B19" s="254">
        <f>'Прил.5 Расчет СМР и ОБ'!B109</f>
        <v/>
      </c>
      <c r="C19" s="254">
        <f>'Прил.5 Расчет СМР и ОБ'!C109</f>
        <v/>
      </c>
      <c r="D19" s="265">
        <f>'Прил.5 Расчет СМР и ОБ'!D109</f>
        <v/>
      </c>
      <c r="E19" s="265">
        <f>'Прил.5 Расчет СМР и ОБ'!E109</f>
        <v/>
      </c>
      <c r="F19" s="265">
        <f>'Прил.5 Расчет СМР и ОБ'!F109</f>
        <v/>
      </c>
      <c r="G19" s="268">
        <f>ROUND(E19*F19,2)</f>
        <v/>
      </c>
    </row>
    <row r="20" ht="25.5" customHeight="1" s="248">
      <c r="A20" s="357" t="n">
        <v>11</v>
      </c>
      <c r="B20" s="254">
        <f>'Прил.5 Расчет СМР и ОБ'!B110</f>
        <v/>
      </c>
      <c r="C20" s="254">
        <f>'Прил.5 Расчет СМР и ОБ'!C110</f>
        <v/>
      </c>
      <c r="D20" s="265">
        <f>'Прил.5 Расчет СМР и ОБ'!D110</f>
        <v/>
      </c>
      <c r="E20" s="265">
        <f>'Прил.5 Расчет СМР и ОБ'!E110</f>
        <v/>
      </c>
      <c r="F20" s="265">
        <f>'Прил.5 Расчет СМР и ОБ'!F110</f>
        <v/>
      </c>
      <c r="G20" s="268">
        <f>ROUND(E20*F20,2)</f>
        <v/>
      </c>
    </row>
    <row r="21" ht="25.5" customHeight="1" s="248">
      <c r="A21" s="357" t="n">
        <v>12</v>
      </c>
      <c r="B21" s="254">
        <f>'Прил.5 Расчет СМР и ОБ'!B111</f>
        <v/>
      </c>
      <c r="C21" s="254">
        <f>'Прил.5 Расчет СМР и ОБ'!C111</f>
        <v/>
      </c>
      <c r="D21" s="265">
        <f>'Прил.5 Расчет СМР и ОБ'!D111</f>
        <v/>
      </c>
      <c r="E21" s="265">
        <f>'Прил.5 Расчет СМР и ОБ'!E111</f>
        <v/>
      </c>
      <c r="F21" s="265">
        <f>'Прил.5 Расчет СМР и ОБ'!F111</f>
        <v/>
      </c>
      <c r="G21" s="268">
        <f>ROUND(E21*F21,2)</f>
        <v/>
      </c>
    </row>
    <row r="22" ht="25.5" customHeight="1" s="248">
      <c r="A22" s="357" t="n">
        <v>13</v>
      </c>
      <c r="B22" s="254">
        <f>'Прил.5 Расчет СМР и ОБ'!B112</f>
        <v/>
      </c>
      <c r="C22" s="254">
        <f>'Прил.5 Расчет СМР и ОБ'!C112</f>
        <v/>
      </c>
      <c r="D22" s="265">
        <f>'Прил.5 Расчет СМР и ОБ'!D112</f>
        <v/>
      </c>
      <c r="E22" s="265">
        <f>'Прил.5 Расчет СМР и ОБ'!E112</f>
        <v/>
      </c>
      <c r="F22" s="265">
        <f>'Прил.5 Расчет СМР и ОБ'!F112</f>
        <v/>
      </c>
      <c r="G22" s="268">
        <f>ROUND(E22*F22,2)</f>
        <v/>
      </c>
    </row>
    <row r="23" ht="38.25" customHeight="1" s="248">
      <c r="A23" s="357" t="n">
        <v>14</v>
      </c>
      <c r="B23" s="254">
        <f>'Прил.5 Расчет СМР и ОБ'!B113</f>
        <v/>
      </c>
      <c r="C23" s="254">
        <f>'Прил.5 Расчет СМР и ОБ'!C113</f>
        <v/>
      </c>
      <c r="D23" s="265">
        <f>'Прил.5 Расчет СМР и ОБ'!D113</f>
        <v/>
      </c>
      <c r="E23" s="265">
        <f>'Прил.5 Расчет СМР и ОБ'!E113</f>
        <v/>
      </c>
      <c r="F23" s="265">
        <f>'Прил.5 Расчет СМР и ОБ'!F113</f>
        <v/>
      </c>
      <c r="G23" s="268">
        <f>ROUND(E23*F23,2)</f>
        <v/>
      </c>
    </row>
    <row r="24" ht="25.5" customHeight="1" s="248">
      <c r="A24" s="357" t="n">
        <v>15</v>
      </c>
      <c r="B24" s="254">
        <f>'Прил.5 Расчет СМР и ОБ'!B114</f>
        <v/>
      </c>
      <c r="C24" s="254">
        <f>'Прил.5 Расчет СМР и ОБ'!C114</f>
        <v/>
      </c>
      <c r="D24" s="265">
        <f>'Прил.5 Расчет СМР и ОБ'!D114</f>
        <v/>
      </c>
      <c r="E24" s="265">
        <f>'Прил.5 Расчет СМР и ОБ'!E114</f>
        <v/>
      </c>
      <c r="F24" s="265">
        <f>'Прил.5 Расчет СМР и ОБ'!F114</f>
        <v/>
      </c>
      <c r="G24" s="268">
        <f>ROUND(E24*F24,2)</f>
        <v/>
      </c>
    </row>
    <row r="25" ht="25.5" customHeight="1" s="248">
      <c r="A25" s="357" t="n">
        <v>16</v>
      </c>
      <c r="B25" s="254">
        <f>'Прил.5 Расчет СМР и ОБ'!B115</f>
        <v/>
      </c>
      <c r="C25" s="254">
        <f>'Прил.5 Расчет СМР и ОБ'!C115</f>
        <v/>
      </c>
      <c r="D25" s="265">
        <f>'Прил.5 Расчет СМР и ОБ'!D115</f>
        <v/>
      </c>
      <c r="E25" s="265">
        <f>'Прил.5 Расчет СМР и ОБ'!E115</f>
        <v/>
      </c>
      <c r="F25" s="265">
        <f>'Прил.5 Расчет СМР и ОБ'!F115</f>
        <v/>
      </c>
      <c r="G25" s="268">
        <f>ROUND(E25*F25,2)</f>
        <v/>
      </c>
    </row>
    <row r="26" ht="38.85" customHeight="1" s="248">
      <c r="A26" s="357" t="n">
        <v>17</v>
      </c>
      <c r="B26" s="254">
        <f>'Прил.5 Расчет СМР и ОБ'!B116</f>
        <v/>
      </c>
      <c r="C26" s="254">
        <f>'Прил.5 Расчет СМР и ОБ'!C116</f>
        <v/>
      </c>
      <c r="D26" s="265">
        <f>'Прил.5 Расчет СМР и ОБ'!D116</f>
        <v/>
      </c>
      <c r="E26" s="265">
        <f>'Прил.5 Расчет СМР и ОБ'!E116</f>
        <v/>
      </c>
      <c r="F26" s="265">
        <f>'Прил.5 Расчет СМР и ОБ'!F116</f>
        <v/>
      </c>
      <c r="G26" s="268">
        <f>ROUND(E26*F26,2)</f>
        <v/>
      </c>
    </row>
    <row r="27" ht="25.9" customHeight="1" s="248">
      <c r="A27" s="357" t="n">
        <v>18</v>
      </c>
      <c r="B27" s="254">
        <f>'Прил.5 Расчет СМР и ОБ'!B117</f>
        <v/>
      </c>
      <c r="C27" s="254">
        <f>'Прил.5 Расчет СМР и ОБ'!C117</f>
        <v/>
      </c>
      <c r="D27" s="265">
        <f>'Прил.5 Расчет СМР и ОБ'!D117</f>
        <v/>
      </c>
      <c r="E27" s="265">
        <f>'Прил.5 Расчет СМР и ОБ'!E117</f>
        <v/>
      </c>
      <c r="F27" s="265">
        <f>'Прил.5 Расчет СМР и ОБ'!F117</f>
        <v/>
      </c>
      <c r="G27" s="268">
        <f>ROUND(E27*F27,2)</f>
        <v/>
      </c>
    </row>
    <row r="28" ht="25.5" customHeight="1" s="248">
      <c r="A28" s="357" t="n">
        <v>19</v>
      </c>
      <c r="B28" s="254">
        <f>'Прил.5 Расчет СМР и ОБ'!B118</f>
        <v/>
      </c>
      <c r="C28" s="254">
        <f>'Прил.5 Расчет СМР и ОБ'!C118</f>
        <v/>
      </c>
      <c r="D28" s="265">
        <f>'Прил.5 Расчет СМР и ОБ'!D118</f>
        <v/>
      </c>
      <c r="E28" s="265">
        <f>'Прил.5 Расчет СМР и ОБ'!E118</f>
        <v/>
      </c>
      <c r="F28" s="265">
        <f>'Прил.5 Расчет СМР и ОБ'!F118</f>
        <v/>
      </c>
      <c r="G28" s="268">
        <f>ROUND(E28*F28,2)</f>
        <v/>
      </c>
    </row>
    <row r="29" ht="38.25" customHeight="1" s="248">
      <c r="A29" s="357" t="n">
        <v>20</v>
      </c>
      <c r="B29" s="254">
        <f>'Прил.5 Расчет СМР и ОБ'!B119</f>
        <v/>
      </c>
      <c r="C29" s="254">
        <f>'Прил.5 Расчет СМР и ОБ'!C119</f>
        <v/>
      </c>
      <c r="D29" s="265">
        <f>'Прил.5 Расчет СМР и ОБ'!D119</f>
        <v/>
      </c>
      <c r="E29" s="265">
        <f>'Прил.5 Расчет СМР и ОБ'!E119</f>
        <v/>
      </c>
      <c r="F29" s="265">
        <f>'Прил.5 Расчет СМР и ОБ'!F119</f>
        <v/>
      </c>
      <c r="G29" s="268">
        <f>ROUND(E29*F29,2)</f>
        <v/>
      </c>
    </row>
    <row r="30" ht="38.25" customHeight="1" s="248">
      <c r="A30" s="357" t="n">
        <v>21</v>
      </c>
      <c r="B30" s="254">
        <f>'Прил.5 Расчет СМР и ОБ'!B120</f>
        <v/>
      </c>
      <c r="C30" s="254">
        <f>'Прил.5 Расчет СМР и ОБ'!C120</f>
        <v/>
      </c>
      <c r="D30" s="265">
        <f>'Прил.5 Расчет СМР и ОБ'!D120</f>
        <v/>
      </c>
      <c r="E30" s="265">
        <f>'Прил.5 Расчет СМР и ОБ'!E120</f>
        <v/>
      </c>
      <c r="F30" s="265">
        <f>'Прил.5 Расчет СМР и ОБ'!F120</f>
        <v/>
      </c>
      <c r="G30" s="268">
        <f>ROUND(E30*F30,2)</f>
        <v/>
      </c>
    </row>
    <row r="31" ht="25.5" customHeight="1" s="248">
      <c r="A31" s="357" t="n">
        <v>22</v>
      </c>
      <c r="B31" s="254">
        <f>'Прил.5 Расчет СМР и ОБ'!B121</f>
        <v/>
      </c>
      <c r="C31" s="254">
        <f>'Прил.5 Расчет СМР и ОБ'!C121</f>
        <v/>
      </c>
      <c r="D31" s="265">
        <f>'Прил.5 Расчет СМР и ОБ'!D121</f>
        <v/>
      </c>
      <c r="E31" s="265">
        <f>'Прил.5 Расчет СМР и ОБ'!E121</f>
        <v/>
      </c>
      <c r="F31" s="265">
        <f>'Прил.5 Расчет СМР и ОБ'!F121</f>
        <v/>
      </c>
      <c r="G31" s="268">
        <f>ROUND(E31*F31,2)</f>
        <v/>
      </c>
    </row>
    <row r="32" ht="39.2" customHeight="1" s="248">
      <c r="A32" s="357" t="n">
        <v>23</v>
      </c>
      <c r="B32" s="254">
        <f>'Прил.5 Расчет СМР и ОБ'!B122</f>
        <v/>
      </c>
      <c r="C32" s="254">
        <f>'Прил.5 Расчет СМР и ОБ'!C122</f>
        <v/>
      </c>
      <c r="D32" s="265">
        <f>'Прил.5 Расчет СМР и ОБ'!D122</f>
        <v/>
      </c>
      <c r="E32" s="265">
        <f>'Прил.5 Расчет СМР и ОБ'!E122</f>
        <v/>
      </c>
      <c r="F32" s="265">
        <f>'Прил.5 Расчет СМР и ОБ'!F122</f>
        <v/>
      </c>
      <c r="G32" s="268">
        <f>ROUND(E32*F32,2)</f>
        <v/>
      </c>
    </row>
    <row r="33" ht="25.5" customHeight="1" s="248">
      <c r="A33" s="357" t="n">
        <v>24</v>
      </c>
      <c r="B33" s="254">
        <f>'Прил.5 Расчет СМР и ОБ'!B123</f>
        <v/>
      </c>
      <c r="C33" s="254">
        <f>'Прил.5 Расчет СМР и ОБ'!C123</f>
        <v/>
      </c>
      <c r="D33" s="265">
        <f>'Прил.5 Расчет СМР и ОБ'!D123</f>
        <v/>
      </c>
      <c r="E33" s="265">
        <f>'Прил.5 Расчет СМР и ОБ'!E123</f>
        <v/>
      </c>
      <c r="F33" s="265">
        <f>'Прил.5 Расчет СМР и ОБ'!F123</f>
        <v/>
      </c>
      <c r="G33" s="268">
        <f>ROUND(E33*F33,2)</f>
        <v/>
      </c>
    </row>
    <row r="34" ht="25.5" customHeight="1" s="248">
      <c r="A34" s="357" t="n">
        <v>25</v>
      </c>
      <c r="B34" s="254">
        <f>'Прил.5 Расчет СМР и ОБ'!B124</f>
        <v/>
      </c>
      <c r="C34" s="254">
        <f>'Прил.5 Расчет СМР и ОБ'!C124</f>
        <v/>
      </c>
      <c r="D34" s="265">
        <f>'Прил.5 Расчет СМР и ОБ'!D124</f>
        <v/>
      </c>
      <c r="E34" s="265">
        <f>'Прил.5 Расчет СМР и ОБ'!E124</f>
        <v/>
      </c>
      <c r="F34" s="265">
        <f>'Прил.5 Расчет СМР и ОБ'!F124</f>
        <v/>
      </c>
      <c r="G34" s="268">
        <f>ROUND(E34*F34,2)</f>
        <v/>
      </c>
    </row>
    <row r="35" ht="25.5" customHeight="1" s="248">
      <c r="A35" s="357" t="n">
        <v>26</v>
      </c>
      <c r="B35" s="254">
        <f>'Прил.5 Расчет СМР и ОБ'!B126</f>
        <v/>
      </c>
      <c r="C35" s="254">
        <f>'Прил.5 Расчет СМР и ОБ'!C126</f>
        <v/>
      </c>
      <c r="D35" s="265">
        <f>'Прил.5 Расчет СМР и ОБ'!D126</f>
        <v/>
      </c>
      <c r="E35" s="265">
        <f>'Прил.5 Расчет СМР и ОБ'!E126</f>
        <v/>
      </c>
      <c r="F35" s="265">
        <f>'Прил.5 Расчет СМР и ОБ'!F126</f>
        <v/>
      </c>
      <c r="G35" s="268">
        <f>ROUND(E35*F35,2)</f>
        <v/>
      </c>
    </row>
    <row r="36" ht="25.5" customHeight="1" s="248">
      <c r="A36" s="357" t="n">
        <v>27</v>
      </c>
      <c r="B36" s="254">
        <f>'Прил.5 Расчет СМР и ОБ'!B127</f>
        <v/>
      </c>
      <c r="C36" s="254">
        <f>'Прил.5 Расчет СМР и ОБ'!C127</f>
        <v/>
      </c>
      <c r="D36" s="265">
        <f>'Прил.5 Расчет СМР и ОБ'!D127</f>
        <v/>
      </c>
      <c r="E36" s="265">
        <f>'Прил.5 Расчет СМР и ОБ'!E127</f>
        <v/>
      </c>
      <c r="F36" s="265">
        <f>'Прил.5 Расчет СМР и ОБ'!F127</f>
        <v/>
      </c>
      <c r="G36" s="268">
        <f>ROUND(E36*F36,2)</f>
        <v/>
      </c>
    </row>
    <row r="37" ht="25.5" customHeight="1" s="248">
      <c r="A37" s="357" t="n">
        <v>28</v>
      </c>
      <c r="B37" s="254">
        <f>'Прил.5 Расчет СМР и ОБ'!B128</f>
        <v/>
      </c>
      <c r="C37" s="254">
        <f>'Прил.5 Расчет СМР и ОБ'!C128</f>
        <v/>
      </c>
      <c r="D37" s="265">
        <f>'Прил.5 Расчет СМР и ОБ'!D128</f>
        <v/>
      </c>
      <c r="E37" s="265">
        <f>'Прил.5 Расчет СМР и ОБ'!E128</f>
        <v/>
      </c>
      <c r="F37" s="265">
        <f>'Прил.5 Расчет СМР и ОБ'!F128</f>
        <v/>
      </c>
      <c r="G37" s="268">
        <f>ROUND(E37*F37,2)</f>
        <v/>
      </c>
    </row>
    <row r="38" ht="38.25" customHeight="1" s="248">
      <c r="A38" s="357" t="n">
        <v>29</v>
      </c>
      <c r="B38" s="254">
        <f>'Прил.5 Расчет СМР и ОБ'!B129</f>
        <v/>
      </c>
      <c r="C38" s="254">
        <f>'Прил.5 Расчет СМР и ОБ'!C129</f>
        <v/>
      </c>
      <c r="D38" s="265">
        <f>'Прил.5 Расчет СМР и ОБ'!D129</f>
        <v/>
      </c>
      <c r="E38" s="265">
        <f>'Прил.5 Расчет СМР и ОБ'!E129</f>
        <v/>
      </c>
      <c r="F38" s="265">
        <f>'Прил.5 Расчет СМР и ОБ'!F129</f>
        <v/>
      </c>
      <c r="G38" s="268">
        <f>ROUND(E38*F38,2)</f>
        <v/>
      </c>
    </row>
    <row r="39" ht="38.25" customHeight="1" s="248">
      <c r="A39" s="357" t="n">
        <v>30</v>
      </c>
      <c r="B39" s="254">
        <f>'Прил.5 Расчет СМР и ОБ'!B130</f>
        <v/>
      </c>
      <c r="C39" s="254">
        <f>'Прил.5 Расчет СМР и ОБ'!C130</f>
        <v/>
      </c>
      <c r="D39" s="265">
        <f>'Прил.5 Расчет СМР и ОБ'!D130</f>
        <v/>
      </c>
      <c r="E39" s="265">
        <f>'Прил.5 Расчет СМР и ОБ'!E130</f>
        <v/>
      </c>
      <c r="F39" s="265">
        <f>'Прил.5 Расчет СМР и ОБ'!F130</f>
        <v/>
      </c>
      <c r="G39" s="268">
        <f>ROUND(E39*F39,2)</f>
        <v/>
      </c>
    </row>
    <row r="40" ht="25.5" customHeight="1" s="248">
      <c r="A40" s="357" t="n">
        <v>31</v>
      </c>
      <c r="B40" s="254">
        <f>'Прил.5 Расчет СМР и ОБ'!B131</f>
        <v/>
      </c>
      <c r="C40" s="254">
        <f>'Прил.5 Расчет СМР и ОБ'!C131</f>
        <v/>
      </c>
      <c r="D40" s="265">
        <f>'Прил.5 Расчет СМР и ОБ'!D131</f>
        <v/>
      </c>
      <c r="E40" s="265">
        <f>'Прил.5 Расчет СМР и ОБ'!E131</f>
        <v/>
      </c>
      <c r="F40" s="265">
        <f>'Прил.5 Расчет СМР и ОБ'!F131</f>
        <v/>
      </c>
      <c r="G40" s="268">
        <f>ROUND(E40*F40,2)</f>
        <v/>
      </c>
    </row>
    <row r="41" ht="25.5" customHeight="1" s="248">
      <c r="A41" s="357" t="n">
        <v>32</v>
      </c>
      <c r="B41" s="254">
        <f>'Прил.5 Расчет СМР и ОБ'!B132</f>
        <v/>
      </c>
      <c r="C41" s="254">
        <f>'Прил.5 Расчет СМР и ОБ'!C132</f>
        <v/>
      </c>
      <c r="D41" s="265">
        <f>'Прил.5 Расчет СМР и ОБ'!D132</f>
        <v/>
      </c>
      <c r="E41" s="265">
        <f>'Прил.5 Расчет СМР и ОБ'!E132</f>
        <v/>
      </c>
      <c r="F41" s="265">
        <f>'Прил.5 Расчет СМР и ОБ'!F132</f>
        <v/>
      </c>
      <c r="G41" s="268">
        <f>ROUND(E41*F41,2)</f>
        <v/>
      </c>
    </row>
    <row r="42" ht="25.5" customHeight="1" s="248">
      <c r="A42" s="357" t="n">
        <v>33</v>
      </c>
      <c r="B42" s="254">
        <f>'Прил.5 Расчет СМР и ОБ'!B133</f>
        <v/>
      </c>
      <c r="C42" s="254">
        <f>'Прил.5 Расчет СМР и ОБ'!C133</f>
        <v/>
      </c>
      <c r="D42" s="265">
        <f>'Прил.5 Расчет СМР и ОБ'!D133</f>
        <v/>
      </c>
      <c r="E42" s="265">
        <f>'Прил.5 Расчет СМР и ОБ'!E133</f>
        <v/>
      </c>
      <c r="F42" s="265">
        <f>'Прил.5 Расчет СМР и ОБ'!F133</f>
        <v/>
      </c>
      <c r="G42" s="268">
        <f>ROUND(E42*F42,2)</f>
        <v/>
      </c>
    </row>
    <row r="43" ht="25.5" customHeight="1" s="248">
      <c r="A43" s="357" t="n">
        <v>34</v>
      </c>
      <c r="B43" s="254">
        <f>'Прил.5 Расчет СМР и ОБ'!B134</f>
        <v/>
      </c>
      <c r="C43" s="254">
        <f>'Прил.5 Расчет СМР и ОБ'!C134</f>
        <v/>
      </c>
      <c r="D43" s="265">
        <f>'Прил.5 Расчет СМР и ОБ'!D134</f>
        <v/>
      </c>
      <c r="E43" s="265">
        <f>'Прил.5 Расчет СМР и ОБ'!E134</f>
        <v/>
      </c>
      <c r="F43" s="265">
        <f>'Прил.5 Расчет СМР и ОБ'!F134</f>
        <v/>
      </c>
      <c r="G43" s="268">
        <f>ROUND(E43*F43,2)</f>
        <v/>
      </c>
    </row>
    <row r="44" ht="25.5" customHeight="1" s="248">
      <c r="A44" s="357" t="n">
        <v>35</v>
      </c>
      <c r="B44" s="254">
        <f>'Прил.5 Расчет СМР и ОБ'!B135</f>
        <v/>
      </c>
      <c r="C44" s="254">
        <f>'Прил.5 Расчет СМР и ОБ'!C135</f>
        <v/>
      </c>
      <c r="D44" s="265">
        <f>'Прил.5 Расчет СМР и ОБ'!D135</f>
        <v/>
      </c>
      <c r="E44" s="265">
        <f>'Прил.5 Расчет СМР и ОБ'!E135</f>
        <v/>
      </c>
      <c r="F44" s="265">
        <f>'Прил.5 Расчет СМР и ОБ'!F135</f>
        <v/>
      </c>
      <c r="G44" s="268">
        <f>ROUND(E44*F44,2)</f>
        <v/>
      </c>
    </row>
    <row r="45" ht="25.5" customHeight="1" s="248">
      <c r="A45" s="357" t="n">
        <v>36</v>
      </c>
      <c r="B45" s="254">
        <f>'Прил.5 Расчет СМР и ОБ'!B136</f>
        <v/>
      </c>
      <c r="C45" s="254">
        <f>'Прил.5 Расчет СМР и ОБ'!C136</f>
        <v/>
      </c>
      <c r="D45" s="265">
        <f>'Прил.5 Расчет СМР и ОБ'!D136</f>
        <v/>
      </c>
      <c r="E45" s="265">
        <f>'Прил.5 Расчет СМР и ОБ'!E136</f>
        <v/>
      </c>
      <c r="F45" s="265">
        <f>'Прил.5 Расчет СМР и ОБ'!F136</f>
        <v/>
      </c>
      <c r="G45" s="268">
        <f>ROUND(E45*F45,2)</f>
        <v/>
      </c>
    </row>
    <row r="46" ht="25.5" customHeight="1" s="248">
      <c r="A46" s="357" t="n">
        <v>37</v>
      </c>
      <c r="B46" s="254">
        <f>'Прил.5 Расчет СМР и ОБ'!B137</f>
        <v/>
      </c>
      <c r="C46" s="254">
        <f>'Прил.5 Расчет СМР и ОБ'!C137</f>
        <v/>
      </c>
      <c r="D46" s="265">
        <f>'Прил.5 Расчет СМР и ОБ'!D137</f>
        <v/>
      </c>
      <c r="E46" s="265">
        <f>'Прил.5 Расчет СМР и ОБ'!E137</f>
        <v/>
      </c>
      <c r="F46" s="265">
        <f>'Прил.5 Расчет СМР и ОБ'!F137</f>
        <v/>
      </c>
      <c r="G46" s="268">
        <f>ROUND(E46*F46,2)</f>
        <v/>
      </c>
    </row>
    <row r="47" ht="25.5" customHeight="1" s="248">
      <c r="A47" s="357" t="n">
        <v>38</v>
      </c>
      <c r="B47" s="254">
        <f>'Прил.5 Расчет СМР и ОБ'!B138</f>
        <v/>
      </c>
      <c r="C47" s="254">
        <f>'Прил.5 Расчет СМР и ОБ'!C138</f>
        <v/>
      </c>
      <c r="D47" s="265">
        <f>'Прил.5 Расчет СМР и ОБ'!D138</f>
        <v/>
      </c>
      <c r="E47" s="265">
        <f>'Прил.5 Расчет СМР и ОБ'!E138</f>
        <v/>
      </c>
      <c r="F47" s="265">
        <f>'Прил.5 Расчет СМР и ОБ'!F138</f>
        <v/>
      </c>
      <c r="G47" s="268">
        <f>ROUND(E47*F47,2)</f>
        <v/>
      </c>
    </row>
    <row r="48" ht="25.5" customHeight="1" s="248">
      <c r="A48" s="357" t="n">
        <v>39</v>
      </c>
      <c r="B48" s="254">
        <f>'Прил.5 Расчет СМР и ОБ'!B139</f>
        <v/>
      </c>
      <c r="C48" s="254">
        <f>'Прил.5 Расчет СМР и ОБ'!C139</f>
        <v/>
      </c>
      <c r="D48" s="265">
        <f>'Прил.5 Расчет СМР и ОБ'!D139</f>
        <v/>
      </c>
      <c r="E48" s="265">
        <f>'Прил.5 Расчет СМР и ОБ'!E139</f>
        <v/>
      </c>
      <c r="F48" s="265">
        <f>'Прил.5 Расчет СМР и ОБ'!F139</f>
        <v/>
      </c>
      <c r="G48" s="268">
        <f>ROUND(E48*F48,2)</f>
        <v/>
      </c>
    </row>
    <row r="49" ht="25.5" customHeight="1" s="248">
      <c r="A49" s="357" t="n">
        <v>40</v>
      </c>
      <c r="B49" s="254">
        <f>'Прил.5 Расчет СМР и ОБ'!B140</f>
        <v/>
      </c>
      <c r="C49" s="254">
        <f>'Прил.5 Расчет СМР и ОБ'!C140</f>
        <v/>
      </c>
      <c r="D49" s="265">
        <f>'Прил.5 Расчет СМР и ОБ'!D140</f>
        <v/>
      </c>
      <c r="E49" s="265">
        <f>'Прил.5 Расчет СМР и ОБ'!E140</f>
        <v/>
      </c>
      <c r="F49" s="265">
        <f>'Прил.5 Расчет СМР и ОБ'!F140</f>
        <v/>
      </c>
      <c r="G49" s="268">
        <f>ROUND(E49*F49,2)</f>
        <v/>
      </c>
    </row>
    <row r="50" ht="38.25" customHeight="1" s="248">
      <c r="A50" s="357" t="n">
        <v>41</v>
      </c>
      <c r="B50" s="254">
        <f>'Прил.5 Расчет СМР и ОБ'!B141</f>
        <v/>
      </c>
      <c r="C50" s="254">
        <f>'Прил.5 Расчет СМР и ОБ'!C141</f>
        <v/>
      </c>
      <c r="D50" s="265">
        <f>'Прил.5 Расчет СМР и ОБ'!D141</f>
        <v/>
      </c>
      <c r="E50" s="265">
        <f>'Прил.5 Расчет СМР и ОБ'!E141</f>
        <v/>
      </c>
      <c r="F50" s="265">
        <f>'Прил.5 Расчет СМР и ОБ'!F141</f>
        <v/>
      </c>
      <c r="G50" s="268">
        <f>ROUND(E50*F50,2)</f>
        <v/>
      </c>
    </row>
    <row r="51" ht="25.5" customHeight="1" s="248">
      <c r="A51" s="357" t="n">
        <v>42</v>
      </c>
      <c r="B51" s="254">
        <f>'Прил.5 Расчет СМР и ОБ'!B142</f>
        <v/>
      </c>
      <c r="C51" s="254">
        <f>'Прил.5 Расчет СМР и ОБ'!C142</f>
        <v/>
      </c>
      <c r="D51" s="265">
        <f>'Прил.5 Расчет СМР и ОБ'!D142</f>
        <v/>
      </c>
      <c r="E51" s="265">
        <f>'Прил.5 Расчет СМР и ОБ'!E142</f>
        <v/>
      </c>
      <c r="F51" s="265">
        <f>'Прил.5 Расчет СМР и ОБ'!F142</f>
        <v/>
      </c>
      <c r="G51" s="268">
        <f>ROUND(E51*F51,2)</f>
        <v/>
      </c>
    </row>
    <row r="52" ht="25.5" customHeight="1" s="248">
      <c r="A52" s="357" t="n">
        <v>43</v>
      </c>
      <c r="B52" s="254">
        <f>'Прил.5 Расчет СМР и ОБ'!B143</f>
        <v/>
      </c>
      <c r="C52" s="254">
        <f>'Прил.5 Расчет СМР и ОБ'!C143</f>
        <v/>
      </c>
      <c r="D52" s="265">
        <f>'Прил.5 Расчет СМР и ОБ'!D143</f>
        <v/>
      </c>
      <c r="E52" s="265">
        <f>'Прил.5 Расчет СМР и ОБ'!E143</f>
        <v/>
      </c>
      <c r="F52" s="265">
        <f>'Прил.5 Расчет СМР и ОБ'!F143</f>
        <v/>
      </c>
      <c r="G52" s="268">
        <f>ROUND(E52*F52,2)</f>
        <v/>
      </c>
    </row>
    <row r="53" ht="25.5" customHeight="1" s="248">
      <c r="A53" s="357" t="n">
        <v>44</v>
      </c>
      <c r="B53" s="254">
        <f>'Прил.5 Расчет СМР и ОБ'!B144</f>
        <v/>
      </c>
      <c r="C53" s="254">
        <f>'Прил.5 Расчет СМР и ОБ'!C144</f>
        <v/>
      </c>
      <c r="D53" s="265">
        <f>'Прил.5 Расчет СМР и ОБ'!D144</f>
        <v/>
      </c>
      <c r="E53" s="265">
        <f>'Прил.5 Расчет СМР и ОБ'!E144</f>
        <v/>
      </c>
      <c r="F53" s="265">
        <f>'Прил.5 Расчет СМР и ОБ'!F144</f>
        <v/>
      </c>
      <c r="G53" s="268">
        <f>ROUND(E53*F53,2)</f>
        <v/>
      </c>
    </row>
    <row r="54" ht="25.5" customHeight="1" s="248">
      <c r="A54" s="357" t="n">
        <v>45</v>
      </c>
      <c r="B54" s="254">
        <f>'Прил.5 Расчет СМР и ОБ'!B145</f>
        <v/>
      </c>
      <c r="C54" s="254">
        <f>'Прил.5 Расчет СМР и ОБ'!C145</f>
        <v/>
      </c>
      <c r="D54" s="265">
        <f>'Прил.5 Расчет СМР и ОБ'!D145</f>
        <v/>
      </c>
      <c r="E54" s="265">
        <f>'Прил.5 Расчет СМР и ОБ'!E145</f>
        <v/>
      </c>
      <c r="F54" s="265">
        <f>'Прил.5 Расчет СМР и ОБ'!F145</f>
        <v/>
      </c>
      <c r="G54" s="268">
        <f>ROUND(E54*F54,2)</f>
        <v/>
      </c>
    </row>
    <row r="55" ht="25.5" customHeight="1" s="248">
      <c r="A55" s="357" t="n">
        <v>46</v>
      </c>
      <c r="B55" s="254">
        <f>'Прил.5 Расчет СМР и ОБ'!B146</f>
        <v/>
      </c>
      <c r="C55" s="254">
        <f>'Прил.5 Расчет СМР и ОБ'!C146</f>
        <v/>
      </c>
      <c r="D55" s="265">
        <f>'Прил.5 Расчет СМР и ОБ'!D146</f>
        <v/>
      </c>
      <c r="E55" s="265">
        <f>'Прил.5 Расчет СМР и ОБ'!E146</f>
        <v/>
      </c>
      <c r="F55" s="265">
        <f>'Прил.5 Расчет СМР и ОБ'!F146</f>
        <v/>
      </c>
      <c r="G55" s="268">
        <f>ROUND(E55*F55,2)</f>
        <v/>
      </c>
    </row>
    <row r="56" ht="25.5" customHeight="1" s="248">
      <c r="A56" s="357" t="n">
        <v>47</v>
      </c>
      <c r="B56" s="254">
        <f>'Прил.5 Расчет СМР и ОБ'!B147</f>
        <v/>
      </c>
      <c r="C56" s="254">
        <f>'Прил.5 Расчет СМР и ОБ'!C147</f>
        <v/>
      </c>
      <c r="D56" s="265">
        <f>'Прил.5 Расчет СМР и ОБ'!D147</f>
        <v/>
      </c>
      <c r="E56" s="265">
        <f>'Прил.5 Расчет СМР и ОБ'!E147</f>
        <v/>
      </c>
      <c r="F56" s="265">
        <f>'Прил.5 Расчет СМР и ОБ'!F147</f>
        <v/>
      </c>
      <c r="G56" s="268">
        <f>ROUND(E56*F56,2)</f>
        <v/>
      </c>
    </row>
    <row r="57" ht="25.5" customHeight="1" s="248">
      <c r="A57" s="357" t="n">
        <v>48</v>
      </c>
      <c r="B57" s="254">
        <f>'Прил.5 Расчет СМР и ОБ'!B148</f>
        <v/>
      </c>
      <c r="C57" s="254">
        <f>'Прил.5 Расчет СМР и ОБ'!C148</f>
        <v/>
      </c>
      <c r="D57" s="265">
        <f>'Прил.5 Расчет СМР и ОБ'!D148</f>
        <v/>
      </c>
      <c r="E57" s="265">
        <f>'Прил.5 Расчет СМР и ОБ'!E148</f>
        <v/>
      </c>
      <c r="F57" s="265">
        <f>'Прил.5 Расчет СМР и ОБ'!F148</f>
        <v/>
      </c>
      <c r="G57" s="268">
        <f>ROUND(E57*F57,2)</f>
        <v/>
      </c>
    </row>
    <row r="58" ht="25.5" customHeight="1" s="248">
      <c r="A58" s="357" t="n">
        <v>49</v>
      </c>
      <c r="B58" s="254">
        <f>'Прил.5 Расчет СМР и ОБ'!B149</f>
        <v/>
      </c>
      <c r="C58" s="254">
        <f>'Прил.5 Расчет СМР и ОБ'!C149</f>
        <v/>
      </c>
      <c r="D58" s="265">
        <f>'Прил.5 Расчет СМР и ОБ'!D149</f>
        <v/>
      </c>
      <c r="E58" s="265">
        <f>'Прил.5 Расчет СМР и ОБ'!E149</f>
        <v/>
      </c>
      <c r="F58" s="265">
        <f>'Прил.5 Расчет СМР и ОБ'!F149</f>
        <v/>
      </c>
      <c r="G58" s="268">
        <f>ROUND(E58*F58,2)</f>
        <v/>
      </c>
    </row>
    <row r="59" ht="25.5" customHeight="1" s="248">
      <c r="A59" s="357" t="n">
        <v>50</v>
      </c>
      <c r="B59" s="254">
        <f>'Прил.5 Расчет СМР и ОБ'!B150</f>
        <v/>
      </c>
      <c r="C59" s="254">
        <f>'Прил.5 Расчет СМР и ОБ'!C150</f>
        <v/>
      </c>
      <c r="D59" s="265">
        <f>'Прил.5 Расчет СМР и ОБ'!D150</f>
        <v/>
      </c>
      <c r="E59" s="265">
        <f>'Прил.5 Расчет СМР и ОБ'!E150</f>
        <v/>
      </c>
      <c r="F59" s="265">
        <f>'Прил.5 Расчет СМР и ОБ'!F150</f>
        <v/>
      </c>
      <c r="G59" s="268">
        <f>ROUND(E59*F59,2)</f>
        <v/>
      </c>
    </row>
    <row r="60" ht="76.7" customHeight="1" s="248">
      <c r="A60" s="357" t="n">
        <v>51</v>
      </c>
      <c r="B60" s="254">
        <f>'Прил.5 Расчет СМР и ОБ'!B151</f>
        <v/>
      </c>
      <c r="C60" s="254">
        <f>'Прил.5 Расчет СМР и ОБ'!C151</f>
        <v/>
      </c>
      <c r="D60" s="265">
        <f>'Прил.5 Расчет СМР и ОБ'!D151</f>
        <v/>
      </c>
      <c r="E60" s="265">
        <f>'Прил.5 Расчет СМР и ОБ'!E151</f>
        <v/>
      </c>
      <c r="F60" s="265">
        <f>'Прил.5 Расчет СМР и ОБ'!F151</f>
        <v/>
      </c>
      <c r="G60" s="268">
        <f>ROUND(E60*F60,2)</f>
        <v/>
      </c>
    </row>
    <row r="61" ht="76.7" customHeight="1" s="248">
      <c r="A61" s="357" t="n">
        <v>52</v>
      </c>
      <c r="B61" s="254">
        <f>'Прил.5 Расчет СМР и ОБ'!B152</f>
        <v/>
      </c>
      <c r="C61" s="254">
        <f>'Прил.5 Расчет СМР и ОБ'!C152</f>
        <v/>
      </c>
      <c r="D61" s="265">
        <f>'Прил.5 Расчет СМР и ОБ'!D152</f>
        <v/>
      </c>
      <c r="E61" s="265">
        <f>'Прил.5 Расчет СМР и ОБ'!E152</f>
        <v/>
      </c>
      <c r="F61" s="265">
        <f>'Прил.5 Расчет СМР и ОБ'!F152</f>
        <v/>
      </c>
      <c r="G61" s="268">
        <f>ROUND(E61*F61,2)</f>
        <v/>
      </c>
    </row>
    <row r="62" ht="25.5" customHeight="1" s="248">
      <c r="A62" s="357" t="n">
        <v>53</v>
      </c>
      <c r="B62" s="254">
        <f>'Прил.5 Расчет СМР и ОБ'!B153</f>
        <v/>
      </c>
      <c r="C62" s="254">
        <f>'Прил.5 Расчет СМР и ОБ'!C153</f>
        <v/>
      </c>
      <c r="D62" s="265">
        <f>'Прил.5 Расчет СМР и ОБ'!D153</f>
        <v/>
      </c>
      <c r="E62" s="265">
        <f>'Прил.5 Расчет СМР и ОБ'!E153</f>
        <v/>
      </c>
      <c r="F62" s="265">
        <f>'Прил.5 Расчет СМР и ОБ'!F153</f>
        <v/>
      </c>
      <c r="G62" s="268">
        <f>ROUND(E62*F62,2)</f>
        <v/>
      </c>
    </row>
    <row r="63" ht="25.5" customHeight="1" s="248">
      <c r="A63" s="357" t="n">
        <v>54</v>
      </c>
      <c r="B63" s="254">
        <f>'Прил.5 Расчет СМР и ОБ'!B154</f>
        <v/>
      </c>
      <c r="C63" s="254">
        <f>'Прил.5 Расчет СМР и ОБ'!C154</f>
        <v/>
      </c>
      <c r="D63" s="265">
        <f>'Прил.5 Расчет СМР и ОБ'!D154</f>
        <v/>
      </c>
      <c r="E63" s="265">
        <f>'Прил.5 Расчет СМР и ОБ'!E154</f>
        <v/>
      </c>
      <c r="F63" s="265">
        <f>'Прил.5 Расчет СМР и ОБ'!F154</f>
        <v/>
      </c>
      <c r="G63" s="268">
        <f>ROUND(E63*F63,2)</f>
        <v/>
      </c>
    </row>
    <row r="64" ht="25.5" customHeight="1" s="248">
      <c r="A64" s="357" t="n">
        <v>55</v>
      </c>
      <c r="B64" s="254">
        <f>'Прил.5 Расчет СМР и ОБ'!B155</f>
        <v/>
      </c>
      <c r="C64" s="254">
        <f>'Прил.5 Расчет СМР и ОБ'!C155</f>
        <v/>
      </c>
      <c r="D64" s="265">
        <f>'Прил.5 Расчет СМР и ОБ'!D155</f>
        <v/>
      </c>
      <c r="E64" s="265">
        <f>'Прил.5 Расчет СМР и ОБ'!E155</f>
        <v/>
      </c>
      <c r="F64" s="265">
        <f>'Прил.5 Расчет СМР и ОБ'!F155</f>
        <v/>
      </c>
      <c r="G64" s="268">
        <f>ROUND(E64*F64,2)</f>
        <v/>
      </c>
    </row>
    <row r="65" ht="76.7" customHeight="1" s="248">
      <c r="A65" s="357" t="n">
        <v>56</v>
      </c>
      <c r="B65" s="254">
        <f>'Прил.5 Расчет СМР и ОБ'!B156</f>
        <v/>
      </c>
      <c r="C65" s="254">
        <f>'Прил.5 Расчет СМР и ОБ'!C156</f>
        <v/>
      </c>
      <c r="D65" s="265">
        <f>'Прил.5 Расчет СМР и ОБ'!D156</f>
        <v/>
      </c>
      <c r="E65" s="265">
        <f>'Прил.5 Расчет СМР и ОБ'!E156</f>
        <v/>
      </c>
      <c r="F65" s="265">
        <f>'Прил.5 Расчет СМР и ОБ'!F156</f>
        <v/>
      </c>
      <c r="G65" s="268">
        <f>ROUND(E65*F65,2)</f>
        <v/>
      </c>
    </row>
    <row r="66" ht="25.5" customHeight="1" s="248">
      <c r="A66" s="357" t="n">
        <v>57</v>
      </c>
      <c r="B66" s="254">
        <f>'Прил.5 Расчет СМР и ОБ'!B157</f>
        <v/>
      </c>
      <c r="C66" s="254">
        <f>'Прил.5 Расчет СМР и ОБ'!C157</f>
        <v/>
      </c>
      <c r="D66" s="265">
        <f>'Прил.5 Расчет СМР и ОБ'!D157</f>
        <v/>
      </c>
      <c r="E66" s="265">
        <f>'Прил.5 Расчет СМР и ОБ'!E157</f>
        <v/>
      </c>
      <c r="F66" s="265">
        <f>'Прил.5 Расчет СМР и ОБ'!F157</f>
        <v/>
      </c>
      <c r="G66" s="268">
        <f>ROUND(E66*F66,2)</f>
        <v/>
      </c>
    </row>
    <row r="67" ht="63.75" customHeight="1" s="248">
      <c r="A67" s="357" t="n">
        <v>58</v>
      </c>
      <c r="B67" s="254">
        <f>'Прил.5 Расчет СМР и ОБ'!B158</f>
        <v/>
      </c>
      <c r="C67" s="254">
        <f>'Прил.5 Расчет СМР и ОБ'!C158</f>
        <v/>
      </c>
      <c r="D67" s="265">
        <f>'Прил.5 Расчет СМР и ОБ'!D158</f>
        <v/>
      </c>
      <c r="E67" s="265">
        <f>'Прил.5 Расчет СМР и ОБ'!E158</f>
        <v/>
      </c>
      <c r="F67" s="265">
        <f>'Прил.5 Расчет СМР и ОБ'!F158</f>
        <v/>
      </c>
      <c r="G67" s="268">
        <f>ROUND(E67*F67,2)</f>
        <v/>
      </c>
    </row>
    <row r="68" ht="38.25" customHeight="1" s="248">
      <c r="A68" s="357" t="n">
        <v>59</v>
      </c>
      <c r="B68" s="254">
        <f>'Прил.5 Расчет СМР и ОБ'!B159</f>
        <v/>
      </c>
      <c r="C68" s="254">
        <f>'Прил.5 Расчет СМР и ОБ'!C159</f>
        <v/>
      </c>
      <c r="D68" s="265">
        <f>'Прил.5 Расчет СМР и ОБ'!D159</f>
        <v/>
      </c>
      <c r="E68" s="265">
        <f>'Прил.5 Расчет СМР и ОБ'!E159</f>
        <v/>
      </c>
      <c r="F68" s="265">
        <f>'Прил.5 Расчет СМР и ОБ'!F159</f>
        <v/>
      </c>
      <c r="G68" s="268">
        <f>ROUND(E68*F68,2)</f>
        <v/>
      </c>
    </row>
    <row r="69" ht="77.45" customHeight="1" s="248">
      <c r="A69" s="357" t="n">
        <v>60</v>
      </c>
      <c r="B69" s="254">
        <f>'Прил.5 Расчет СМР и ОБ'!B160</f>
        <v/>
      </c>
      <c r="C69" s="254">
        <f>'Прил.5 Расчет СМР и ОБ'!C160</f>
        <v/>
      </c>
      <c r="D69" s="265">
        <f>'Прил.5 Расчет СМР и ОБ'!D160</f>
        <v/>
      </c>
      <c r="E69" s="265">
        <f>'Прил.5 Расчет СМР и ОБ'!E160</f>
        <v/>
      </c>
      <c r="F69" s="265">
        <f>'Прил.5 Расчет СМР и ОБ'!F160</f>
        <v/>
      </c>
      <c r="G69" s="268">
        <f>ROUND(E69*F69,2)</f>
        <v/>
      </c>
    </row>
    <row r="70" ht="25.5" customHeight="1" s="248">
      <c r="A70" s="357" t="n">
        <v>61</v>
      </c>
      <c r="B70" s="254">
        <f>'Прил.5 Расчет СМР и ОБ'!B161</f>
        <v/>
      </c>
      <c r="C70" s="254">
        <f>'Прил.5 Расчет СМР и ОБ'!C161</f>
        <v/>
      </c>
      <c r="D70" s="265">
        <f>'Прил.5 Расчет СМР и ОБ'!D161</f>
        <v/>
      </c>
      <c r="E70" s="265">
        <f>'Прил.5 Расчет СМР и ОБ'!E161</f>
        <v/>
      </c>
      <c r="F70" s="265">
        <f>'Прил.5 Расчет СМР и ОБ'!F161</f>
        <v/>
      </c>
      <c r="G70" s="268">
        <f>ROUND(E70*F70,2)</f>
        <v/>
      </c>
    </row>
    <row r="71" ht="38.25" customHeight="1" s="248">
      <c r="A71" s="357" t="n">
        <v>62</v>
      </c>
      <c r="B71" s="254">
        <f>'Прил.5 Расчет СМР и ОБ'!B162</f>
        <v/>
      </c>
      <c r="C71" s="254">
        <f>'Прил.5 Расчет СМР и ОБ'!C162</f>
        <v/>
      </c>
      <c r="D71" s="265">
        <f>'Прил.5 Расчет СМР и ОБ'!D162</f>
        <v/>
      </c>
      <c r="E71" s="265">
        <f>'Прил.5 Расчет СМР и ОБ'!E162</f>
        <v/>
      </c>
      <c r="F71" s="265">
        <f>'Прил.5 Расчет СМР и ОБ'!F162</f>
        <v/>
      </c>
      <c r="G71" s="268">
        <f>ROUND(E71*F71,2)</f>
        <v/>
      </c>
    </row>
    <row r="72" ht="38.85" customHeight="1" s="248">
      <c r="A72" s="357" t="n">
        <v>63</v>
      </c>
      <c r="B72" s="254">
        <f>'Прил.5 Расчет СМР и ОБ'!B163</f>
        <v/>
      </c>
      <c r="C72" s="254">
        <f>'Прил.5 Расчет СМР и ОБ'!C163</f>
        <v/>
      </c>
      <c r="D72" s="265">
        <f>'Прил.5 Расчет СМР и ОБ'!D163</f>
        <v/>
      </c>
      <c r="E72" s="265">
        <f>'Прил.5 Расчет СМР и ОБ'!E163</f>
        <v/>
      </c>
      <c r="F72" s="265">
        <f>'Прил.5 Расчет СМР и ОБ'!F163</f>
        <v/>
      </c>
      <c r="G72" s="268">
        <f>ROUND(E72*F72,2)</f>
        <v/>
      </c>
    </row>
    <row r="73" ht="25.5" customHeight="1" s="248">
      <c r="A73" s="357" t="n">
        <v>64</v>
      </c>
      <c r="B73" s="254">
        <f>'Прил.5 Расчет СМР и ОБ'!B164</f>
        <v/>
      </c>
      <c r="C73" s="254">
        <f>'Прил.5 Расчет СМР и ОБ'!C164</f>
        <v/>
      </c>
      <c r="D73" s="265">
        <f>'Прил.5 Расчет СМР и ОБ'!D164</f>
        <v/>
      </c>
      <c r="E73" s="265">
        <f>'Прил.5 Расчет СМР и ОБ'!E164</f>
        <v/>
      </c>
      <c r="F73" s="265">
        <f>'Прил.5 Расчет СМР и ОБ'!F164</f>
        <v/>
      </c>
      <c r="G73" s="268">
        <f>ROUND(E73*F73,2)</f>
        <v/>
      </c>
    </row>
    <row r="74" ht="25.5" customHeight="1" s="248">
      <c r="A74" s="357" t="n">
        <v>65</v>
      </c>
      <c r="B74" s="254">
        <f>'Прил.5 Расчет СМР и ОБ'!B165</f>
        <v/>
      </c>
      <c r="C74" s="254">
        <f>'Прил.5 Расчет СМР и ОБ'!C165</f>
        <v/>
      </c>
      <c r="D74" s="265">
        <f>'Прил.5 Расчет СМР и ОБ'!D165</f>
        <v/>
      </c>
      <c r="E74" s="265">
        <f>'Прил.5 Расчет СМР и ОБ'!E165</f>
        <v/>
      </c>
      <c r="F74" s="265">
        <f>'Прил.5 Расчет СМР и ОБ'!F165</f>
        <v/>
      </c>
      <c r="G74" s="268">
        <f>ROUND(E74*F74,2)</f>
        <v/>
      </c>
    </row>
    <row r="75" ht="25.5" customHeight="1" s="248">
      <c r="A75" s="357" t="n">
        <v>66</v>
      </c>
      <c r="B75" s="254">
        <f>'Прил.5 Расчет СМР и ОБ'!B166</f>
        <v/>
      </c>
      <c r="C75" s="254">
        <f>'Прил.5 Расчет СМР и ОБ'!C166</f>
        <v/>
      </c>
      <c r="D75" s="265">
        <f>'Прил.5 Расчет СМР и ОБ'!D166</f>
        <v/>
      </c>
      <c r="E75" s="265">
        <f>'Прил.5 Расчет СМР и ОБ'!E166</f>
        <v/>
      </c>
      <c r="F75" s="265">
        <f>'Прил.5 Расчет СМР и ОБ'!F166</f>
        <v/>
      </c>
      <c r="G75" s="268">
        <f>ROUND(E75*F75,2)</f>
        <v/>
      </c>
    </row>
    <row r="76">
      <c r="A76" s="357" t="n">
        <v>67</v>
      </c>
      <c r="B76" s="254">
        <f>'Прил.5 Расчет СМР и ОБ'!B167</f>
        <v/>
      </c>
      <c r="C76" s="254">
        <f>'Прил.5 Расчет СМР и ОБ'!C167</f>
        <v/>
      </c>
      <c r="D76" s="265">
        <f>'Прил.5 Расчет СМР и ОБ'!D167</f>
        <v/>
      </c>
      <c r="E76" s="265">
        <f>'Прил.5 Расчет СМР и ОБ'!E167</f>
        <v/>
      </c>
      <c r="F76" s="265">
        <f>'Прил.5 Расчет СМР и ОБ'!F167</f>
        <v/>
      </c>
      <c r="G76" s="268">
        <f>ROUND(E76*F76,2)</f>
        <v/>
      </c>
    </row>
    <row r="77" ht="38.25" customHeight="1" s="248">
      <c r="A77" s="357" t="n">
        <v>68</v>
      </c>
      <c r="B77" s="254">
        <f>'Прил.5 Расчет СМР и ОБ'!B168</f>
        <v/>
      </c>
      <c r="C77" s="254">
        <f>'Прил.5 Расчет СМР и ОБ'!C168</f>
        <v/>
      </c>
      <c r="D77" s="265">
        <f>'Прил.5 Расчет СМР и ОБ'!D168</f>
        <v/>
      </c>
      <c r="E77" s="265">
        <f>'Прил.5 Расчет СМР и ОБ'!E168</f>
        <v/>
      </c>
      <c r="F77" s="265">
        <f>'Прил.5 Расчет СМР и ОБ'!F168</f>
        <v/>
      </c>
      <c r="G77" s="268">
        <f>ROUND(E77*F77,2)</f>
        <v/>
      </c>
    </row>
    <row r="78" ht="25.9" customHeight="1" s="248">
      <c r="A78" s="357" t="n">
        <v>69</v>
      </c>
      <c r="B78" s="254">
        <f>'Прил.5 Расчет СМР и ОБ'!B169</f>
        <v/>
      </c>
      <c r="C78" s="254">
        <f>'Прил.5 Расчет СМР и ОБ'!C169</f>
        <v/>
      </c>
      <c r="D78" s="265">
        <f>'Прил.5 Расчет СМР и ОБ'!D169</f>
        <v/>
      </c>
      <c r="E78" s="265">
        <f>'Прил.5 Расчет СМР и ОБ'!E169</f>
        <v/>
      </c>
      <c r="F78" s="265">
        <f>'Прил.5 Расчет СМР и ОБ'!F169</f>
        <v/>
      </c>
      <c r="G78" s="268">
        <f>ROUND(E78*F78,2)</f>
        <v/>
      </c>
    </row>
    <row r="79" ht="51" customHeight="1" s="248">
      <c r="A79" s="357" t="n">
        <v>70</v>
      </c>
      <c r="B79" s="254">
        <f>'Прил.5 Расчет СМР и ОБ'!B170</f>
        <v/>
      </c>
      <c r="C79" s="254">
        <f>'Прил.5 Расчет СМР и ОБ'!C170</f>
        <v/>
      </c>
      <c r="D79" s="265">
        <f>'Прил.5 Расчет СМР и ОБ'!D170</f>
        <v/>
      </c>
      <c r="E79" s="265">
        <f>'Прил.5 Расчет СМР и ОБ'!E170</f>
        <v/>
      </c>
      <c r="F79" s="265">
        <f>'Прил.5 Расчет СМР и ОБ'!F170</f>
        <v/>
      </c>
      <c r="G79" s="268">
        <f>ROUND(E79*F79,2)</f>
        <v/>
      </c>
    </row>
    <row r="80" ht="38.25" customHeight="1" s="248">
      <c r="A80" s="357" t="n">
        <v>71</v>
      </c>
      <c r="B80" s="254">
        <f>'Прил.5 Расчет СМР и ОБ'!B171</f>
        <v/>
      </c>
      <c r="C80" s="254">
        <f>'Прил.5 Расчет СМР и ОБ'!C171</f>
        <v/>
      </c>
      <c r="D80" s="265">
        <f>'Прил.5 Расчет СМР и ОБ'!D171</f>
        <v/>
      </c>
      <c r="E80" s="265">
        <f>'Прил.5 Расчет СМР и ОБ'!E171</f>
        <v/>
      </c>
      <c r="F80" s="265">
        <f>'Прил.5 Расчет СМР и ОБ'!F171</f>
        <v/>
      </c>
      <c r="G80" s="268">
        <f>ROUND(E80*F80,2)</f>
        <v/>
      </c>
    </row>
    <row r="81" ht="38.85" customHeight="1" s="248">
      <c r="A81" s="357" t="n">
        <v>72</v>
      </c>
      <c r="B81" s="254">
        <f>'Прил.5 Расчет СМР и ОБ'!B172</f>
        <v/>
      </c>
      <c r="C81" s="254">
        <f>'Прил.5 Расчет СМР и ОБ'!C172</f>
        <v/>
      </c>
      <c r="D81" s="265">
        <f>'Прил.5 Расчет СМР и ОБ'!D172</f>
        <v/>
      </c>
      <c r="E81" s="265">
        <f>'Прил.5 Расчет СМР и ОБ'!E172</f>
        <v/>
      </c>
      <c r="F81" s="265">
        <f>'Прил.5 Расчет СМР и ОБ'!F172</f>
        <v/>
      </c>
      <c r="G81" s="268">
        <f>ROUND(E81*F81,2)</f>
        <v/>
      </c>
    </row>
    <row r="82">
      <c r="A82" s="357" t="n">
        <v>73</v>
      </c>
      <c r="B82" s="254">
        <f>'Прил.5 Расчет СМР и ОБ'!B173</f>
        <v/>
      </c>
      <c r="C82" s="254">
        <f>'Прил.5 Расчет СМР и ОБ'!C173</f>
        <v/>
      </c>
      <c r="D82" s="265">
        <f>'Прил.5 Расчет СМР и ОБ'!D173</f>
        <v/>
      </c>
      <c r="E82" s="265">
        <f>'Прил.5 Расчет СМР и ОБ'!E173</f>
        <v/>
      </c>
      <c r="F82" s="265">
        <f>'Прил.5 Расчет СМР и ОБ'!F173</f>
        <v/>
      </c>
      <c r="G82" s="268">
        <f>ROUND(E82*F82,2)</f>
        <v/>
      </c>
    </row>
    <row r="83" ht="51.6" customHeight="1" s="248">
      <c r="A83" s="357" t="n">
        <v>74</v>
      </c>
      <c r="B83" s="254">
        <f>'Прил.5 Расчет СМР и ОБ'!B174</f>
        <v/>
      </c>
      <c r="C83" s="254">
        <f>'Прил.5 Расчет СМР и ОБ'!C174</f>
        <v/>
      </c>
      <c r="D83" s="265">
        <f>'Прил.5 Расчет СМР и ОБ'!D174</f>
        <v/>
      </c>
      <c r="E83" s="265">
        <f>'Прил.5 Расчет СМР и ОБ'!E174</f>
        <v/>
      </c>
      <c r="F83" s="265">
        <f>'Прил.5 Расчет СМР и ОБ'!F174</f>
        <v/>
      </c>
      <c r="G83" s="268">
        <f>ROUND(E83*F83,2)</f>
        <v/>
      </c>
    </row>
    <row r="84" ht="38.25" customHeight="1" s="248">
      <c r="A84" s="357" t="n">
        <v>75</v>
      </c>
      <c r="B84" s="254">
        <f>'Прил.5 Расчет СМР и ОБ'!B175</f>
        <v/>
      </c>
      <c r="C84" s="254">
        <f>'Прил.5 Расчет СМР и ОБ'!C175</f>
        <v/>
      </c>
      <c r="D84" s="265">
        <f>'Прил.5 Расчет СМР и ОБ'!D175</f>
        <v/>
      </c>
      <c r="E84" s="265">
        <f>'Прил.5 Расчет СМР и ОБ'!E175</f>
        <v/>
      </c>
      <c r="F84" s="265">
        <f>'Прил.5 Расчет СМР и ОБ'!F175</f>
        <v/>
      </c>
      <c r="G84" s="268">
        <f>ROUND(E84*F84,2)</f>
        <v/>
      </c>
    </row>
    <row r="85">
      <c r="A85" s="357" t="n">
        <v>76</v>
      </c>
      <c r="B85" s="254">
        <f>'Прил.5 Расчет СМР и ОБ'!B176</f>
        <v/>
      </c>
      <c r="C85" s="254">
        <f>'Прил.5 Расчет СМР и ОБ'!C176</f>
        <v/>
      </c>
      <c r="D85" s="265">
        <f>'Прил.5 Расчет СМР и ОБ'!D176</f>
        <v/>
      </c>
      <c r="E85" s="265">
        <f>'Прил.5 Расчет СМР и ОБ'!E176</f>
        <v/>
      </c>
      <c r="F85" s="265">
        <f>'Прил.5 Расчет СМР и ОБ'!F176</f>
        <v/>
      </c>
      <c r="G85" s="268">
        <f>ROUND(E85*F85,2)</f>
        <v/>
      </c>
    </row>
    <row r="86" ht="25.5" customHeight="1" s="248">
      <c r="A86" s="357" t="n">
        <v>77</v>
      </c>
      <c r="B86" s="254">
        <f>'Прил.5 Расчет СМР и ОБ'!B177</f>
        <v/>
      </c>
      <c r="C86" s="254">
        <f>'Прил.5 Расчет СМР и ОБ'!C177</f>
        <v/>
      </c>
      <c r="D86" s="265">
        <f>'Прил.5 Расчет СМР и ОБ'!D177</f>
        <v/>
      </c>
      <c r="E86" s="265">
        <f>'Прил.5 Расчет СМР и ОБ'!E177</f>
        <v/>
      </c>
      <c r="F86" s="265">
        <f>'Прил.5 Расчет СМР и ОБ'!F177</f>
        <v/>
      </c>
      <c r="G86" s="268">
        <f>ROUND(E86*F86,2)</f>
        <v/>
      </c>
    </row>
    <row r="87" ht="38.25" customHeight="1" s="248">
      <c r="A87" s="357" t="n">
        <v>78</v>
      </c>
      <c r="B87" s="254">
        <f>'Прил.5 Расчет СМР и ОБ'!B178</f>
        <v/>
      </c>
      <c r="C87" s="254">
        <f>'Прил.5 Расчет СМР и ОБ'!C178</f>
        <v/>
      </c>
      <c r="D87" s="265">
        <f>'Прил.5 Расчет СМР и ОБ'!D178</f>
        <v/>
      </c>
      <c r="E87" s="265">
        <f>'Прил.5 Расчет СМР и ОБ'!E178</f>
        <v/>
      </c>
      <c r="F87" s="265">
        <f>'Прил.5 Расчет СМР и ОБ'!F178</f>
        <v/>
      </c>
      <c r="G87" s="268">
        <f>ROUND(E87*F87,2)</f>
        <v/>
      </c>
    </row>
    <row r="88" ht="38.85" customHeight="1" s="248">
      <c r="A88" s="357" t="n">
        <v>79</v>
      </c>
      <c r="B88" s="254">
        <f>'Прил.5 Расчет СМР и ОБ'!B179</f>
        <v/>
      </c>
      <c r="C88" s="254">
        <f>'Прил.5 Расчет СМР и ОБ'!C179</f>
        <v/>
      </c>
      <c r="D88" s="265">
        <f>'Прил.5 Расчет СМР и ОБ'!D179</f>
        <v/>
      </c>
      <c r="E88" s="265">
        <f>'Прил.5 Расчет СМР и ОБ'!E179</f>
        <v/>
      </c>
      <c r="F88" s="265">
        <f>'Прил.5 Расчет СМР и ОБ'!F179</f>
        <v/>
      </c>
      <c r="G88" s="268">
        <f>ROUND(E88*F88,2)</f>
        <v/>
      </c>
    </row>
    <row r="89" ht="25.5" customHeight="1" s="248">
      <c r="A89" s="357" t="n">
        <v>80</v>
      </c>
      <c r="B89" s="254">
        <f>'Прил.5 Расчет СМР и ОБ'!B180</f>
        <v/>
      </c>
      <c r="C89" s="254">
        <f>'Прил.5 Расчет СМР и ОБ'!C180</f>
        <v/>
      </c>
      <c r="D89" s="265">
        <f>'Прил.5 Расчет СМР и ОБ'!D180</f>
        <v/>
      </c>
      <c r="E89" s="265">
        <f>'Прил.5 Расчет СМР и ОБ'!E180</f>
        <v/>
      </c>
      <c r="F89" s="265">
        <f>'Прил.5 Расчет СМР и ОБ'!F180</f>
        <v/>
      </c>
      <c r="G89" s="268">
        <f>ROUND(E89*F89,2)</f>
        <v/>
      </c>
    </row>
    <row r="90" ht="25.9" customHeight="1" s="248">
      <c r="A90" s="357" t="n">
        <v>81</v>
      </c>
      <c r="B90" s="254">
        <f>'Прил.5 Расчет СМР и ОБ'!B181</f>
        <v/>
      </c>
      <c r="C90" s="254">
        <f>'Прил.5 Расчет СМР и ОБ'!C181</f>
        <v/>
      </c>
      <c r="D90" s="265">
        <f>'Прил.5 Расчет СМР и ОБ'!D181</f>
        <v/>
      </c>
      <c r="E90" s="265">
        <f>'Прил.5 Расчет СМР и ОБ'!E181</f>
        <v/>
      </c>
      <c r="F90" s="265">
        <f>'Прил.5 Расчет СМР и ОБ'!F181</f>
        <v/>
      </c>
      <c r="G90" s="268">
        <f>ROUND(E90*F90,2)</f>
        <v/>
      </c>
    </row>
    <row r="91" ht="38.85" customHeight="1" s="248">
      <c r="A91" s="357" t="n">
        <v>82</v>
      </c>
      <c r="B91" s="254">
        <f>'Прил.5 Расчет СМР и ОБ'!B182</f>
        <v/>
      </c>
      <c r="C91" s="254">
        <f>'Прил.5 Расчет СМР и ОБ'!C182</f>
        <v/>
      </c>
      <c r="D91" s="265">
        <f>'Прил.5 Расчет СМР и ОБ'!D182</f>
        <v/>
      </c>
      <c r="E91" s="265">
        <f>'Прил.5 Расчет СМР и ОБ'!E182</f>
        <v/>
      </c>
      <c r="F91" s="265">
        <f>'Прил.5 Расчет СМР и ОБ'!F182</f>
        <v/>
      </c>
      <c r="G91" s="268">
        <f>ROUND(E91*F91,2)</f>
        <v/>
      </c>
    </row>
    <row r="92" ht="25.5" customHeight="1" s="248">
      <c r="A92" s="357" t="n">
        <v>83</v>
      </c>
      <c r="B92" s="254">
        <f>'Прил.5 Расчет СМР и ОБ'!B183</f>
        <v/>
      </c>
      <c r="C92" s="254">
        <f>'Прил.5 Расчет СМР и ОБ'!C183</f>
        <v/>
      </c>
      <c r="D92" s="265">
        <f>'Прил.5 Расчет СМР и ОБ'!D183</f>
        <v/>
      </c>
      <c r="E92" s="265">
        <f>'Прил.5 Расчет СМР и ОБ'!E183</f>
        <v/>
      </c>
      <c r="F92" s="265">
        <f>'Прил.5 Расчет СМР и ОБ'!F183</f>
        <v/>
      </c>
      <c r="G92" s="268">
        <f>ROUND(E92*F92,2)</f>
        <v/>
      </c>
    </row>
    <row r="93" ht="25.5" customHeight="1" s="248">
      <c r="A93" s="357" t="n">
        <v>84</v>
      </c>
      <c r="B93" s="254">
        <f>'Прил.5 Расчет СМР и ОБ'!B184</f>
        <v/>
      </c>
      <c r="C93" s="254">
        <f>'Прил.5 Расчет СМР и ОБ'!C184</f>
        <v/>
      </c>
      <c r="D93" s="265">
        <f>'Прил.5 Расчет СМР и ОБ'!D184</f>
        <v/>
      </c>
      <c r="E93" s="265">
        <f>'Прил.5 Расчет СМР и ОБ'!E184</f>
        <v/>
      </c>
      <c r="F93" s="265">
        <f>'Прил.5 Расчет СМР и ОБ'!F184</f>
        <v/>
      </c>
      <c r="G93" s="268">
        <f>ROUND(E93*F93,2)</f>
        <v/>
      </c>
    </row>
    <row r="94" ht="25.5" customHeight="1" s="248">
      <c r="A94" s="357" t="n">
        <v>84</v>
      </c>
      <c r="B94" s="254">
        <f>'Прил.5 Расчет СМР и ОБ'!B185</f>
        <v/>
      </c>
      <c r="C94" s="254">
        <f>'Прил.5 Расчет СМР и ОБ'!C185</f>
        <v/>
      </c>
      <c r="D94" s="265">
        <f>'Прил.5 Расчет СМР и ОБ'!D185</f>
        <v/>
      </c>
      <c r="E94" s="265">
        <f>'Прил.5 Расчет СМР и ОБ'!E185</f>
        <v/>
      </c>
      <c r="F94" s="265">
        <f>'Прил.5 Расчет СМР и ОБ'!F185</f>
        <v/>
      </c>
      <c r="G94" s="268">
        <f>ROUND(E94*F94,2)</f>
        <v/>
      </c>
    </row>
    <row r="95" ht="25.5" customHeight="1" s="248">
      <c r="A95" s="357" t="n">
        <v>84</v>
      </c>
      <c r="B95" s="254">
        <f>'Прил.5 Расчет СМР и ОБ'!B186</f>
        <v/>
      </c>
      <c r="C95" s="254">
        <f>'Прил.5 Расчет СМР и ОБ'!C186</f>
        <v/>
      </c>
      <c r="D95" s="265">
        <f>'Прил.5 Расчет СМР и ОБ'!D186</f>
        <v/>
      </c>
      <c r="E95" s="265">
        <f>'Прил.5 Расчет СМР и ОБ'!E186</f>
        <v/>
      </c>
      <c r="F95" s="265">
        <f>'Прил.5 Расчет СМР и ОБ'!F186</f>
        <v/>
      </c>
      <c r="G95" s="268">
        <f>ROUND(E95*F95,2)</f>
        <v/>
      </c>
    </row>
    <row r="96" ht="25.5" customHeight="1" s="248">
      <c r="A96" s="357" t="n">
        <v>84</v>
      </c>
      <c r="B96" s="254">
        <f>'Прил.5 Расчет СМР и ОБ'!B187</f>
        <v/>
      </c>
      <c r="C96" s="254">
        <f>'Прил.5 Расчет СМР и ОБ'!C187</f>
        <v/>
      </c>
      <c r="D96" s="265">
        <f>'Прил.5 Расчет СМР и ОБ'!D187</f>
        <v/>
      </c>
      <c r="E96" s="265">
        <f>'Прил.5 Расчет СМР и ОБ'!E187</f>
        <v/>
      </c>
      <c r="F96" s="265">
        <f>'Прил.5 Расчет СМР и ОБ'!F187</f>
        <v/>
      </c>
      <c r="G96" s="268">
        <f>ROUND(E96*F96,2)</f>
        <v/>
      </c>
    </row>
    <row r="97" ht="25.5" customHeight="1" s="248">
      <c r="A97" s="357" t="n">
        <v>84</v>
      </c>
      <c r="B97" s="254">
        <f>'Прил.5 Расчет СМР и ОБ'!B188</f>
        <v/>
      </c>
      <c r="C97" s="254">
        <f>'Прил.5 Расчет СМР и ОБ'!C188</f>
        <v/>
      </c>
      <c r="D97" s="265">
        <f>'Прил.5 Расчет СМР и ОБ'!D188</f>
        <v/>
      </c>
      <c r="E97" s="265">
        <f>'Прил.5 Расчет СМР и ОБ'!E188</f>
        <v/>
      </c>
      <c r="F97" s="265">
        <f>'Прил.5 Расчет СМР и ОБ'!F188</f>
        <v/>
      </c>
      <c r="G97" s="268">
        <f>ROUND(E97*F97,2)</f>
        <v/>
      </c>
    </row>
    <row r="98" ht="25.5" customHeight="1" s="248">
      <c r="A98" s="357" t="n">
        <v>84</v>
      </c>
      <c r="B98" s="254">
        <f>'Прил.5 Расчет СМР и ОБ'!B189</f>
        <v/>
      </c>
      <c r="C98" s="254">
        <f>'Прил.5 Расчет СМР и ОБ'!C189</f>
        <v/>
      </c>
      <c r="D98" s="265">
        <f>'Прил.5 Расчет СМР и ОБ'!D189</f>
        <v/>
      </c>
      <c r="E98" s="265">
        <f>'Прил.5 Расчет СМР и ОБ'!E189</f>
        <v/>
      </c>
      <c r="F98" s="265">
        <f>'Прил.5 Расчет СМР и ОБ'!F189</f>
        <v/>
      </c>
      <c r="G98" s="268">
        <f>ROUND(E98*F98,2)</f>
        <v/>
      </c>
    </row>
    <row r="99" ht="25.5" customHeight="1" s="248">
      <c r="A99" s="357" t="n">
        <v>84</v>
      </c>
      <c r="B99" s="254">
        <f>'Прил.5 Расчет СМР и ОБ'!B190</f>
        <v/>
      </c>
      <c r="C99" s="254">
        <f>'Прил.5 Расчет СМР и ОБ'!C190</f>
        <v/>
      </c>
      <c r="D99" s="265">
        <f>'Прил.5 Расчет СМР и ОБ'!D190</f>
        <v/>
      </c>
      <c r="E99" s="265">
        <f>'Прил.5 Расчет СМР и ОБ'!E190</f>
        <v/>
      </c>
      <c r="F99" s="265">
        <f>'Прил.5 Расчет СМР и ОБ'!F190</f>
        <v/>
      </c>
      <c r="G99" s="268">
        <f>ROUND(E99*F99,2)</f>
        <v/>
      </c>
    </row>
    <row r="100" ht="25.5" customHeight="1" s="248">
      <c r="A100" s="357" t="n">
        <v>84</v>
      </c>
      <c r="B100" s="254">
        <f>'Прил.5 Расчет СМР и ОБ'!B191</f>
        <v/>
      </c>
      <c r="C100" s="254">
        <f>'Прил.5 Расчет СМР и ОБ'!C191</f>
        <v/>
      </c>
      <c r="D100" s="265">
        <f>'Прил.5 Расчет СМР и ОБ'!D191</f>
        <v/>
      </c>
      <c r="E100" s="265">
        <f>'Прил.5 Расчет СМР и ОБ'!E191</f>
        <v/>
      </c>
      <c r="F100" s="265">
        <f>'Прил.5 Расчет СМР и ОБ'!F191</f>
        <v/>
      </c>
      <c r="G100" s="268">
        <f>ROUND(E100*F100,2)</f>
        <v/>
      </c>
    </row>
    <row r="101">
      <c r="A101" s="357" t="n"/>
      <c r="B101" s="344" t="n"/>
      <c r="C101" s="356" t="inlineStr">
        <is>
          <t>ИТОГО ИНЖЕНЕРНОЕ ОБОРУДОВАНИЕ</t>
        </is>
      </c>
      <c r="D101" s="344" t="n"/>
      <c r="E101" s="148" t="n"/>
      <c r="F101" s="359" t="n"/>
      <c r="G101" s="226">
        <f>SUM(G10:G100)</f>
        <v/>
      </c>
    </row>
    <row r="102">
      <c r="A102" s="357" t="n"/>
      <c r="B102" s="356" t="inlineStr">
        <is>
          <t>ТЕХНОЛОГИЧЕСКОЕ ОБОРУДОВАНИЕ</t>
        </is>
      </c>
      <c r="C102" s="419" t="n"/>
      <c r="D102" s="419" t="n"/>
      <c r="E102" s="419" t="n"/>
      <c r="F102" s="419" t="n"/>
      <c r="G102" s="420" t="n"/>
    </row>
    <row r="103" ht="25.5" customHeight="1" s="248">
      <c r="A103" s="357" t="n"/>
      <c r="B103" s="356" t="n"/>
      <c r="C103" s="356" t="inlineStr">
        <is>
          <t>ИТОГО ТЕХНОЛОГИЧЕСКОЕ ОБОРУДОВАНИЕ</t>
        </is>
      </c>
      <c r="D103" s="356" t="n"/>
      <c r="E103" s="373" t="n"/>
      <c r="F103" s="359" t="n"/>
      <c r="G103" s="268" t="n">
        <v>0</v>
      </c>
    </row>
    <row r="104">
      <c r="A104" s="357" t="n"/>
      <c r="B104" s="356" t="n"/>
      <c r="C104" s="356" t="inlineStr">
        <is>
          <t>Всего по разделу «Оборудование»</t>
        </is>
      </c>
      <c r="D104" s="356" t="n"/>
      <c r="E104" s="373" t="n"/>
      <c r="F104" s="359" t="n"/>
      <c r="G104" s="268">
        <f>G103+G101</f>
        <v/>
      </c>
    </row>
    <row r="105">
      <c r="A105" s="247" t="n"/>
      <c r="B105" s="244" t="n"/>
      <c r="C105" s="247" t="n"/>
      <c r="D105" s="247" t="n"/>
      <c r="E105" s="247" t="n"/>
      <c r="F105" s="247" t="n"/>
      <c r="G105" s="247" t="n"/>
    </row>
    <row r="106">
      <c r="A106" s="256" t="inlineStr">
        <is>
          <t>Составил ______________________    Д.Ю. Нефедова</t>
        </is>
      </c>
      <c r="B106" s="255" t="n"/>
      <c r="C106" s="255" t="n"/>
      <c r="D106" s="247" t="n"/>
      <c r="E106" s="247" t="n"/>
      <c r="F106" s="247" t="n"/>
      <c r="G106" s="247" t="n"/>
    </row>
    <row r="107">
      <c r="A107" s="286" t="inlineStr">
        <is>
          <t xml:space="preserve">                         (подпись, инициалы, фамилия)</t>
        </is>
      </c>
      <c r="B107" s="255" t="n"/>
      <c r="C107" s="255" t="n"/>
      <c r="D107" s="247" t="n"/>
      <c r="E107" s="247" t="n"/>
      <c r="F107" s="247" t="n"/>
      <c r="G107" s="247" t="n"/>
    </row>
    <row r="108">
      <c r="A108" s="256" t="n"/>
      <c r="B108" s="255" t="n"/>
      <c r="C108" s="255" t="n"/>
      <c r="D108" s="247" t="n"/>
      <c r="E108" s="247" t="n"/>
      <c r="F108" s="247" t="n"/>
      <c r="G108" s="247" t="n"/>
    </row>
    <row r="109">
      <c r="A109" s="256" t="inlineStr">
        <is>
          <t>Проверил ______________________        А.В. Костянецкая</t>
        </is>
      </c>
      <c r="B109" s="255" t="n"/>
      <c r="C109" s="255" t="n"/>
      <c r="D109" s="247" t="n"/>
      <c r="E109" s="247" t="n"/>
      <c r="F109" s="247" t="n"/>
      <c r="G109" s="247" t="n"/>
    </row>
    <row r="110">
      <c r="A110" s="286" t="inlineStr">
        <is>
          <t xml:space="preserve">                        (подпись, инициалы, фамилия)</t>
        </is>
      </c>
      <c r="B110" s="255" t="n"/>
      <c r="C110" s="255" t="n"/>
      <c r="D110" s="247" t="n"/>
      <c r="E110" s="247" t="n"/>
      <c r="F110" s="247" t="n"/>
      <c r="G110" s="247" t="n"/>
    </row>
  </sheetData>
  <mergeCells count="11">
    <mergeCell ref="A1:G1"/>
    <mergeCell ref="A3:G3"/>
    <mergeCell ref="B9:G9"/>
    <mergeCell ref="B102:G102"/>
    <mergeCell ref="A4:G4"/>
    <mergeCell ref="F6:G6"/>
    <mergeCell ref="E6:E7"/>
    <mergeCell ref="C6:C7"/>
    <mergeCell ref="A6:A7"/>
    <mergeCell ref="D6:D7"/>
    <mergeCell ref="B6:B7"/>
  </mergeCells>
  <pageMargins left="0.7" right="0.7" top="0.75" bottom="0.75" header="0.3" footer="0.3"/>
  <pageSetup orientation="portrait" paperSize="9" scale="76" fitToHeight="0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C14" sqref="C14"/>
    </sheetView>
  </sheetViews>
  <sheetFormatPr baseColWidth="8" defaultColWidth="8.85546875" defaultRowHeight="15"/>
  <cols>
    <col width="14.42578125" customWidth="1" style="248" min="1" max="1"/>
    <col width="29.7109375" customWidth="1" style="248" min="2" max="2"/>
    <col width="39.140625" customWidth="1" style="248" min="3" max="3"/>
    <col width="24.5703125" customWidth="1" style="248" min="4" max="4"/>
    <col width="24.85546875" customWidth="1" style="248" min="5" max="5"/>
    <col width="8.85546875" customWidth="1" style="248" min="6" max="6"/>
  </cols>
  <sheetData>
    <row r="1">
      <c r="B1" s="256" t="n"/>
      <c r="C1" s="256" t="n"/>
      <c r="D1" s="369" t="inlineStr">
        <is>
          <t>Приложение №7</t>
        </is>
      </c>
    </row>
    <row r="2">
      <c r="A2" s="369" t="n"/>
      <c r="B2" s="369" t="n"/>
      <c r="C2" s="369" t="n"/>
      <c r="D2" s="369" t="n"/>
    </row>
    <row r="3" ht="24.75" customHeight="1" s="248">
      <c r="A3" s="324" t="inlineStr">
        <is>
          <t>Расчет показателя УНЦ</t>
        </is>
      </c>
    </row>
    <row r="4" ht="24.75" customHeight="1" s="248">
      <c r="A4" s="324" t="n"/>
      <c r="B4" s="324" t="n"/>
      <c r="C4" s="324" t="n"/>
      <c r="D4" s="324" t="n"/>
    </row>
    <row r="5">
      <c r="A5" s="327" t="inlineStr">
        <is>
          <t xml:space="preserve">Наименование разрабатываемого показателя УНЦ - </t>
        </is>
      </c>
      <c r="D5" s="327">
        <f>'Прил.5 Расчет СМР и ОБ'!D6</f>
        <v/>
      </c>
    </row>
    <row r="6" ht="19.9" customHeight="1" s="248">
      <c r="A6" s="327" t="inlineStr">
        <is>
          <t>Единица измерения  — 1 ед</t>
        </is>
      </c>
      <c r="D6" s="327" t="n"/>
    </row>
    <row r="7">
      <c r="A7" s="256" t="n"/>
      <c r="B7" s="256" t="n"/>
      <c r="C7" s="256" t="n"/>
      <c r="D7" s="256" t="n"/>
    </row>
    <row r="8" ht="14.45" customHeight="1" s="248">
      <c r="A8" s="340" t="inlineStr">
        <is>
          <t>Код показателя</t>
        </is>
      </c>
      <c r="B8" s="340" t="inlineStr">
        <is>
          <t>Наименование показателя</t>
        </is>
      </c>
      <c r="C8" s="340" t="inlineStr">
        <is>
          <t>Наименование РМ, входящих в состав показателя</t>
        </is>
      </c>
      <c r="D8" s="340" t="inlineStr">
        <is>
          <t>Норматив цены на 01.01.2023, тыс.руб.</t>
        </is>
      </c>
    </row>
    <row r="9" ht="15" customHeight="1" s="248">
      <c r="A9" s="422" t="n"/>
      <c r="B9" s="422" t="n"/>
      <c r="C9" s="422" t="n"/>
      <c r="D9" s="422" t="n"/>
    </row>
    <row r="10">
      <c r="A10" s="357" t="n">
        <v>1</v>
      </c>
      <c r="B10" s="357" t="n">
        <v>2</v>
      </c>
      <c r="C10" s="357" t="n">
        <v>3</v>
      </c>
      <c r="D10" s="357" t="n">
        <v>4</v>
      </c>
    </row>
    <row r="11">
      <c r="A11" s="357" t="inlineStr">
        <is>
          <t>35-02</t>
        </is>
      </c>
      <c r="B11" s="357" t="inlineStr">
        <is>
          <t>УНЦ зданий ЗРУ, ЗПС, КТПМ</t>
        </is>
      </c>
      <c r="C11" s="240">
        <f>D5</f>
        <v/>
      </c>
      <c r="D11" s="241">
        <f>'Прил.4 РМ'!C41/1000</f>
        <v/>
      </c>
      <c r="E11" s="242" t="n"/>
    </row>
    <row r="12">
      <c r="A12" s="247" t="n"/>
      <c r="B12" s="244" t="n"/>
      <c r="C12" s="247" t="n"/>
      <c r="D12" s="247" t="n"/>
    </row>
    <row r="13" s="248">
      <c r="A13" s="256" t="inlineStr">
        <is>
          <t>Составил ______________________      Д.Ю. Нефедова</t>
        </is>
      </c>
      <c r="B13" s="255" t="n"/>
      <c r="C13" s="255" t="n"/>
      <c r="D13" s="247" t="n"/>
    </row>
    <row r="14">
      <c r="A14" s="286" t="inlineStr">
        <is>
          <t xml:space="preserve">                         (подпись, инициалы, фамилия)</t>
        </is>
      </c>
      <c r="B14" s="255" t="n"/>
      <c r="C14" s="255" t="n"/>
      <c r="D14" s="247" t="n"/>
    </row>
    <row r="15">
      <c r="A15" s="256" t="n"/>
      <c r="B15" s="255" t="n"/>
      <c r="C15" s="255" t="n"/>
      <c r="D15" s="247" t="n"/>
    </row>
    <row r="16">
      <c r="A16" s="256" t="inlineStr">
        <is>
          <t>Проверил ______________________        А.В. Костянецкая</t>
        </is>
      </c>
      <c r="B16" s="255" t="n"/>
      <c r="C16" s="255" t="n"/>
      <c r="D16" s="247" t="n"/>
    </row>
    <row r="17">
      <c r="A17" s="286" t="inlineStr">
        <is>
          <t xml:space="preserve">                        (подпись, инициалы, фамилия)</t>
        </is>
      </c>
      <c r="B17" s="255" t="n"/>
      <c r="C17" s="255" t="n"/>
      <c r="D17" s="247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1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zoomScale="60" zoomScaleNormal="85" workbookViewId="0">
      <selection activeCell="C24" sqref="C24"/>
    </sheetView>
  </sheetViews>
  <sheetFormatPr baseColWidth="8" defaultRowHeight="15"/>
  <cols>
    <col width="9.140625" customWidth="1" style="248" min="1" max="1"/>
    <col width="40.7109375" customWidth="1" style="248" min="2" max="2"/>
    <col width="37" customWidth="1" style="248" min="3" max="3"/>
    <col width="32" customWidth="1" style="248" min="4" max="4"/>
    <col width="9.140625" customWidth="1" style="248" min="5" max="5"/>
  </cols>
  <sheetData>
    <row r="4" ht="15.75" customHeight="1" s="248">
      <c r="B4" s="331" t="inlineStr">
        <is>
          <t>Приложение № 10</t>
        </is>
      </c>
    </row>
    <row r="5" ht="18.75" customHeight="1" s="248">
      <c r="B5" s="190" t="n"/>
    </row>
    <row r="6" ht="15.75" customHeight="1" s="248">
      <c r="B6" s="332" t="inlineStr">
        <is>
          <t>Используемые индексы изменений сметной стоимости и нормы сопутствующих затрат</t>
        </is>
      </c>
    </row>
    <row r="7">
      <c r="B7" s="375" t="n"/>
    </row>
    <row r="8">
      <c r="B8" s="375" t="n"/>
      <c r="C8" s="375" t="n"/>
      <c r="D8" s="375" t="n"/>
      <c r="E8" s="375" t="n"/>
    </row>
    <row r="9" ht="47.25" customHeight="1" s="248">
      <c r="B9" s="340" t="inlineStr">
        <is>
          <t>Наименование индекса / норм сопутствующих затрат</t>
        </is>
      </c>
      <c r="C9" s="340" t="inlineStr">
        <is>
          <t>Дата применения и обоснование индекса / норм сопутствующих затрат</t>
        </is>
      </c>
      <c r="D9" s="340" t="inlineStr">
        <is>
          <t>Размер индекса / норма сопутствующих затрат</t>
        </is>
      </c>
    </row>
    <row r="10" ht="15.75" customHeight="1" s="248">
      <c r="B10" s="340" t="n">
        <v>1</v>
      </c>
      <c r="C10" s="340" t="n">
        <v>2</v>
      </c>
      <c r="D10" s="340" t="n">
        <v>3</v>
      </c>
    </row>
    <row r="11" ht="45" customHeight="1" s="248">
      <c r="B11" s="340" t="inlineStr">
        <is>
          <t xml:space="preserve">Индекс изменения сметной стоимости на 1 квартал 2023 года. ОЗП </t>
        </is>
      </c>
      <c r="C11" s="340" t="inlineStr">
        <is>
          <t>Письмо Минстроя России от от 01.04.2023г. №17772-ИФ/09 прил.9</t>
        </is>
      </c>
      <c r="D11" s="340" t="n">
        <v>44.29</v>
      </c>
    </row>
    <row r="12" ht="29.25" customHeight="1" s="248">
      <c r="B12" s="340" t="inlineStr">
        <is>
          <t>Индекс изменения сметной стоимости на 1 квартал 2023 года. ЭМ</t>
        </is>
      </c>
      <c r="C12" s="340" t="inlineStr">
        <is>
          <t>Письмо Минстроя России от от 01.04.2023г. №17772-ИФ/09 прил.9</t>
        </is>
      </c>
      <c r="D12" s="340" t="n">
        <v>13.47</v>
      </c>
    </row>
    <row r="13" ht="29.25" customHeight="1" s="248">
      <c r="B13" s="340" t="inlineStr">
        <is>
          <t>Индекс изменения сметной стоимости на 1 квартал 2023 года. МАТ</t>
        </is>
      </c>
      <c r="C13" s="340" t="inlineStr">
        <is>
          <t>Письмо Минстроя России от от 01.04.2023г. №17772-ИФ/09 прил.9</t>
        </is>
      </c>
      <c r="D13" s="340" t="n">
        <v>8.039999999999999</v>
      </c>
    </row>
    <row r="14" ht="30.75" customHeight="1" s="248">
      <c r="B14" s="340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40" t="n">
        <v>6.26</v>
      </c>
    </row>
    <row r="15" ht="89.45" customHeight="1" s="248">
      <c r="B15" s="340" t="inlineStr">
        <is>
          <t>Временные здания и сооружения</t>
        </is>
      </c>
      <c r="C15" s="340" t="inlineStr">
        <is>
          <t xml:space="preserve">п.22 Приложения №1 Методики определения затрат на строительство временных зданий и сооружений   по приказу Минстроя РФ №332/пр от 19.06.2020  </t>
        </is>
      </c>
      <c r="D15" s="193" t="n">
        <v>0.039</v>
      </c>
    </row>
    <row r="16" ht="78.75" customHeight="1" s="248">
      <c r="B16" s="340" t="inlineStr">
        <is>
          <t>Дополнительные затраты при производстве строительно-монтажных работ в зимнее время</t>
        </is>
      </c>
      <c r="C16" s="340" t="inlineStr">
        <is>
      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6" s="193" t="n">
        <v>0.021</v>
      </c>
    </row>
    <row r="17" ht="31.7" customHeight="1" s="248">
      <c r="B17" s="340" t="inlineStr">
        <is>
          <t>Строительный контроль</t>
        </is>
      </c>
      <c r="C17" s="340" t="inlineStr">
        <is>
          <t>Постановление Правительства РФ от 21.06.10 г. № 468</t>
        </is>
      </c>
      <c r="D17" s="193" t="n">
        <v>0.0214</v>
      </c>
    </row>
    <row r="18" ht="31.7" customHeight="1" s="248">
      <c r="B18" s="340" t="inlineStr">
        <is>
          <t>Авторский надзор - 0,2%</t>
        </is>
      </c>
      <c r="C18" s="340" t="inlineStr">
        <is>
          <t>Приказ от 4.08.2020 № 421/пр п.173</t>
        </is>
      </c>
      <c r="D18" s="193" t="n">
        <v>0.002</v>
      </c>
    </row>
    <row r="19" ht="24" customHeight="1" s="248">
      <c r="B19" s="340" t="inlineStr">
        <is>
          <t>Непредвиденные расходы</t>
        </is>
      </c>
      <c r="C19" s="340" t="inlineStr">
        <is>
          <t>Приказ от 4.08.2020 № 421/пр п.179</t>
        </is>
      </c>
      <c r="D19" s="193" t="n">
        <v>0.03</v>
      </c>
    </row>
    <row r="20" ht="18.75" customHeight="1" s="248">
      <c r="B20" s="223" t="n"/>
    </row>
    <row r="21" ht="18.75" customHeight="1" s="248">
      <c r="B21" s="223" t="n"/>
    </row>
    <row r="22" ht="18.75" customHeight="1" s="248">
      <c r="B22" s="223" t="n"/>
    </row>
    <row r="23" ht="18.75" customHeight="1" s="248">
      <c r="B23" s="223" t="n"/>
    </row>
    <row r="26">
      <c r="B26" s="256" t="inlineStr">
        <is>
          <t>Составил ______________________        Д.Ю. Нефедова</t>
        </is>
      </c>
      <c r="C26" s="255" t="n"/>
    </row>
    <row r="27">
      <c r="B27" s="286" t="inlineStr">
        <is>
          <t xml:space="preserve">                         (подпись, инициалы, фамилия)</t>
        </is>
      </c>
      <c r="C27" s="255" t="n"/>
    </row>
    <row r="28">
      <c r="B28" s="256" t="n"/>
      <c r="C28" s="255" t="n"/>
    </row>
    <row r="29">
      <c r="B29" s="256" t="inlineStr">
        <is>
          <t>Проверил ______________________        А.В. Костянецкая</t>
        </is>
      </c>
      <c r="C29" s="255" t="n"/>
    </row>
    <row r="30">
      <c r="B30" s="286" t="inlineStr">
        <is>
          <t xml:space="preserve">                        (подпись, инициалы, фамилия)</t>
        </is>
      </c>
      <c r="C30" s="255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workbookViewId="0">
      <selection activeCell="I13" sqref="I13"/>
    </sheetView>
  </sheetViews>
  <sheetFormatPr baseColWidth="8" defaultRowHeight="15"/>
  <cols>
    <col width="9.140625" customWidth="1" style="248" min="1" max="1"/>
    <col width="44.85546875" customWidth="1" style="248" min="2" max="2"/>
    <col width="13" customWidth="1" style="248" min="3" max="3"/>
    <col width="22.85546875" customWidth="1" style="248" min="4" max="4"/>
    <col width="21.5703125" customWidth="1" style="248" min="5" max="5"/>
    <col width="43.85546875" customWidth="1" style="248" min="6" max="6"/>
    <col width="9.140625" customWidth="1" style="248" min="7" max="7"/>
  </cols>
  <sheetData>
    <row r="2" ht="17.45" customHeight="1" s="248">
      <c r="A2" s="332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248">
      <c r="A4" s="173" t="inlineStr">
        <is>
          <t>Составлен в уровне цен на 01.01.2023 г.</t>
        </is>
      </c>
      <c r="B4" s="291" t="n"/>
      <c r="C4" s="291" t="n"/>
      <c r="D4" s="291" t="n"/>
      <c r="E4" s="291" t="n"/>
      <c r="F4" s="291" t="n"/>
      <c r="G4" s="291" t="n"/>
    </row>
    <row r="5" ht="15.75" customHeight="1" s="248">
      <c r="A5" s="175" t="inlineStr">
        <is>
          <t>№ пп.</t>
        </is>
      </c>
      <c r="B5" s="175" t="inlineStr">
        <is>
          <t>Наименование элемента</t>
        </is>
      </c>
      <c r="C5" s="175" t="inlineStr">
        <is>
          <t>Обозначение</t>
        </is>
      </c>
      <c r="D5" s="175" t="inlineStr">
        <is>
          <t>Формула</t>
        </is>
      </c>
      <c r="E5" s="175" t="inlineStr">
        <is>
          <t>Величина элемента</t>
        </is>
      </c>
      <c r="F5" s="175" t="inlineStr">
        <is>
          <t>Наименования обосновывающих документов</t>
        </is>
      </c>
      <c r="G5" s="291" t="n"/>
    </row>
    <row r="6" ht="15.75" customHeight="1" s="248">
      <c r="A6" s="175" t="n">
        <v>1</v>
      </c>
      <c r="B6" s="175" t="n">
        <v>2</v>
      </c>
      <c r="C6" s="175" t="n">
        <v>3</v>
      </c>
      <c r="D6" s="175" t="n">
        <v>4</v>
      </c>
      <c r="E6" s="175" t="n">
        <v>5</v>
      </c>
      <c r="F6" s="175" t="n">
        <v>6</v>
      </c>
      <c r="G6" s="291" t="n"/>
    </row>
    <row r="7" ht="110.25" customHeight="1" s="248">
      <c r="A7" s="176" t="inlineStr">
        <is>
          <t>1.1</t>
        </is>
      </c>
      <c r="B7" s="18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40" t="inlineStr">
        <is>
          <t>С1ср</t>
        </is>
      </c>
      <c r="D7" s="340" t="inlineStr">
        <is>
          <t>-</t>
        </is>
      </c>
      <c r="E7" s="252" t="n">
        <v>47872.94</v>
      </c>
      <c r="F7" s="18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91" t="n"/>
    </row>
    <row r="8" ht="31.7" customHeight="1" s="248">
      <c r="A8" s="176" t="inlineStr">
        <is>
          <t>1.2</t>
        </is>
      </c>
      <c r="B8" s="180" t="inlineStr">
        <is>
          <t>Среднегодовое нормативное число часов работы одного рабочего в месяц, часы (ч.)</t>
        </is>
      </c>
      <c r="C8" s="340" t="inlineStr">
        <is>
          <t>tср</t>
        </is>
      </c>
      <c r="D8" s="340" t="inlineStr">
        <is>
          <t>1973ч/12мес.</t>
        </is>
      </c>
      <c r="E8" s="252">
        <f>1973/12</f>
        <v/>
      </c>
      <c r="F8" s="180" t="inlineStr">
        <is>
          <t>Производственный календарь 2023 год
(40-часов.неделя)</t>
        </is>
      </c>
      <c r="G8" s="182" t="n"/>
    </row>
    <row r="9" ht="15.75" customHeight="1" s="248">
      <c r="A9" s="176" t="inlineStr">
        <is>
          <t>1.3</t>
        </is>
      </c>
      <c r="B9" s="180" t="inlineStr">
        <is>
          <t>Коэффициент увеличения</t>
        </is>
      </c>
      <c r="C9" s="340" t="inlineStr">
        <is>
          <t>Кув</t>
        </is>
      </c>
      <c r="D9" s="340" t="inlineStr">
        <is>
          <t>-</t>
        </is>
      </c>
      <c r="E9" s="252" t="n">
        <v>1</v>
      </c>
      <c r="F9" s="180" t="n"/>
      <c r="G9" s="182" t="n"/>
    </row>
    <row r="10" ht="15.75" customHeight="1" s="248">
      <c r="A10" s="176" t="inlineStr">
        <is>
          <t>1.4</t>
        </is>
      </c>
      <c r="B10" s="180" t="inlineStr">
        <is>
          <t>Средний разряд работ</t>
        </is>
      </c>
      <c r="C10" s="340" t="n"/>
      <c r="D10" s="340" t="n"/>
      <c r="E10" s="183" t="n">
        <v>3.8</v>
      </c>
      <c r="F10" s="180" t="inlineStr">
        <is>
          <t>РТМ</t>
        </is>
      </c>
      <c r="G10" s="182" t="n"/>
    </row>
    <row r="11" ht="78.75" customHeight="1" s="248">
      <c r="A11" s="176" t="inlineStr">
        <is>
          <t>1.5</t>
        </is>
      </c>
      <c r="B11" s="180" t="inlineStr">
        <is>
          <t>Тарифный коэффициент среднего разряда работ</t>
        </is>
      </c>
      <c r="C11" s="340" t="inlineStr">
        <is>
          <t>КТ</t>
        </is>
      </c>
      <c r="D11" s="340" t="inlineStr">
        <is>
          <t>-</t>
        </is>
      </c>
      <c r="E11" s="184" t="n">
        <v>1.308</v>
      </c>
      <c r="F11" s="18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91" t="n"/>
    </row>
    <row r="12" ht="78.75" customHeight="1" s="248">
      <c r="A12" s="176" t="inlineStr">
        <is>
          <t>1.6</t>
        </is>
      </c>
      <c r="B12" s="320" t="inlineStr">
        <is>
          <t>Коэффициент инфляции, определяемый поквартально</t>
        </is>
      </c>
      <c r="C12" s="340" t="inlineStr">
        <is>
          <t>Кинф</t>
        </is>
      </c>
      <c r="D12" s="340" t="inlineStr">
        <is>
          <t>-</t>
        </is>
      </c>
      <c r="E12" s="186" t="n">
        <v>1.139</v>
      </c>
      <c r="F12" s="18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82" t="n"/>
    </row>
    <row r="13" ht="63" customHeight="1" s="248">
      <c r="A13" s="176" t="inlineStr">
        <is>
          <t>1.7</t>
        </is>
      </c>
      <c r="B13" s="188" t="inlineStr">
        <is>
          <t>Размер средств на оплату труда рабочих-строителей в текущем уровне цен (ФОТр.тек.), руб/чел.-ч</t>
        </is>
      </c>
      <c r="C13" s="340" t="inlineStr">
        <is>
          <t>ФОТр.тек.</t>
        </is>
      </c>
      <c r="D13" s="340" t="inlineStr">
        <is>
          <t>(С1ср/tср*КТ*Т*Кув)*Кинф</t>
        </is>
      </c>
      <c r="E13" s="189">
        <f>((E7*E9/E8)*E11)*E12</f>
        <v/>
      </c>
      <c r="F13" s="18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91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2025-01-24T11:59:56Z</dcterms:modified>
  <cp:lastModifiedBy>REDMIBOOK</cp:lastModifiedBy>
  <cp:lastPrinted>2023-11-27T08:59:52Z</cp:lastPrinted>
</cp:coreProperties>
</file>