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стоим'!$A$1:$J$37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'Прил.3'!$A$1:$H$280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РМ'!$A$1:$E$47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ОБ'!$A$1:$J$284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лрп" localSheetId="6">#REF!</definedName>
    <definedName name="гном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чик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2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ГорЗак" localSheetId="6">#REF!</definedName>
    <definedName name="Коэффициент" localSheetId="6">#REF!</definedName>
    <definedName name="кп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в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д" localSheetId="6">#REF!</definedName>
    <definedName name="прдо" localSheetId="6">#REF!</definedName>
    <definedName name="прер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ская_область" localSheetId="6">#REF!</definedName>
    <definedName name="псрл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гион__вводит_пользователь_программы_из_контекстного_списка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одня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ия_проектирования" localSheetId="6">#REF!</definedName>
    <definedName name="Станц10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тул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5.1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0.000"/>
    <numFmt numFmtId="170" formatCode="#,##0.0000"/>
    <numFmt numFmtId="171" formatCode="0.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165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0" fontId="8" fillId="0" borderId="0" applyAlignment="1" pivotButton="0" quotePrefix="0" xfId="0">
      <alignment horizontal="right"/>
    </xf>
    <xf numFmtId="0" fontId="1" fillId="4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165" fontId="2" fillId="0" borderId="1" applyAlignment="1" pivotButton="0" quotePrefix="0" xfId="0">
      <alignment vertical="center" wrapText="1"/>
    </xf>
    <xf numFmtId="0" fontId="18" fillId="0" borderId="0" pivotButton="0" quotePrefix="0" xfId="0"/>
    <xf numFmtId="1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9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0" fontId="16" fillId="0" borderId="0" applyAlignment="1" pivotButton="0" quotePrefix="0" xfId="0">
      <alignment horizontal="center" vertical="center"/>
    </xf>
    <xf numFmtId="0" fontId="18" fillId="0" borderId="1" applyAlignment="1" pivotButton="0" quotePrefix="0" xfId="0">
      <alignment vertical="top"/>
    </xf>
    <xf numFmtId="4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8" fillId="0" borderId="1" applyAlignment="1" pivotButton="0" quotePrefix="0" xfId="0">
      <alignment wrapText="1"/>
    </xf>
    <xf numFmtId="0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170" fontId="1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2" fontId="16" fillId="0" borderId="0" pivotButton="0" quotePrefix="0" xfId="0"/>
    <xf numFmtId="171" fontId="16" fillId="0" borderId="0" pivotButton="0" quotePrefix="0" xfId="0"/>
    <xf numFmtId="10" fontId="0" fillId="0" borderId="0" pivotButton="0" quotePrefix="0" xfId="0"/>
    <xf numFmtId="0" fontId="1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1" pivotButton="0" quotePrefix="0" xfId="0"/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10" fontId="21" fillId="0" borderId="1" applyAlignment="1" pivotButton="0" quotePrefix="0" xfId="0">
      <alignment horizontal="center" vertical="top" wrapText="1"/>
    </xf>
    <xf numFmtId="4" fontId="16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/>
    </xf>
    <xf numFmtId="0" fontId="22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22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165" fontId="16" fillId="0" borderId="1" applyAlignment="1" pivotButton="0" quotePrefix="0" xfId="0">
      <alignment vertical="center" wrapText="1"/>
    </xf>
    <xf numFmtId="165" fontId="18" fillId="0" borderId="4" applyAlignment="1" pivotButton="0" quotePrefix="0" xfId="0">
      <alignment vertical="center" wrapText="1"/>
    </xf>
    <xf numFmtId="165" fontId="18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4" zoomScale="115" zoomScaleNormal="85" workbookViewId="0">
      <selection activeCell="D28" sqref="D28"/>
    </sheetView>
  </sheetViews>
  <sheetFormatPr baseColWidth="8" defaultColWidth="9.140625" defaultRowHeight="15.75"/>
  <cols>
    <col width="9.140625" customWidth="1" style="117" min="1" max="2"/>
    <col width="51.7109375" customWidth="1" style="117" min="3" max="3"/>
    <col width="47" customWidth="1" style="117" min="4" max="4"/>
    <col width="37.42578125" customWidth="1" style="117" min="5" max="5"/>
    <col width="9.140625" customWidth="1" style="117" min="6" max="6"/>
  </cols>
  <sheetData>
    <row r="3">
      <c r="B3" s="213" t="inlineStr">
        <is>
          <t>Приложение № 1</t>
        </is>
      </c>
    </row>
    <row r="4">
      <c r="B4" s="214" t="inlineStr">
        <is>
          <t>Сравнительная таблица отбора объекта-представителя</t>
        </is>
      </c>
    </row>
    <row r="5" ht="84" customHeight="1">
      <c r="B5" s="21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90" t="n"/>
      <c r="C6" s="190" t="n"/>
      <c r="D6" s="190" t="n"/>
    </row>
    <row r="7" ht="35.1" customHeight="1">
      <c r="B7" s="215" t="inlineStr">
        <is>
          <t>Наименование разрабатываемого показателя УНЦ - Здания ЗПС 35 кВ</t>
        </is>
      </c>
    </row>
    <row r="8" ht="31.5" customHeight="1">
      <c r="B8" s="217" t="inlineStr">
        <is>
          <t>Сопоставимый уровень цен: 4 кв. 2016</t>
        </is>
      </c>
    </row>
    <row r="9" ht="15.75" customHeight="1">
      <c r="B9" s="216" t="inlineStr">
        <is>
          <t>Единица измерения  — 1 ед. (здание)</t>
        </is>
      </c>
    </row>
    <row r="10">
      <c r="B10" s="216" t="n"/>
    </row>
    <row r="11">
      <c r="B11" s="223" t="inlineStr">
        <is>
          <t>№ п/п</t>
        </is>
      </c>
      <c r="C11" s="223" t="inlineStr">
        <is>
          <t>Параметр</t>
        </is>
      </c>
      <c r="D11" s="223" t="inlineStr">
        <is>
          <t xml:space="preserve">Объект-представитель </t>
        </is>
      </c>
      <c r="E11" s="191" t="n"/>
    </row>
    <row r="12" ht="96.75" customHeight="1">
      <c r="B12" s="223" t="n">
        <v>1</v>
      </c>
      <c r="C12" s="202" t="inlineStr">
        <is>
          <t>Наименование объекта-представителя</t>
        </is>
      </c>
      <c r="D12" s="223" t="inlineStr">
        <is>
          <t>ПС 110 кВ "Шушары" (1 и 2 этапы строительства)</t>
        </is>
      </c>
    </row>
    <row r="13">
      <c r="B13" s="223" t="n">
        <v>2</v>
      </c>
      <c r="C13" s="202" t="inlineStr">
        <is>
          <t>Наименование субъекта Российской Федерации</t>
        </is>
      </c>
      <c r="D13" s="223" t="inlineStr">
        <is>
          <t>г. Санкт-Петербург</t>
        </is>
      </c>
    </row>
    <row r="14">
      <c r="B14" s="223" t="n">
        <v>3</v>
      </c>
      <c r="C14" s="202" t="inlineStr">
        <is>
          <t>Климатический район и подрайон</t>
        </is>
      </c>
      <c r="D14" s="223" t="inlineStr">
        <is>
          <t>IIБ</t>
        </is>
      </c>
    </row>
    <row r="15">
      <c r="B15" s="223" t="n">
        <v>4</v>
      </c>
      <c r="C15" s="202" t="inlineStr">
        <is>
          <t>Мощность объекта</t>
        </is>
      </c>
      <c r="D15" s="223" t="n">
        <v>1</v>
      </c>
    </row>
    <row r="16" ht="116.25" customHeight="1">
      <c r="B16" s="223" t="n">
        <v>5</v>
      </c>
      <c r="C16" s="11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3" t="inlineStr">
        <is>
          <t xml:space="preserve">Площадь 101 кв.м
Тип фундамента - поверхностная монолитная железобетонная плитка </t>
        </is>
      </c>
    </row>
    <row r="17" ht="79.5" customHeight="1">
      <c r="B17" s="223" t="n">
        <v>6</v>
      </c>
      <c r="C17" s="11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89">
        <f>SUM(D18:D21)</f>
        <v/>
      </c>
      <c r="E17" s="193" t="n"/>
    </row>
    <row r="18">
      <c r="B18" s="201" t="inlineStr">
        <is>
          <t>6.1</t>
        </is>
      </c>
      <c r="C18" s="202" t="inlineStr">
        <is>
          <t>строительно-монтажные работы</t>
        </is>
      </c>
      <c r="D18" s="189" t="n">
        <v>82039.1712</v>
      </c>
    </row>
    <row r="19" ht="15.75" customHeight="1">
      <c r="B19" s="201" t="inlineStr">
        <is>
          <t>6.2</t>
        </is>
      </c>
      <c r="C19" s="202" t="inlineStr">
        <is>
          <t>оборудование и инвентарь</t>
        </is>
      </c>
      <c r="D19" s="189" t="n">
        <v>177938.3464</v>
      </c>
    </row>
    <row r="20" ht="16.5" customHeight="1">
      <c r="B20" s="201" t="inlineStr">
        <is>
          <t>6.3</t>
        </is>
      </c>
      <c r="C20" s="202" t="inlineStr">
        <is>
          <t>пусконаладочные работы</t>
        </is>
      </c>
      <c r="D20" s="189" t="n"/>
    </row>
    <row r="21" ht="35.25" customHeight="1">
      <c r="B21" s="201" t="inlineStr">
        <is>
          <t>6.4</t>
        </is>
      </c>
      <c r="C21" s="195" t="inlineStr">
        <is>
          <t>прочие и лимитированные затраты</t>
        </is>
      </c>
      <c r="D21" s="189">
        <f>D18*3.9%*0.8+(D18+D18*3.9%*0.8)*2.1%</f>
        <v/>
      </c>
    </row>
    <row r="22">
      <c r="B22" s="223" t="n">
        <v>7</v>
      </c>
      <c r="C22" s="195" t="inlineStr">
        <is>
          <t>Сопоставимый уровень цен</t>
        </is>
      </c>
      <c r="D22" s="196" t="inlineStr">
        <is>
          <t>4 кв. 2016</t>
        </is>
      </c>
      <c r="E22" s="197" t="n"/>
    </row>
    <row r="23" ht="123" customHeight="1">
      <c r="B23" s="223" t="n">
        <v>8</v>
      </c>
      <c r="C23" s="19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9">
        <f>D17</f>
        <v/>
      </c>
      <c r="E23" s="193" t="n"/>
    </row>
    <row r="24" ht="60.75" customHeight="1">
      <c r="B24" s="223" t="n">
        <v>9</v>
      </c>
      <c r="C24" s="115" t="inlineStr">
        <is>
          <t>Приведенная сметная стоимость на единицу мощности, тыс. руб. (строка 8/строку 4)</t>
        </is>
      </c>
      <c r="D24" s="189">
        <f>D23/D15</f>
        <v/>
      </c>
      <c r="E24" s="197" t="n"/>
    </row>
    <row r="25" ht="48" customHeight="1">
      <c r="B25" s="223" t="n">
        <v>10</v>
      </c>
      <c r="C25" s="202" t="inlineStr">
        <is>
          <t>Примечание</t>
        </is>
      </c>
      <c r="D25" s="223" t="n"/>
    </row>
    <row r="26">
      <c r="B26" s="199" t="n"/>
      <c r="C26" s="200" t="n"/>
      <c r="D26" s="200" t="n"/>
    </row>
    <row r="27" ht="37.5" customHeight="1">
      <c r="B27" s="217" t="n"/>
    </row>
    <row r="28">
      <c r="B28" s="117" t="inlineStr">
        <is>
          <t>Составил ______________________    Д.Ю. Нефедова</t>
        </is>
      </c>
    </row>
    <row r="29">
      <c r="B29" s="217" t="inlineStr">
        <is>
          <t xml:space="preserve">                         (подпись, инициалы, фамилия)</t>
        </is>
      </c>
    </row>
    <row r="31">
      <c r="B31" s="117" t="inlineStr">
        <is>
          <t>Проверил ______________________        А.В. Костянецкая</t>
        </is>
      </c>
    </row>
    <row r="32">
      <c r="B32" s="217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31"/>
  <sheetViews>
    <sheetView view="pageBreakPreview" topLeftCell="A7" zoomScale="85" zoomScaleNormal="70" zoomScaleSheetLayoutView="85" workbookViewId="0">
      <selection activeCell="G29" sqref="G29:G30"/>
    </sheetView>
  </sheetViews>
  <sheetFormatPr baseColWidth="8" defaultColWidth="9.140625" defaultRowHeight="15.75"/>
  <cols>
    <col width="5.5703125" customWidth="1" style="117" min="1" max="1"/>
    <col width="9.140625" customWidth="1" style="117" min="2" max="2"/>
    <col width="35.28515625" customWidth="1" style="117" min="3" max="3"/>
    <col width="13.85546875" customWidth="1" style="117" min="4" max="4"/>
    <col width="24.85546875" customWidth="1" style="117" min="5" max="5"/>
    <col width="15.5703125" customWidth="1" style="117" min="6" max="6"/>
    <col width="14.85546875" customWidth="1" style="117" min="7" max="7"/>
    <col width="16.7109375" customWidth="1" style="117" min="8" max="8"/>
    <col width="13" customWidth="1" style="117" min="9" max="10"/>
    <col width="18" customWidth="1" style="117" min="11" max="11"/>
    <col width="9.140625" customWidth="1" style="117" min="12" max="12"/>
  </cols>
  <sheetData>
    <row r="3">
      <c r="B3" s="213" t="inlineStr">
        <is>
          <t>Приложение № 2</t>
        </is>
      </c>
      <c r="K3" s="217" t="n"/>
    </row>
    <row r="4">
      <c r="B4" s="214" t="inlineStr">
        <is>
          <t>Расчет стоимости основных видов работ для выбора объекта-представителя</t>
        </is>
      </c>
    </row>
    <row r="5">
      <c r="B5" s="161" t="n"/>
      <c r="C5" s="161" t="n"/>
      <c r="D5" s="161" t="n"/>
      <c r="E5" s="161" t="n"/>
      <c r="F5" s="161" t="n"/>
      <c r="G5" s="161" t="n"/>
      <c r="H5" s="161" t="n"/>
      <c r="I5" s="161" t="n"/>
      <c r="J5" s="161" t="n"/>
      <c r="K5" s="161" t="n"/>
    </row>
    <row r="6" ht="29.25" customHeight="1">
      <c r="B6" s="216">
        <f>'Прил.1 Сравнит табл'!B7:D7</f>
        <v/>
      </c>
    </row>
    <row r="7">
      <c r="B7" s="216">
        <f>'Прил.1 Сравнит табл'!B9:D9</f>
        <v/>
      </c>
    </row>
    <row r="8" ht="18.75" customHeight="1">
      <c r="B8" s="132" t="n"/>
    </row>
    <row r="9" ht="15.75" customHeight="1">
      <c r="B9" s="223" t="inlineStr">
        <is>
          <t>№ п/п</t>
        </is>
      </c>
      <c r="C9" s="22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3" t="inlineStr">
        <is>
          <t>Объект-представитель 1</t>
        </is>
      </c>
      <c r="E9" s="301" t="n"/>
      <c r="F9" s="301" t="n"/>
      <c r="G9" s="301" t="n"/>
      <c r="H9" s="301" t="n"/>
      <c r="I9" s="301" t="n"/>
      <c r="J9" s="302" t="n"/>
    </row>
    <row r="10" ht="15.75" customHeight="1">
      <c r="B10" s="303" t="n"/>
      <c r="C10" s="303" t="n"/>
      <c r="D10" s="223" t="inlineStr">
        <is>
          <t>Номер сметы</t>
        </is>
      </c>
      <c r="E10" s="223" t="inlineStr">
        <is>
          <t>Наименование сметы</t>
        </is>
      </c>
      <c r="F10" s="223" t="inlineStr">
        <is>
          <t>Сметная стоимость в уровне цен 4 кв. 2016 г., тыс. руб.</t>
        </is>
      </c>
      <c r="G10" s="301" t="n"/>
      <c r="H10" s="301" t="n"/>
      <c r="I10" s="301" t="n"/>
      <c r="J10" s="302" t="n"/>
    </row>
    <row r="11" ht="31.5" customHeight="1">
      <c r="B11" s="304" t="n"/>
      <c r="C11" s="304" t="n"/>
      <c r="D11" s="304" t="n"/>
      <c r="E11" s="304" t="n"/>
      <c r="F11" s="224" t="inlineStr">
        <is>
          <t>Строительные работы</t>
        </is>
      </c>
      <c r="G11" s="224" t="inlineStr">
        <is>
          <t>Монтажные работы</t>
        </is>
      </c>
      <c r="H11" s="224" t="inlineStr">
        <is>
          <t>Оборудование</t>
        </is>
      </c>
      <c r="I11" s="224" t="inlineStr">
        <is>
          <t>Прочее</t>
        </is>
      </c>
      <c r="J11" s="224" t="inlineStr">
        <is>
          <t>Всего</t>
        </is>
      </c>
    </row>
    <row r="12" ht="47.25" customHeight="1">
      <c r="B12" s="223" t="n">
        <v>1</v>
      </c>
      <c r="C12" s="223" t="inlineStr">
        <is>
          <t xml:space="preserve">Площадь 101 кв.м
Тип фундамента - поверхностная монолитная железобетонная плитка </t>
        </is>
      </c>
      <c r="D12" s="201" t="inlineStr">
        <is>
          <t xml:space="preserve">02-12-01 </t>
        </is>
      </c>
      <c r="E12" s="202" t="inlineStr">
        <is>
          <t>Общестроительные работы по ПС 35кВ №705</t>
        </is>
      </c>
      <c r="F12" s="203">
        <f>215.77*7.14</f>
        <v/>
      </c>
      <c r="G12" s="203" t="n"/>
      <c r="H12" s="203" t="n"/>
      <c r="I12" s="203" t="n"/>
      <c r="J12" s="203">
        <f>SUM(F12:I12)</f>
        <v/>
      </c>
    </row>
    <row r="13" ht="47.25" customHeight="1">
      <c r="B13" s="303" t="n"/>
      <c r="C13" s="303" t="n"/>
      <c r="D13" s="201" t="inlineStr">
        <is>
          <t xml:space="preserve">02-13-01 </t>
        </is>
      </c>
      <c r="E13" s="202" t="inlineStr">
        <is>
          <t>Строительно-монтажные работы КЛ 10кВ от ПС 705</t>
        </is>
      </c>
      <c r="F13" s="203">
        <f>637.39*7.14</f>
        <v/>
      </c>
      <c r="G13" s="203">
        <f>8414.27*7.14</f>
        <v/>
      </c>
      <c r="H13" s="203" t="n"/>
      <c r="I13" s="203" t="n"/>
      <c r="J13" s="203">
        <f>SUM(F13:I13)</f>
        <v/>
      </c>
    </row>
    <row r="14" ht="47.25" customHeight="1">
      <c r="B14" s="303" t="n"/>
      <c r="C14" s="303" t="n"/>
      <c r="D14" s="201" t="inlineStr">
        <is>
          <t>02-14-01</t>
        </is>
      </c>
      <c r="E14" s="202" t="inlineStr">
        <is>
          <t>ЭТР, основное оборудование ПС 35кВ №705</t>
        </is>
      </c>
      <c r="F14" s="203">
        <f>5.58*7.14</f>
        <v/>
      </c>
      <c r="G14" s="203">
        <f>711.17*7.14</f>
        <v/>
      </c>
      <c r="H14" s="203">
        <f>37302.73*4.28</f>
        <v/>
      </c>
      <c r="I14" s="203" t="n"/>
      <c r="J14" s="203">
        <f>SUM(F14:I14)</f>
        <v/>
      </c>
    </row>
    <row r="15">
      <c r="B15" s="303" t="n"/>
      <c r="C15" s="303" t="n"/>
      <c r="D15" s="201" t="inlineStr">
        <is>
          <t>02-15-01</t>
        </is>
      </c>
      <c r="E15" s="202" t="inlineStr">
        <is>
          <t>РЗА на ПС №705</t>
        </is>
      </c>
      <c r="F15" s="203" t="n"/>
      <c r="G15" s="203">
        <f>111.78*7.14</f>
        <v/>
      </c>
      <c r="H15" s="203">
        <f>683.09*4.28</f>
        <v/>
      </c>
      <c r="I15" s="203" t="n"/>
      <c r="J15" s="203">
        <f>SUM(F15:I15)</f>
        <v/>
      </c>
    </row>
    <row r="16" ht="31.5" customHeight="1">
      <c r="B16" s="303" t="n"/>
      <c r="C16" s="303" t="n"/>
      <c r="D16" s="201" t="inlineStr">
        <is>
          <t>02-16-01</t>
        </is>
      </c>
      <c r="E16" s="202" t="inlineStr">
        <is>
          <t>Система вентиляция на ПС №705</t>
        </is>
      </c>
      <c r="F16" s="203">
        <f>41.11*7.14</f>
        <v/>
      </c>
      <c r="G16" s="203" t="n"/>
      <c r="H16" s="203" t="n"/>
      <c r="I16" s="203" t="n"/>
      <c r="J16" s="203">
        <f>SUM(F16:I16)</f>
        <v/>
      </c>
    </row>
    <row r="17" ht="31.5" customHeight="1">
      <c r="B17" s="303" t="n"/>
      <c r="C17" s="303" t="n"/>
      <c r="D17" s="201" t="inlineStr">
        <is>
          <t>02-17-01</t>
        </is>
      </c>
      <c r="E17" s="202" t="inlineStr">
        <is>
          <t>Система телемеханики для ПС №705</t>
        </is>
      </c>
      <c r="F17" s="203" t="n"/>
      <c r="G17" s="203">
        <f>54.31*7.14</f>
        <v/>
      </c>
      <c r="H17" s="203">
        <f>2897.86*4.28</f>
        <v/>
      </c>
      <c r="I17" s="203" t="n"/>
      <c r="J17" s="203">
        <f>SUM(F17:I17)</f>
        <v/>
      </c>
    </row>
    <row r="18" ht="47.25" customHeight="1">
      <c r="B18" s="303" t="n"/>
      <c r="C18" s="303" t="n"/>
      <c r="D18" s="201" t="inlineStr">
        <is>
          <t>05-04-02</t>
        </is>
      </c>
      <c r="E18" s="202" t="inlineStr">
        <is>
          <t>Охранно-пожарная сигнализация для ПС №705</t>
        </is>
      </c>
      <c r="F18" s="203">
        <f>49.85*7.14</f>
        <v/>
      </c>
      <c r="G18" s="203">
        <f>506.03*7.14</f>
        <v/>
      </c>
      <c r="H18" s="203" t="n"/>
      <c r="I18" s="203" t="n"/>
      <c r="J18" s="203">
        <f>SUM(F18:I18)</f>
        <v/>
      </c>
    </row>
    <row r="19" ht="31.5" customHeight="1">
      <c r="B19" s="303" t="n"/>
      <c r="C19" s="303" t="n"/>
      <c r="D19" s="201" t="inlineStr">
        <is>
          <t>06-01-02</t>
        </is>
      </c>
      <c r="E19" s="202" t="inlineStr">
        <is>
          <t>Водоотведение (ливневка) ПС №705</t>
        </is>
      </c>
      <c r="F19" s="203">
        <f>153.79*7.14</f>
        <v/>
      </c>
      <c r="G19" s="203">
        <f>53.75*7.14</f>
        <v/>
      </c>
      <c r="H19" s="203">
        <f>690.7*4.28</f>
        <v/>
      </c>
      <c r="I19" s="203" t="n"/>
      <c r="J19" s="203">
        <f>SUM(F19:I19)</f>
        <v/>
      </c>
    </row>
    <row r="20" ht="31.5" customHeight="1">
      <c r="B20" s="303" t="n"/>
      <c r="C20" s="303" t="n"/>
      <c r="D20" s="201" t="inlineStr">
        <is>
          <t>07-02-01</t>
        </is>
      </c>
      <c r="E20" s="202" t="inlineStr">
        <is>
          <t xml:space="preserve"> Благоустройство КЛ 10кВ</t>
        </is>
      </c>
      <c r="F20" s="203">
        <f>257.38*7.14</f>
        <v/>
      </c>
      <c r="G20" s="203" t="n"/>
      <c r="H20" s="203" t="n"/>
      <c r="I20" s="203" t="n"/>
      <c r="J20" s="203">
        <f>SUM(F20:I20)</f>
        <v/>
      </c>
    </row>
    <row r="21" ht="31.5" customHeight="1">
      <c r="B21" s="304" t="n"/>
      <c r="C21" s="304" t="n"/>
      <c r="D21" s="201" t="inlineStr">
        <is>
          <t>07-02-02</t>
        </is>
      </c>
      <c r="E21" s="202" t="inlineStr">
        <is>
          <t>Благоустройство ПС 705</t>
        </is>
      </c>
      <c r="F21" s="203">
        <f>277.9*7.14</f>
        <v/>
      </c>
      <c r="G21" s="203" t="n"/>
      <c r="H21" s="203" t="n"/>
      <c r="I21" s="203" t="n"/>
      <c r="J21" s="203">
        <f>SUM(F21:I21)</f>
        <v/>
      </c>
    </row>
    <row r="22" ht="15.75" customHeight="1">
      <c r="B22" s="225" t="inlineStr">
        <is>
          <t>Всего по объекту:</t>
        </is>
      </c>
      <c r="C22" s="305" t="n"/>
      <c r="D22" s="305" t="n"/>
      <c r="E22" s="306" t="n"/>
      <c r="F22" s="204">
        <f>SUM(F12:F21)</f>
        <v/>
      </c>
      <c r="G22" s="204">
        <f>SUM(G12:G21)</f>
        <v/>
      </c>
      <c r="H22" s="204">
        <f>SUM(H12:H21)</f>
        <v/>
      </c>
      <c r="I22" s="204">
        <f>SUM(I12:I21)</f>
        <v/>
      </c>
      <c r="J22" s="204">
        <f>SUM(F22:I22)</f>
        <v/>
      </c>
    </row>
    <row r="23" ht="15.75" customHeight="1">
      <c r="B23" s="222" t="inlineStr">
        <is>
          <t>Всего по объекту в сопоставимом уровне цен 4 кв. 2016 г:</t>
        </is>
      </c>
      <c r="C23" s="301" t="n"/>
      <c r="D23" s="301" t="n"/>
      <c r="E23" s="302" t="n"/>
      <c r="F23" s="205">
        <f>F22</f>
        <v/>
      </c>
      <c r="G23" s="205">
        <f>G22</f>
        <v/>
      </c>
      <c r="H23" s="205">
        <f>H22</f>
        <v/>
      </c>
      <c r="I23" s="205">
        <f>I22</f>
        <v/>
      </c>
      <c r="J23" s="205">
        <f>SUM(F23:I23)</f>
        <v/>
      </c>
    </row>
    <row r="24" ht="15" customHeight="1"/>
    <row r="25" ht="15" customHeight="1"/>
    <row r="26" ht="15" customHeight="1"/>
    <row r="27" ht="15" customHeight="1">
      <c r="C27" s="4" t="inlineStr">
        <is>
          <t>Составил ______________________     Д.Ю. Нефедова</t>
        </is>
      </c>
      <c r="D27" s="12" t="n"/>
      <c r="E27" s="12" t="n"/>
    </row>
    <row r="28" ht="15" customHeight="1">
      <c r="C28" s="33" t="inlineStr">
        <is>
          <t xml:space="preserve">                         (подпись, инициалы, фамилия)</t>
        </is>
      </c>
      <c r="D28" s="12" t="n"/>
      <c r="E28" s="12" t="n"/>
    </row>
    <row r="29" ht="15" customHeight="1">
      <c r="C29" s="4" t="n"/>
      <c r="D29" s="12" t="n"/>
      <c r="E29" s="12" t="n"/>
    </row>
    <row r="30" ht="15" customHeight="1">
      <c r="C30" s="4" t="inlineStr">
        <is>
          <t>Проверил ______________________        А.В. Костянецкая</t>
        </is>
      </c>
      <c r="D30" s="12" t="n"/>
      <c r="E30" s="12" t="n"/>
    </row>
    <row r="31" ht="15" customHeight="1">
      <c r="C31" s="33" t="inlineStr">
        <is>
          <t xml:space="preserve">                        (подпись, инициалы, фамилия)</t>
        </is>
      </c>
      <c r="D31" s="12" t="n"/>
      <c r="E31" s="12" t="n"/>
    </row>
    <row r="32" ht="15" customHeight="1"/>
    <row r="33" ht="15" customHeight="1"/>
    <row r="34" ht="15" customHeight="1"/>
    <row r="35" ht="15" customHeight="1"/>
    <row r="36" ht="15" customHeight="1"/>
    <row r="37" ht="15" customHeight="1"/>
  </sheetData>
  <mergeCells count="14">
    <mergeCell ref="B23:E23"/>
    <mergeCell ref="C12:C21"/>
    <mergeCell ref="B3:J3"/>
    <mergeCell ref="D10:D11"/>
    <mergeCell ref="B4:K4"/>
    <mergeCell ref="D9:J9"/>
    <mergeCell ref="F10:J10"/>
    <mergeCell ref="B12:B21"/>
    <mergeCell ref="B7:K7"/>
    <mergeCell ref="B9:B11"/>
    <mergeCell ref="B6:K6"/>
    <mergeCell ref="E10:E11"/>
    <mergeCell ref="C9:C11"/>
    <mergeCell ref="B22:E22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3:L279"/>
  <sheetViews>
    <sheetView view="pageBreakPreview" topLeftCell="A238" zoomScale="55" zoomScaleSheetLayoutView="55" workbookViewId="0">
      <selection activeCell="F280" sqref="F280"/>
    </sheetView>
  </sheetViews>
  <sheetFormatPr baseColWidth="8" defaultColWidth="9.140625" defaultRowHeight="15.75"/>
  <cols>
    <col width="9.140625" customWidth="1" style="117" min="1" max="1"/>
    <col width="12.5703125" customWidth="1" style="117" min="2" max="2"/>
    <col width="22.42578125" customWidth="1" style="117" min="3" max="3"/>
    <col width="49.7109375" customWidth="1" style="117" min="4" max="4"/>
    <col width="10.140625" customWidth="1" style="117" min="5" max="5"/>
    <col width="20.7109375" customWidth="1" style="117" min="6" max="6"/>
    <col width="20" customWidth="1" style="117" min="7" max="7"/>
    <col width="18.7109375" customWidth="1" style="117" min="8" max="8"/>
    <col hidden="1" width="13" customWidth="1" style="117" min="9" max="9"/>
    <col hidden="1" width="12.140625" customWidth="1" style="117" min="10" max="10"/>
    <col width="15" customWidth="1" style="117" min="11" max="11"/>
    <col width="9.140625" customWidth="1" style="117" min="12" max="12"/>
  </cols>
  <sheetData>
    <row r="3">
      <c r="A3" s="213" t="inlineStr">
        <is>
          <t xml:space="preserve">Приложение № 3 </t>
        </is>
      </c>
    </row>
    <row r="4">
      <c r="A4" s="214" t="inlineStr">
        <is>
          <t>Объектная ресурсная ведомость</t>
        </is>
      </c>
    </row>
    <row r="5" ht="18.75" customHeight="1">
      <c r="A5" s="148" t="n"/>
      <c r="B5" s="148" t="n"/>
      <c r="C5" s="23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216" t="n"/>
    </row>
    <row r="7">
      <c r="A7" s="230" t="inlineStr">
        <is>
          <t>Наименование разрабатываемого показателя УНЦ -  Здания ЗПС 35 кВ</t>
        </is>
      </c>
    </row>
    <row r="8">
      <c r="A8" s="230" t="n"/>
      <c r="B8" s="230" t="n"/>
      <c r="C8" s="230" t="n"/>
      <c r="D8" s="230" t="n"/>
      <c r="E8" s="230" t="n"/>
      <c r="F8" s="230" t="n"/>
      <c r="G8" s="230" t="n"/>
      <c r="H8" s="230" t="n"/>
    </row>
    <row r="9" ht="38.25" customHeight="1">
      <c r="A9" s="223" t="inlineStr">
        <is>
          <t>п/п</t>
        </is>
      </c>
      <c r="B9" s="223" t="inlineStr">
        <is>
          <t>№ЛСР</t>
        </is>
      </c>
      <c r="C9" s="223" t="inlineStr">
        <is>
          <t>Код ресурса</t>
        </is>
      </c>
      <c r="D9" s="223" t="inlineStr">
        <is>
          <t>Наименование ресурса</t>
        </is>
      </c>
      <c r="E9" s="223" t="inlineStr">
        <is>
          <t>Ед. изм.</t>
        </is>
      </c>
      <c r="F9" s="223" t="inlineStr">
        <is>
          <t>Кол-во единиц по данным объекта-представителя</t>
        </is>
      </c>
      <c r="G9" s="223" t="inlineStr">
        <is>
          <t>Сметная стоимость в ценах на 01.01.2000 (руб.)</t>
        </is>
      </c>
      <c r="H9" s="302" t="n"/>
    </row>
    <row r="10" ht="40.5" customHeight="1">
      <c r="A10" s="304" t="n"/>
      <c r="B10" s="304" t="n"/>
      <c r="C10" s="304" t="n"/>
      <c r="D10" s="304" t="n"/>
      <c r="E10" s="304" t="n"/>
      <c r="F10" s="304" t="n"/>
      <c r="G10" s="223" t="inlineStr">
        <is>
          <t>на ед.изм.</t>
        </is>
      </c>
      <c r="H10" s="223" t="inlineStr">
        <is>
          <t>общая</t>
        </is>
      </c>
    </row>
    <row r="11">
      <c r="A11" s="224" t="n">
        <v>1</v>
      </c>
      <c r="B11" s="224" t="n"/>
      <c r="C11" s="224" t="n">
        <v>2</v>
      </c>
      <c r="D11" s="224" t="inlineStr">
        <is>
          <t>З</t>
        </is>
      </c>
      <c r="E11" s="224" t="n">
        <v>4</v>
      </c>
      <c r="F11" s="224" t="n">
        <v>5</v>
      </c>
      <c r="G11" s="224" t="n">
        <v>6</v>
      </c>
      <c r="H11" s="224" t="n">
        <v>7</v>
      </c>
    </row>
    <row r="12" customFormat="1" s="153">
      <c r="A12" s="227" t="inlineStr">
        <is>
          <t>Затраты труда рабочих</t>
        </is>
      </c>
      <c r="B12" s="301" t="n"/>
      <c r="C12" s="301" t="n"/>
      <c r="D12" s="301" t="n"/>
      <c r="E12" s="302" t="n"/>
      <c r="F12" s="152">
        <f>SUM(F13:F29)</f>
        <v/>
      </c>
      <c r="G12" s="10" t="n"/>
      <c r="H12" s="152">
        <f>SUM(H13:H29)</f>
        <v/>
      </c>
    </row>
    <row r="13">
      <c r="A13" s="154" t="n">
        <v>1</v>
      </c>
      <c r="B13" s="155" t="n"/>
      <c r="C13" s="156" t="inlineStr">
        <is>
          <t>1-3-5</t>
        </is>
      </c>
      <c r="D13" s="157" t="inlineStr">
        <is>
          <t>Затраты труда рабочих (средний разряд работы 3,5)</t>
        </is>
      </c>
      <c r="E13" s="256" t="inlineStr">
        <is>
          <t>чел.-ч</t>
        </is>
      </c>
      <c r="F13" s="159" t="n">
        <v>1270.17359</v>
      </c>
      <c r="G13" s="160" t="n">
        <v>9.07</v>
      </c>
      <c r="H13" s="160">
        <f>ROUND(F13*G13,2)</f>
        <v/>
      </c>
      <c r="I13" s="161" t="n">
        <v>3.5</v>
      </c>
      <c r="J13" s="117">
        <f>I13*F13</f>
        <v/>
      </c>
    </row>
    <row r="14">
      <c r="A14" s="154" t="n">
        <v>2</v>
      </c>
      <c r="B14" s="155" t="n"/>
      <c r="C14" s="156" t="inlineStr">
        <is>
          <t>1-3-8</t>
        </is>
      </c>
      <c r="D14" s="157" t="inlineStr">
        <is>
          <t>Затраты труда рабочих (средний разряд работы 3,8)</t>
        </is>
      </c>
      <c r="E14" s="256" t="inlineStr">
        <is>
          <t>чел.-ч</t>
        </is>
      </c>
      <c r="F14" s="159" t="n">
        <v>537.6404</v>
      </c>
      <c r="G14" s="160" t="n">
        <v>9.4</v>
      </c>
      <c r="H14" s="160">
        <f>ROUND(F14*G14,2)</f>
        <v/>
      </c>
      <c r="I14" s="161" t="n">
        <v>3.8</v>
      </c>
      <c r="J14" s="117">
        <f>I14*F14</f>
        <v/>
      </c>
    </row>
    <row r="15">
      <c r="A15" s="154" t="n">
        <v>3</v>
      </c>
      <c r="B15" s="155" t="n"/>
      <c r="C15" s="156" t="inlineStr">
        <is>
          <t>1-4-0</t>
        </is>
      </c>
      <c r="D15" s="157" t="inlineStr">
        <is>
          <t>Затраты труда рабочих (средний разряд работы 4,0)</t>
        </is>
      </c>
      <c r="E15" s="256" t="inlineStr">
        <is>
          <t>чел.-ч</t>
        </is>
      </c>
      <c r="F15" s="159" t="n">
        <v>265.01345</v>
      </c>
      <c r="G15" s="160" t="n">
        <v>9.619999999999999</v>
      </c>
      <c r="H15" s="160">
        <f>ROUND(F15*G15,2)</f>
        <v/>
      </c>
      <c r="I15" s="161" t="n">
        <v>4</v>
      </c>
      <c r="J15" s="117">
        <f>I15*F15</f>
        <v/>
      </c>
    </row>
    <row r="16">
      <c r="A16" s="154" t="n">
        <v>4</v>
      </c>
      <c r="B16" s="155" t="n"/>
      <c r="C16" s="156" t="inlineStr">
        <is>
          <t>1-3-0</t>
        </is>
      </c>
      <c r="D16" s="157" t="inlineStr">
        <is>
          <t>Затраты труда рабочих (средний разряд работы 3,0)</t>
        </is>
      </c>
      <c r="E16" s="256" t="inlineStr">
        <is>
          <t>чел.-ч</t>
        </is>
      </c>
      <c r="F16" s="159" t="n">
        <v>190.09903</v>
      </c>
      <c r="G16" s="160" t="n">
        <v>8.529999999999999</v>
      </c>
      <c r="H16" s="160">
        <f>ROUND(F16*G16,2)</f>
        <v/>
      </c>
      <c r="I16" s="161" t="n">
        <v>3</v>
      </c>
      <c r="J16" s="117">
        <f>I16*F16</f>
        <v/>
      </c>
    </row>
    <row r="17">
      <c r="A17" s="154" t="n">
        <v>5</v>
      </c>
      <c r="B17" s="155" t="n"/>
      <c r="C17" s="156" t="inlineStr">
        <is>
          <t>1-3-2</t>
        </is>
      </c>
      <c r="D17" s="157" t="inlineStr">
        <is>
          <t>Затраты труда рабочих (средний разряд работы 3,2)</t>
        </is>
      </c>
      <c r="E17" s="256" t="inlineStr">
        <is>
          <t>чел.-ч</t>
        </is>
      </c>
      <c r="F17" s="159" t="n">
        <v>180.373428</v>
      </c>
      <c r="G17" s="160" t="n">
        <v>8.74</v>
      </c>
      <c r="H17" s="160">
        <f>ROUND(F17*G17,2)</f>
        <v/>
      </c>
      <c r="I17" s="161" t="n">
        <v>3.2</v>
      </c>
      <c r="J17" s="117">
        <f>I17*F17</f>
        <v/>
      </c>
    </row>
    <row r="18">
      <c r="A18" s="154" t="n">
        <v>6</v>
      </c>
      <c r="B18" s="155" t="n"/>
      <c r="C18" s="156" t="inlineStr">
        <is>
          <t>1-4-4</t>
        </is>
      </c>
      <c r="D18" s="157" t="inlineStr">
        <is>
          <t>Затраты труда рабочих (средний разряд работы 4,4)</t>
        </is>
      </c>
      <c r="E18" s="256" t="inlineStr">
        <is>
          <t>чел.-ч</t>
        </is>
      </c>
      <c r="F18" s="159" t="n">
        <v>120.128</v>
      </c>
      <c r="G18" s="160" t="n">
        <v>10.21</v>
      </c>
      <c r="H18" s="160">
        <f>ROUND(F18*G18,2)</f>
        <v/>
      </c>
      <c r="I18" s="161" t="n">
        <v>4.4</v>
      </c>
      <c r="J18" s="117">
        <f>I18*F18</f>
        <v/>
      </c>
    </row>
    <row r="19">
      <c r="A19" s="154" t="n">
        <v>7</v>
      </c>
      <c r="B19" s="155" t="n"/>
      <c r="C19" s="156" t="inlineStr">
        <is>
          <t>1-4-2</t>
        </is>
      </c>
      <c r="D19" s="157" t="inlineStr">
        <is>
          <t>Затраты труда рабочих (средний разряд работы 4,2)</t>
        </is>
      </c>
      <c r="E19" s="256" t="inlineStr">
        <is>
          <t>чел.-ч</t>
        </is>
      </c>
      <c r="F19" s="159" t="n">
        <v>100.816</v>
      </c>
      <c r="G19" s="160" t="n">
        <v>9.92</v>
      </c>
      <c r="H19" s="160">
        <f>ROUND(F19*G19,2)</f>
        <v/>
      </c>
      <c r="I19" s="161" t="n">
        <v>4.2</v>
      </c>
      <c r="J19" s="117">
        <f>I19*F19</f>
        <v/>
      </c>
    </row>
    <row r="20">
      <c r="A20" s="154" t="n">
        <v>8</v>
      </c>
      <c r="B20" s="155" t="n"/>
      <c r="C20" s="156" t="inlineStr">
        <is>
          <t>1-3-3</t>
        </is>
      </c>
      <c r="D20" s="157" t="inlineStr">
        <is>
          <t>Затраты труда рабочих (средний разряд работы 3,3)</t>
        </is>
      </c>
      <c r="E20" s="256" t="inlineStr">
        <is>
          <t>чел.-ч</t>
        </is>
      </c>
      <c r="F20" s="159" t="n">
        <v>74.49984000000001</v>
      </c>
      <c r="G20" s="160" t="n">
        <v>8.859999999999999</v>
      </c>
      <c r="H20" s="160">
        <f>ROUND(F20*G20,2)</f>
        <v/>
      </c>
      <c r="I20" s="161" t="n">
        <v>3.3</v>
      </c>
      <c r="J20" s="117">
        <f>I20*F20</f>
        <v/>
      </c>
    </row>
    <row r="21">
      <c r="A21" s="154" t="n">
        <v>9</v>
      </c>
      <c r="B21" s="155" t="n"/>
      <c r="C21" s="156" t="inlineStr">
        <is>
          <t>1-3-4</t>
        </is>
      </c>
      <c r="D21" s="157" t="inlineStr">
        <is>
          <t>Затраты труда рабочих (средний разряд работы 3,4)</t>
        </is>
      </c>
      <c r="E21" s="256" t="inlineStr">
        <is>
          <t>чел.-ч</t>
        </is>
      </c>
      <c r="F21" s="159" t="n">
        <v>60.38432</v>
      </c>
      <c r="G21" s="160" t="n">
        <v>8.970000000000001</v>
      </c>
      <c r="H21" s="160">
        <f>ROUND(F21*G21,2)</f>
        <v/>
      </c>
      <c r="I21" s="161" t="n">
        <v>3.4</v>
      </c>
      <c r="J21" s="117">
        <f>I21*F21</f>
        <v/>
      </c>
    </row>
    <row r="22">
      <c r="A22" s="154" t="n">
        <v>10</v>
      </c>
      <c r="B22" s="155" t="n"/>
      <c r="C22" s="156" t="inlineStr">
        <is>
          <t>1-2-0</t>
        </is>
      </c>
      <c r="D22" s="157" t="inlineStr">
        <is>
          <t>Затраты труда рабочих (средний разряд работы 2,0)</t>
        </is>
      </c>
      <c r="E22" s="256" t="inlineStr">
        <is>
          <t>чел.-ч</t>
        </is>
      </c>
      <c r="F22" s="159" t="n">
        <v>68.11199999999999</v>
      </c>
      <c r="G22" s="160" t="n">
        <v>7.8</v>
      </c>
      <c r="H22" s="160">
        <f>ROUND(F22*G22,2)</f>
        <v/>
      </c>
      <c r="I22" s="161" t="n">
        <v>2</v>
      </c>
      <c r="J22" s="117">
        <f>I22*F22</f>
        <v/>
      </c>
    </row>
    <row r="23">
      <c r="A23" s="154" t="n">
        <v>11</v>
      </c>
      <c r="B23" s="155" t="n"/>
      <c r="C23" s="156" t="inlineStr">
        <is>
          <t>1-2-9</t>
        </is>
      </c>
      <c r="D23" s="157" t="inlineStr">
        <is>
          <t>Затраты труда рабочих (средний разряд работы 2,9)</t>
        </is>
      </c>
      <c r="E23" s="256" t="inlineStr">
        <is>
          <t>чел.-ч</t>
        </is>
      </c>
      <c r="F23" s="159" t="n">
        <v>47.1696</v>
      </c>
      <c r="G23" s="160" t="n">
        <v>8.460000000000001</v>
      </c>
      <c r="H23" s="160">
        <f>ROUND(F23*G23,2)</f>
        <v/>
      </c>
      <c r="I23" s="161" t="n">
        <v>2.9</v>
      </c>
      <c r="J23" s="117">
        <f>I23*F23</f>
        <v/>
      </c>
    </row>
    <row r="24">
      <c r="A24" s="154" t="n">
        <v>12</v>
      </c>
      <c r="B24" s="155" t="n"/>
      <c r="C24" s="156" t="inlineStr">
        <is>
          <t>1-2-5</t>
        </is>
      </c>
      <c r="D24" s="157" t="inlineStr">
        <is>
          <t>Затраты труда рабочих (средний разряд работы 2,5)</t>
        </is>
      </c>
      <c r="E24" s="256" t="inlineStr">
        <is>
          <t>чел.-ч</t>
        </is>
      </c>
      <c r="F24" s="159" t="n">
        <v>48.18</v>
      </c>
      <c r="G24" s="160" t="n">
        <v>8.17</v>
      </c>
      <c r="H24" s="160">
        <f>ROUND(F24*G24,2)</f>
        <v/>
      </c>
      <c r="I24" s="161" t="n">
        <v>2.5</v>
      </c>
      <c r="J24" s="117">
        <f>I24*F24</f>
        <v/>
      </c>
    </row>
    <row r="25">
      <c r="A25" s="154" t="n">
        <v>13</v>
      </c>
      <c r="B25" s="155" t="n"/>
      <c r="C25" s="156" t="inlineStr">
        <is>
          <t>1-4-7</t>
        </is>
      </c>
      <c r="D25" s="157" t="inlineStr">
        <is>
          <t>Затраты труда рабочих (средний разряд работы 4,7)</t>
        </is>
      </c>
      <c r="E25" s="256" t="inlineStr">
        <is>
          <t>чел.-ч</t>
        </is>
      </c>
      <c r="F25" s="159" t="n">
        <v>30.35727</v>
      </c>
      <c r="G25" s="160" t="n">
        <v>10.65</v>
      </c>
      <c r="H25" s="160">
        <f>ROUND(F25*G25,2)</f>
        <v/>
      </c>
      <c r="I25" s="161" t="n">
        <v>4.7</v>
      </c>
      <c r="J25" s="117">
        <f>I25*F25</f>
        <v/>
      </c>
    </row>
    <row r="26">
      <c r="A26" s="154" t="n">
        <v>14</v>
      </c>
      <c r="B26" s="155" t="n"/>
      <c r="C26" s="156" t="inlineStr">
        <is>
          <t>1-4-9</t>
        </is>
      </c>
      <c r="D26" s="157" t="inlineStr">
        <is>
          <t>Затраты труда рабочих (средний разряд работы 4,9)</t>
        </is>
      </c>
      <c r="E26" s="256" t="inlineStr">
        <is>
          <t>чел.-ч</t>
        </is>
      </c>
      <c r="F26" s="159" t="n">
        <v>24.94725</v>
      </c>
      <c r="G26" s="160" t="n">
        <v>10.94</v>
      </c>
      <c r="H26" s="160">
        <f>ROUND(F26*G26,2)</f>
        <v/>
      </c>
      <c r="I26" s="161" t="n">
        <v>4.9</v>
      </c>
      <c r="J26" s="117">
        <f>I26*F26</f>
        <v/>
      </c>
    </row>
    <row r="27">
      <c r="A27" s="154" t="n">
        <v>15</v>
      </c>
      <c r="B27" s="155" t="n"/>
      <c r="C27" s="156" t="inlineStr">
        <is>
          <t>1-3-6</t>
        </is>
      </c>
      <c r="D27" s="157" t="inlineStr">
        <is>
          <t>Затраты труда рабочих (средний разряд работы 3,6)</t>
        </is>
      </c>
      <c r="E27" s="256" t="inlineStr">
        <is>
          <t>чел.-ч</t>
        </is>
      </c>
      <c r="F27" s="159" t="n">
        <v>28.269</v>
      </c>
      <c r="G27" s="160" t="n">
        <v>9.18</v>
      </c>
      <c r="H27" s="160">
        <f>ROUND(F27*G27,2)</f>
        <v/>
      </c>
      <c r="I27" s="161" t="n">
        <v>3.6</v>
      </c>
      <c r="J27" s="117">
        <f>I27*F27</f>
        <v/>
      </c>
    </row>
    <row r="28">
      <c r="A28" s="154" t="n">
        <v>16</v>
      </c>
      <c r="B28" s="155" t="n"/>
      <c r="C28" s="156" t="inlineStr">
        <is>
          <t>1-4-1</t>
        </is>
      </c>
      <c r="D28" s="157" t="inlineStr">
        <is>
          <t>Затраты труда рабочих (средний разряд работы 4,1)</t>
        </is>
      </c>
      <c r="E28" s="256" t="inlineStr">
        <is>
          <t>чел.-ч</t>
        </is>
      </c>
      <c r="F28" s="159" t="n">
        <v>19</v>
      </c>
      <c r="G28" s="160" t="n">
        <v>9.76</v>
      </c>
      <c r="H28" s="160">
        <f>ROUND(F28*G28,2)</f>
        <v/>
      </c>
      <c r="I28" s="161" t="n">
        <v>4.1</v>
      </c>
      <c r="J28" s="117">
        <f>I28*F28</f>
        <v/>
      </c>
    </row>
    <row r="29">
      <c r="A29" s="154" t="n">
        <v>17</v>
      </c>
      <c r="B29" s="155" t="n"/>
      <c r="C29" s="156" t="inlineStr">
        <is>
          <t>1-2-8</t>
        </is>
      </c>
      <c r="D29" s="157" t="inlineStr">
        <is>
          <t>Затраты труда рабочих (средний разряд работы 2,8)</t>
        </is>
      </c>
      <c r="E29" s="256" t="inlineStr">
        <is>
          <t>чел.-ч</t>
        </is>
      </c>
      <c r="F29" s="159" t="n">
        <v>1.14</v>
      </c>
      <c r="G29" s="160" t="n">
        <v>8.380000000000001</v>
      </c>
      <c r="H29" s="160">
        <f>ROUND(F29*G29,2)</f>
        <v/>
      </c>
      <c r="I29" s="161" t="n">
        <v>2.8</v>
      </c>
      <c r="J29" s="117">
        <f>I29*F29</f>
        <v/>
      </c>
    </row>
    <row r="30">
      <c r="A30" s="226" t="inlineStr">
        <is>
          <t>Затраты труда машинистов</t>
        </is>
      </c>
      <c r="B30" s="301" t="n"/>
      <c r="C30" s="301" t="n"/>
      <c r="D30" s="301" t="n"/>
      <c r="E30" s="302" t="n"/>
      <c r="F30" s="227" t="n"/>
      <c r="G30" s="163" t="n"/>
      <c r="H30" s="152">
        <f>H31</f>
        <v/>
      </c>
    </row>
    <row r="31">
      <c r="A31" s="256" t="n">
        <v>18</v>
      </c>
      <c r="B31" s="228" t="n"/>
      <c r="C31" s="156" t="n">
        <v>2</v>
      </c>
      <c r="D31" s="157" t="inlineStr">
        <is>
          <t>Затраты труда машинистов</t>
        </is>
      </c>
      <c r="E31" s="256" t="inlineStr">
        <is>
          <t>чел.-ч</t>
        </is>
      </c>
      <c r="F31" s="156" t="inlineStr">
        <is>
          <t>239,02</t>
        </is>
      </c>
      <c r="G31" s="165" t="n"/>
      <c r="H31" s="166" t="n">
        <v>2898.35</v>
      </c>
      <c r="J31" s="117">
        <f>SUM(J13:J29)</f>
        <v/>
      </c>
    </row>
    <row r="32" customFormat="1" s="153">
      <c r="A32" s="227" t="inlineStr">
        <is>
          <t>Машины и механизмы</t>
        </is>
      </c>
      <c r="B32" s="301" t="n"/>
      <c r="C32" s="301" t="n"/>
      <c r="D32" s="301" t="n"/>
      <c r="E32" s="302" t="n"/>
      <c r="F32" s="227" t="n"/>
      <c r="G32" s="163" t="n"/>
      <c r="H32" s="152">
        <f>SUM(H33:H68)</f>
        <v/>
      </c>
    </row>
    <row r="33">
      <c r="A33" s="256" t="n">
        <v>19</v>
      </c>
      <c r="B33" s="228" t="n"/>
      <c r="C33" s="167" t="inlineStr">
        <is>
          <t>91.05.06-009</t>
        </is>
      </c>
      <c r="D33" s="238" t="inlineStr">
        <is>
          <t>Краны на гусеничном ходу, грузоподъемность 50-63 т</t>
        </is>
      </c>
      <c r="E33" s="239" t="inlineStr">
        <is>
          <t>маш.-ч</t>
        </is>
      </c>
      <c r="F33" s="168" t="n">
        <v>48.146</v>
      </c>
      <c r="G33" s="241" t="n">
        <v>290.01</v>
      </c>
      <c r="H33" s="160">
        <f>ROUND(F33*G33,2)</f>
        <v/>
      </c>
      <c r="I33" s="169">
        <f>H33/$H$32</f>
        <v/>
      </c>
      <c r="J33" s="170">
        <f>J31/F12</f>
        <v/>
      </c>
      <c r="L33" s="169" t="n"/>
    </row>
    <row r="34" customFormat="1" s="153">
      <c r="A34" s="256" t="n">
        <v>20</v>
      </c>
      <c r="B34" s="228" t="n"/>
      <c r="C34" s="167" t="inlineStr">
        <is>
          <t>91.14.02-001</t>
        </is>
      </c>
      <c r="D34" s="238" t="inlineStr">
        <is>
          <t>Автомобили бортовые, грузоподъемность до 5 т</t>
        </is>
      </c>
      <c r="E34" s="239" t="inlineStr">
        <is>
          <t>маш.-ч</t>
        </is>
      </c>
      <c r="F34" s="168" t="n">
        <v>45.0511225</v>
      </c>
      <c r="G34" s="241" t="n">
        <v>65.70999999999999</v>
      </c>
      <c r="H34" s="160">
        <f>ROUND(F34*G34,2)</f>
        <v/>
      </c>
      <c r="I34" s="169">
        <f>H34/$H$32</f>
        <v/>
      </c>
      <c r="L34" s="169" t="n"/>
    </row>
    <row r="35">
      <c r="A35" s="256" t="n">
        <v>21</v>
      </c>
      <c r="B35" s="228" t="n"/>
      <c r="C35" s="167" t="inlineStr">
        <is>
          <t>91.05.01-017</t>
        </is>
      </c>
      <c r="D35" s="238" t="inlineStr">
        <is>
          <t>Краны башенные, грузоподъемность 8 т</t>
        </is>
      </c>
      <c r="E35" s="239" t="inlineStr">
        <is>
          <t>маш.-ч</t>
        </is>
      </c>
      <c r="F35" s="168" t="n">
        <v>23.156875</v>
      </c>
      <c r="G35" s="241" t="n">
        <v>86.40000000000001</v>
      </c>
      <c r="H35" s="160">
        <f>ROUND(F35*G35,2)</f>
        <v/>
      </c>
      <c r="I35" s="169">
        <f>H35/$H$32</f>
        <v/>
      </c>
      <c r="L35" s="169" t="n"/>
    </row>
    <row r="36">
      <c r="A36" s="256" t="n">
        <v>22</v>
      </c>
      <c r="B36" s="228" t="n"/>
      <c r="C36" s="167" t="inlineStr">
        <is>
          <t>91.05.02-005</t>
        </is>
      </c>
      <c r="D36" s="238" t="inlineStr">
        <is>
          <t>Краны козловые, грузоподъемность 32 т</t>
        </is>
      </c>
      <c r="E36" s="239" t="inlineStr">
        <is>
          <t>маш.-ч</t>
        </is>
      </c>
      <c r="F36" s="168" t="n">
        <v>14.821125</v>
      </c>
      <c r="G36" s="241" t="n">
        <v>120.24</v>
      </c>
      <c r="H36" s="160">
        <f>ROUND(F36*G36,2)</f>
        <v/>
      </c>
      <c r="I36" s="169">
        <f>H36/$H$32</f>
        <v/>
      </c>
      <c r="L36" s="169" t="n"/>
    </row>
    <row r="37" ht="25.5" customHeight="1">
      <c r="A37" s="256" t="n">
        <v>23</v>
      </c>
      <c r="B37" s="228" t="n"/>
      <c r="C37" s="167" t="inlineStr">
        <is>
          <t>91.05.05-014</t>
        </is>
      </c>
      <c r="D37" s="238" t="inlineStr">
        <is>
          <t>Краны на автомобильном ходу, грузоподъемность 10 т</t>
        </is>
      </c>
      <c r="E37" s="239" t="inlineStr">
        <is>
          <t>маш.-ч</t>
        </is>
      </c>
      <c r="F37" s="168" t="n">
        <v>15.4404075</v>
      </c>
      <c r="G37" s="241" t="n">
        <v>111.99</v>
      </c>
      <c r="H37" s="160">
        <f>ROUND(F37*G37,2)</f>
        <v/>
      </c>
      <c r="I37" s="169">
        <f>H37/$H$32</f>
        <v/>
      </c>
      <c r="L37" s="169" t="n"/>
    </row>
    <row r="38">
      <c r="A38" s="256" t="n">
        <v>24</v>
      </c>
      <c r="B38" s="228" t="n"/>
      <c r="C38" s="167" t="inlineStr">
        <is>
          <t>91.05.06-007</t>
        </is>
      </c>
      <c r="D38" s="238" t="inlineStr">
        <is>
          <t>Краны на гусеничном ходу, грузоподъемность 25 т</t>
        </is>
      </c>
      <c r="E38" s="239" t="inlineStr">
        <is>
          <t>маш.-ч</t>
        </is>
      </c>
      <c r="F38" s="168" t="n">
        <v>12.6675</v>
      </c>
      <c r="G38" s="241" t="n">
        <v>120.04</v>
      </c>
      <c r="H38" s="160">
        <f>ROUND(F38*G38,2)</f>
        <v/>
      </c>
      <c r="I38" s="169">
        <f>H38/$H$32</f>
        <v/>
      </c>
      <c r="L38" s="169" t="n"/>
    </row>
    <row r="39">
      <c r="A39" s="256" t="n">
        <v>25</v>
      </c>
      <c r="B39" s="228" t="n"/>
      <c r="C39" s="167" t="inlineStr">
        <is>
          <t>91.06.06-042</t>
        </is>
      </c>
      <c r="D39" s="238" t="inlineStr">
        <is>
          <t>Подъемники гидравлические, высота подъема 10 м</t>
        </is>
      </c>
      <c r="E39" s="239" t="inlineStr">
        <is>
          <t>маш.-ч</t>
        </is>
      </c>
      <c r="F39" s="168" t="n">
        <v>47.84225</v>
      </c>
      <c r="G39" s="241" t="n">
        <v>29.6</v>
      </c>
      <c r="H39" s="160">
        <f>ROUND(F39*G39,2)</f>
        <v/>
      </c>
      <c r="I39" s="169">
        <f>H39/$H$32</f>
        <v/>
      </c>
    </row>
    <row r="40">
      <c r="A40" s="256" t="n">
        <v>26</v>
      </c>
      <c r="B40" s="228" t="n"/>
      <c r="C40" s="167" t="inlineStr">
        <is>
          <t>91.05.01-025</t>
        </is>
      </c>
      <c r="D40" s="238" t="inlineStr">
        <is>
          <t>Краны башенные, грузоподъемность 25-75 т</t>
        </is>
      </c>
      <c r="E40" s="239" t="inlineStr">
        <is>
          <t>маш.-ч</t>
        </is>
      </c>
      <c r="F40" s="168" t="n">
        <v>4.352</v>
      </c>
      <c r="G40" s="241" t="n">
        <v>312.21</v>
      </c>
      <c r="H40" s="160">
        <f>ROUND(F40*G40,2)</f>
        <v/>
      </c>
      <c r="I40" s="169">
        <f>H40/$H$32</f>
        <v/>
      </c>
    </row>
    <row r="41">
      <c r="A41" s="256" t="n">
        <v>27</v>
      </c>
      <c r="B41" s="228" t="n"/>
      <c r="C41" s="167" t="inlineStr">
        <is>
          <t>91.06.05-011</t>
        </is>
      </c>
      <c r="D41" s="238" t="inlineStr">
        <is>
          <t>Погрузчики, грузоподъемность 5 т</t>
        </is>
      </c>
      <c r="E41" s="239" t="inlineStr">
        <is>
          <t>маш.-ч</t>
        </is>
      </c>
      <c r="F41" s="168" t="n">
        <v>12.2316875</v>
      </c>
      <c r="G41" s="241" t="n">
        <v>89.98999999999999</v>
      </c>
      <c r="H41" s="160">
        <f>ROUND(F41*G41,2)</f>
        <v/>
      </c>
      <c r="I41" s="169" t="n"/>
    </row>
    <row r="42">
      <c r="A42" s="256" t="n">
        <v>28</v>
      </c>
      <c r="B42" s="228" t="n"/>
      <c r="C42" s="167" t="inlineStr">
        <is>
          <t>91.05.06-008</t>
        </is>
      </c>
      <c r="D42" s="238" t="inlineStr">
        <is>
          <t>Краны на гусеничном ходу, грузоподъемность 40 т</t>
        </is>
      </c>
      <c r="E42" s="239" t="inlineStr">
        <is>
          <t>маш.-ч</t>
        </is>
      </c>
      <c r="F42" s="168" t="n">
        <v>5.15375</v>
      </c>
      <c r="G42" s="241" t="n">
        <v>175.56</v>
      </c>
      <c r="H42" s="160">
        <f>ROUND(F42*G42,2)</f>
        <v/>
      </c>
      <c r="I42" s="169" t="n"/>
    </row>
    <row r="43" ht="38.25" customHeight="1">
      <c r="A43" s="256" t="n">
        <v>29</v>
      </c>
      <c r="B43" s="228" t="n"/>
      <c r="C43" s="167" t="inlineStr">
        <is>
          <t>91.18.01-007</t>
        </is>
      </c>
      <c r="D43" s="23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3" s="239" t="inlineStr">
        <is>
          <t>маш.-ч</t>
        </is>
      </c>
      <c r="F43" s="168" t="n">
        <v>8.645</v>
      </c>
      <c r="G43" s="241" t="n">
        <v>90</v>
      </c>
      <c r="H43" s="160">
        <f>ROUND(F43*G43,2)</f>
        <v/>
      </c>
    </row>
    <row r="44" ht="25.5" customHeight="1">
      <c r="A44" s="256" t="n">
        <v>30</v>
      </c>
      <c r="B44" s="228" t="n"/>
      <c r="C44" s="167" t="inlineStr">
        <is>
          <t>91.17.04-233</t>
        </is>
      </c>
      <c r="D44" s="238" t="inlineStr">
        <is>
          <t>Установки для сварки ручной дуговой (постоянного тока)</t>
        </is>
      </c>
      <c r="E44" s="239" t="inlineStr">
        <is>
          <t>маш.-ч</t>
        </is>
      </c>
      <c r="F44" s="168" t="n">
        <v>63.1783525</v>
      </c>
      <c r="G44" s="241" t="n">
        <v>8.1</v>
      </c>
      <c r="H44" s="160">
        <f>ROUND(F44*G44,2)</f>
        <v/>
      </c>
    </row>
    <row r="45" ht="25.5" customHeight="1">
      <c r="A45" s="256" t="n">
        <v>31</v>
      </c>
      <c r="B45" s="228" t="n"/>
      <c r="C45" s="167" t="inlineStr">
        <is>
          <t>91.17.04-171</t>
        </is>
      </c>
      <c r="D45" s="238" t="inlineStr">
        <is>
          <t>Преобразователи сварочные номинальным сварочным током 315-500 А</t>
        </is>
      </c>
      <c r="E45" s="239" t="inlineStr">
        <is>
          <t>маш.-ч</t>
        </is>
      </c>
      <c r="F45" s="168" t="n">
        <v>32.540175</v>
      </c>
      <c r="G45" s="241" t="n">
        <v>12.31</v>
      </c>
      <c r="H45" s="160">
        <f>ROUND(F45*G45,2)</f>
        <v/>
      </c>
    </row>
    <row r="46" ht="25.5" customHeight="1">
      <c r="A46" s="256" t="n">
        <v>32</v>
      </c>
      <c r="B46" s="228" t="n"/>
      <c r="C46" s="167" t="inlineStr">
        <is>
          <t>91.21.01-012</t>
        </is>
      </c>
      <c r="D46" s="238" t="inlineStr">
        <is>
          <t>Агрегаты окрасочные высокого давления для окраски поверхностей конструкций, мощность 1 кВт</t>
        </is>
      </c>
      <c r="E46" s="239" t="inlineStr">
        <is>
          <t>маш.-ч</t>
        </is>
      </c>
      <c r="F46" s="168" t="n">
        <v>27.2320125</v>
      </c>
      <c r="G46" s="241" t="n">
        <v>6.82</v>
      </c>
      <c r="H46" s="160">
        <f>ROUND(F46*G46,2)</f>
        <v/>
      </c>
    </row>
    <row r="47" ht="25.5" customHeight="1">
      <c r="A47" s="256" t="n">
        <v>33</v>
      </c>
      <c r="B47" s="228" t="n"/>
      <c r="C47" s="167" t="inlineStr">
        <is>
          <t>91.07.08-025</t>
        </is>
      </c>
      <c r="D47" s="238" t="inlineStr">
        <is>
          <t>Растворосмесители передвижные, объем барабана 250 л</t>
        </is>
      </c>
      <c r="E47" s="239" t="inlineStr">
        <is>
          <t>маш.-ч</t>
        </is>
      </c>
      <c r="F47" s="168" t="n">
        <v>8.949375</v>
      </c>
      <c r="G47" s="241" t="n">
        <v>16.31</v>
      </c>
      <c r="H47" s="160">
        <f>ROUND(F47*G47,2)</f>
        <v/>
      </c>
    </row>
    <row r="48" ht="25.5" customHeight="1">
      <c r="A48" s="256" t="n">
        <v>34</v>
      </c>
      <c r="B48" s="228" t="n"/>
      <c r="C48" s="167" t="inlineStr">
        <is>
          <t>91.06.05-057</t>
        </is>
      </c>
      <c r="D48" s="238" t="inlineStr">
        <is>
          <t>Погрузчики одноковшовые универсальные фронтальные пневмоколесные, грузоподъемность 3 т</t>
        </is>
      </c>
      <c r="E48" s="239" t="inlineStr">
        <is>
          <t>маш.-ч</t>
        </is>
      </c>
      <c r="F48" s="168" t="n">
        <v>1.36</v>
      </c>
      <c r="G48" s="241" t="n">
        <v>90.40000000000001</v>
      </c>
      <c r="H48" s="160">
        <f>ROUND(F48*G48,2)</f>
        <v/>
      </c>
      <c r="J48" s="171" t="n"/>
      <c r="L48" s="169" t="n"/>
    </row>
    <row r="49" customFormat="1" s="153">
      <c r="A49" s="256" t="n">
        <v>35</v>
      </c>
      <c r="B49" s="228" t="n"/>
      <c r="C49" s="167" t="inlineStr">
        <is>
          <t>91.06.09-001</t>
        </is>
      </c>
      <c r="D49" s="238" t="inlineStr">
        <is>
          <t>Вышки телескопические 25 м</t>
        </is>
      </c>
      <c r="E49" s="239" t="inlineStr">
        <is>
          <t>маш.-ч</t>
        </is>
      </c>
      <c r="F49" s="168" t="n">
        <v>0.575</v>
      </c>
      <c r="G49" s="241" t="n">
        <v>142.7</v>
      </c>
      <c r="H49" s="160">
        <f>ROUND(F49*G49,2)</f>
        <v/>
      </c>
      <c r="L49" s="169" t="n"/>
    </row>
    <row r="50">
      <c r="A50" s="256" t="n">
        <v>36</v>
      </c>
      <c r="B50" s="228" t="n"/>
      <c r="C50" s="167" t="inlineStr">
        <is>
          <t>91.08.04-021</t>
        </is>
      </c>
      <c r="D50" s="238" t="inlineStr">
        <is>
          <t>Котлы битумные передвижные 400 л</t>
        </is>
      </c>
      <c r="E50" s="239" t="inlineStr">
        <is>
          <t>маш.-ч</t>
        </is>
      </c>
      <c r="F50" s="168" t="n">
        <v>2.66375</v>
      </c>
      <c r="G50" s="241" t="n">
        <v>30</v>
      </c>
      <c r="H50" s="160">
        <f>ROUND(F50*G50,2)</f>
        <v/>
      </c>
      <c r="L50" s="169" t="n"/>
    </row>
    <row r="51">
      <c r="A51" s="256" t="n">
        <v>37</v>
      </c>
      <c r="B51" s="228" t="n"/>
      <c r="C51" s="167" t="inlineStr">
        <is>
          <t>91.17.04-042</t>
        </is>
      </c>
      <c r="D51" s="238" t="inlineStr">
        <is>
          <t>Аппараты для газовой сварки и резки</t>
        </is>
      </c>
      <c r="E51" s="239" t="inlineStr">
        <is>
          <t>маш.-ч</t>
        </is>
      </c>
      <c r="F51" s="168" t="n">
        <v>58.1771625</v>
      </c>
      <c r="G51" s="241" t="n">
        <v>1.2</v>
      </c>
      <c r="H51" s="160">
        <f>ROUND(F51*G51,2)</f>
        <v/>
      </c>
      <c r="L51" s="169" t="n"/>
    </row>
    <row r="52" ht="25.5" customHeight="1">
      <c r="A52" s="256" t="n">
        <v>38</v>
      </c>
      <c r="B52" s="228" t="n"/>
      <c r="C52" s="167" t="inlineStr">
        <is>
          <t>91.06.03-061</t>
        </is>
      </c>
      <c r="D52" s="238" t="inlineStr">
        <is>
          <t>Лебедки электрические тяговым усилием до 12,26 кН (1,25 т)</t>
        </is>
      </c>
      <c r="E52" s="239" t="inlineStr">
        <is>
          <t>маш.-ч</t>
        </is>
      </c>
      <c r="F52" s="168" t="n">
        <v>16.6</v>
      </c>
      <c r="G52" s="241" t="n">
        <v>3.28</v>
      </c>
      <c r="H52" s="160">
        <f>ROUND(F52*G52,2)</f>
        <v/>
      </c>
      <c r="I52" s="169" t="n"/>
      <c r="L52" s="169" t="n"/>
    </row>
    <row r="53" ht="25.5" customHeight="1">
      <c r="A53" s="256" t="n">
        <v>39</v>
      </c>
      <c r="B53" s="228" t="n"/>
      <c r="C53" s="167" t="inlineStr">
        <is>
          <t>91.06.03-047</t>
        </is>
      </c>
      <c r="D53" s="238" t="inlineStr">
        <is>
          <t>Лебедки ручные и рычажные тяговым усилием 31,39 кН (3,2 т)</t>
        </is>
      </c>
      <c r="E53" s="239" t="inlineStr">
        <is>
          <t>маш.-ч</t>
        </is>
      </c>
      <c r="F53" s="168" t="n">
        <v>9.473504999999999</v>
      </c>
      <c r="G53" s="241" t="n">
        <v>3.12</v>
      </c>
      <c r="H53" s="160">
        <f>ROUND(F53*G53,2)</f>
        <v/>
      </c>
      <c r="I53" s="169" t="n"/>
      <c r="L53" s="169" t="n"/>
    </row>
    <row r="54">
      <c r="A54" s="256" t="n">
        <v>40</v>
      </c>
      <c r="B54" s="228" t="n"/>
      <c r="C54" s="167" t="inlineStr">
        <is>
          <t>91.07.07-041</t>
        </is>
      </c>
      <c r="D54" s="238" t="inlineStr">
        <is>
          <t>Растворонасосы, производительность 1 м3/ч</t>
        </is>
      </c>
      <c r="E54" s="239" t="inlineStr">
        <is>
          <t>маш.-ч</t>
        </is>
      </c>
      <c r="F54" s="168" t="n">
        <v>1.6303</v>
      </c>
      <c r="G54" s="241" t="n">
        <v>14.15</v>
      </c>
      <c r="H54" s="160">
        <f>ROUND(F54*G54,2)</f>
        <v/>
      </c>
      <c r="I54" s="169" t="n"/>
      <c r="L54" s="169" t="n"/>
    </row>
    <row r="55" ht="25.5" customHeight="1">
      <c r="A55" s="256" t="n">
        <v>41</v>
      </c>
      <c r="B55" s="228" t="n"/>
      <c r="C55" s="167" t="inlineStr">
        <is>
          <t>91.06.06-048</t>
        </is>
      </c>
      <c r="D55" s="238" t="inlineStr">
        <is>
          <t>Подъемники одномачтовые, грузоподъемность до 500 кг, высота подъема 45 м</t>
        </is>
      </c>
      <c r="E55" s="239" t="inlineStr">
        <is>
          <t>маш.-ч</t>
        </is>
      </c>
      <c r="F55" s="168" t="n">
        <v>0.620775</v>
      </c>
      <c r="G55" s="241" t="n">
        <v>31.26</v>
      </c>
      <c r="H55" s="160">
        <f>ROUND(F55*G55,2)</f>
        <v/>
      </c>
      <c r="I55" s="169" t="n"/>
      <c r="L55" s="169" t="n"/>
    </row>
    <row r="56" ht="25.5" customHeight="1">
      <c r="A56" s="256" t="n">
        <v>42</v>
      </c>
      <c r="B56" s="228" t="n"/>
      <c r="C56" s="167" t="inlineStr">
        <is>
          <t>91.06.01-003</t>
        </is>
      </c>
      <c r="D56" s="238" t="inlineStr">
        <is>
          <t>Домкраты гидравлические, грузоподъемность 63-100 т</t>
        </is>
      </c>
      <c r="E56" s="239" t="inlineStr">
        <is>
          <t>маш.-ч</t>
        </is>
      </c>
      <c r="F56" s="168" t="n">
        <v>17.4855</v>
      </c>
      <c r="G56" s="241" t="n">
        <v>0.9</v>
      </c>
      <c r="H56" s="160">
        <f>ROUND(F56*G56,2)</f>
        <v/>
      </c>
      <c r="I56" s="169" t="n"/>
    </row>
    <row r="57">
      <c r="A57" s="256" t="n">
        <v>43</v>
      </c>
      <c r="B57" s="228" t="n"/>
      <c r="C57" s="167" t="inlineStr">
        <is>
          <t>91.07.04-002</t>
        </is>
      </c>
      <c r="D57" s="238" t="inlineStr">
        <is>
          <t>Вибраторы поверхностные</t>
        </is>
      </c>
      <c r="E57" s="239" t="inlineStr">
        <is>
          <t>маш.-ч</t>
        </is>
      </c>
      <c r="F57" s="168" t="n">
        <v>30.2991</v>
      </c>
      <c r="G57" s="241" t="n">
        <v>0.5</v>
      </c>
      <c r="H57" s="160">
        <f>ROUND(F57*G57,2)</f>
        <v/>
      </c>
    </row>
    <row r="58">
      <c r="A58" s="256" t="n">
        <v>44</v>
      </c>
      <c r="B58" s="228" t="n"/>
      <c r="C58" s="167" t="inlineStr">
        <is>
          <t>91.21.07-011</t>
        </is>
      </c>
      <c r="D58" s="238" t="inlineStr">
        <is>
          <t>Машины мозаично-шлифовальные</t>
        </is>
      </c>
      <c r="E58" s="239" t="inlineStr">
        <is>
          <t>маш.-ч</t>
        </is>
      </c>
      <c r="F58" s="168" t="n">
        <v>7.78875</v>
      </c>
      <c r="G58" s="241" t="n">
        <v>1.5</v>
      </c>
      <c r="H58" s="160">
        <f>ROUND(F58*G58,2)</f>
        <v/>
      </c>
    </row>
    <row r="59">
      <c r="A59" s="256" t="n">
        <v>45</v>
      </c>
      <c r="B59" s="228" t="n"/>
      <c r="C59" s="167" t="inlineStr">
        <is>
          <t>91.07.04-001</t>
        </is>
      </c>
      <c r="D59" s="238" t="inlineStr">
        <is>
          <t>Вибраторы глубинные</t>
        </is>
      </c>
      <c r="E59" s="239" t="inlineStr">
        <is>
          <t>маш.-ч</t>
        </is>
      </c>
      <c r="F59" s="168" t="n">
        <v>5.9882625</v>
      </c>
      <c r="G59" s="241" t="n">
        <v>1.9</v>
      </c>
      <c r="H59" s="160">
        <f>ROUND(F59*G59,2)</f>
        <v/>
      </c>
    </row>
    <row r="60" ht="25.5" customHeight="1">
      <c r="A60" s="256" t="n">
        <v>46</v>
      </c>
      <c r="B60" s="228" t="n"/>
      <c r="C60" s="167" t="inlineStr">
        <is>
          <t>91.06.03-055</t>
        </is>
      </c>
      <c r="D60" s="238" t="inlineStr">
        <is>
          <t>Лебедки электрические тяговым усилием 19,62 кН (2 т)</t>
        </is>
      </c>
      <c r="E60" s="239" t="inlineStr">
        <is>
          <t>маш.-ч</t>
        </is>
      </c>
      <c r="F60" s="168" t="n">
        <v>1.51104</v>
      </c>
      <c r="G60" s="241" t="n">
        <v>6.66</v>
      </c>
      <c r="H60" s="160">
        <f>ROUND(F60*G60,2)</f>
        <v/>
      </c>
      <c r="I60" s="169" t="n"/>
    </row>
    <row r="61" ht="25.5" customHeight="1">
      <c r="A61" s="256" t="n">
        <v>47</v>
      </c>
      <c r="B61" s="228" t="n"/>
      <c r="C61" s="167" t="inlineStr">
        <is>
          <t>91.08.09-023</t>
        </is>
      </c>
      <c r="D61" s="238" t="inlineStr">
        <is>
          <t>Трамбовки пневматические при работе от передвижных компрессорных станций</t>
        </is>
      </c>
      <c r="E61" s="239" t="inlineStr">
        <is>
          <t>маш.-ч</t>
        </is>
      </c>
      <c r="F61" s="168" t="n">
        <v>15.64</v>
      </c>
      <c r="G61" s="241" t="n">
        <v>0.55</v>
      </c>
      <c r="H61" s="160">
        <f>ROUND(F61*G61,2)</f>
        <v/>
      </c>
    </row>
    <row r="62" ht="25.5" customHeight="1">
      <c r="A62" s="256" t="n">
        <v>48</v>
      </c>
      <c r="B62" s="228" t="n"/>
      <c r="C62" s="167" t="inlineStr">
        <is>
          <t>91.06.03-062</t>
        </is>
      </c>
      <c r="D62" s="238" t="inlineStr">
        <is>
          <t>Лебедки электрические тяговым усилием до 31,39 кН (3,2 т)</t>
        </is>
      </c>
      <c r="E62" s="239" t="inlineStr">
        <is>
          <t>маш.-ч</t>
        </is>
      </c>
      <c r="F62" s="168" t="n">
        <v>0.36855</v>
      </c>
      <c r="G62" s="241" t="n">
        <v>6.9</v>
      </c>
      <c r="H62" s="160">
        <f>ROUND(F62*G62,2)</f>
        <v/>
      </c>
    </row>
    <row r="63" ht="25.5" customHeight="1">
      <c r="A63" s="256" t="n">
        <v>49</v>
      </c>
      <c r="B63" s="228" t="n"/>
      <c r="C63" s="167" t="inlineStr">
        <is>
          <t>91.04.01-041</t>
        </is>
      </c>
      <c r="D63" s="238" t="inlineStr">
        <is>
          <t>Молотки бурильные легкие при работе от передвижных компрессорных станций</t>
        </is>
      </c>
      <c r="E63" s="239" t="inlineStr">
        <is>
          <t>маш.-ч</t>
        </is>
      </c>
      <c r="F63" s="168" t="n">
        <v>0.825</v>
      </c>
      <c r="G63" s="241" t="n">
        <v>2.99</v>
      </c>
      <c r="H63" s="160">
        <f>ROUND(F63*G63,2)</f>
        <v/>
      </c>
    </row>
    <row r="64">
      <c r="A64" s="256" t="n">
        <v>50</v>
      </c>
      <c r="B64" s="228" t="n"/>
      <c r="C64" s="167" t="inlineStr">
        <is>
          <t>91.21.12-004</t>
        </is>
      </c>
      <c r="D64" s="238" t="inlineStr">
        <is>
          <t>Ножницы электрические</t>
        </is>
      </c>
      <c r="E64" s="239" t="inlineStr">
        <is>
          <t>маш.-ч</t>
        </is>
      </c>
      <c r="F64" s="168" t="n">
        <v>0.0436875</v>
      </c>
      <c r="G64" s="241" t="n">
        <v>33.59</v>
      </c>
      <c r="H64" s="160">
        <f>ROUND(F64*G64,2)</f>
        <v/>
      </c>
    </row>
    <row r="65">
      <c r="A65" s="256" t="n">
        <v>51</v>
      </c>
      <c r="B65" s="228" t="n"/>
      <c r="C65" s="167" t="inlineStr">
        <is>
          <t>91.21.16-012</t>
        </is>
      </c>
      <c r="D65" s="238" t="inlineStr">
        <is>
          <t>Прессы гидравлические с электроприводом</t>
        </is>
      </c>
      <c r="E65" s="239" t="inlineStr">
        <is>
          <t>маш.-ч</t>
        </is>
      </c>
      <c r="F65" s="168" t="n">
        <v>0.7125</v>
      </c>
      <c r="G65" s="241" t="n">
        <v>1.11</v>
      </c>
      <c r="H65" s="160">
        <f>ROUND(F65*G65,2)</f>
        <v/>
      </c>
    </row>
    <row r="66">
      <c r="A66" s="256" t="n">
        <v>52</v>
      </c>
      <c r="B66" s="228" t="n"/>
      <c r="C66" s="167" t="inlineStr">
        <is>
          <t>91.21.22-421</t>
        </is>
      </c>
      <c r="D66" s="238" t="inlineStr">
        <is>
          <t>Термосы 100 л</t>
        </is>
      </c>
      <c r="E66" s="239" t="inlineStr">
        <is>
          <t>маш.-ч</t>
        </is>
      </c>
      <c r="F66" s="168" t="n">
        <v>0.2890625</v>
      </c>
      <c r="G66" s="241" t="n">
        <v>2.7</v>
      </c>
      <c r="H66" s="160">
        <f>ROUND(F66*G66,2)</f>
        <v/>
      </c>
    </row>
    <row r="67" ht="25.5" customHeight="1">
      <c r="A67" s="256" t="n">
        <v>53</v>
      </c>
      <c r="B67" s="228" t="n"/>
      <c r="C67" s="167" t="inlineStr">
        <is>
          <t>91.06.03-060</t>
        </is>
      </c>
      <c r="D67" s="238" t="inlineStr">
        <is>
          <t>Лебедки электрические тяговым усилием до 5,79 кН (0,59 т)</t>
        </is>
      </c>
      <c r="E67" s="239" t="inlineStr">
        <is>
          <t>маш.-ч</t>
        </is>
      </c>
      <c r="F67" s="168" t="n">
        <v>0.2319</v>
      </c>
      <c r="G67" s="241" t="n">
        <v>1.7</v>
      </c>
      <c r="H67" s="160">
        <f>ROUND(F67*G67,2)</f>
        <v/>
      </c>
    </row>
    <row r="68">
      <c r="A68" s="256" t="n">
        <v>54</v>
      </c>
      <c r="B68" s="228" t="n"/>
      <c r="C68" s="167" t="inlineStr">
        <is>
          <t>91.21.19-031</t>
        </is>
      </c>
      <c r="D68" s="238" t="inlineStr">
        <is>
          <t>Станки сверлильные</t>
        </is>
      </c>
      <c r="E68" s="239" t="inlineStr">
        <is>
          <t>маш.-ч</t>
        </is>
      </c>
      <c r="F68" s="168" t="n">
        <v>0.105</v>
      </c>
      <c r="G68" s="241" t="n">
        <v>2.36</v>
      </c>
      <c r="H68" s="160">
        <f>ROUND(F68*G68,2)</f>
        <v/>
      </c>
      <c r="J68" s="171" t="n"/>
      <c r="L68" s="169" t="n"/>
    </row>
    <row r="69" ht="15" customHeight="1">
      <c r="A69" s="226" t="inlineStr">
        <is>
          <t>Оборудование</t>
        </is>
      </c>
      <c r="B69" s="301" t="n"/>
      <c r="C69" s="301" t="n"/>
      <c r="D69" s="301" t="n"/>
      <c r="E69" s="302" t="n"/>
      <c r="F69" s="10" t="n"/>
      <c r="G69" s="10" t="n"/>
      <c r="H69" s="152" t="n">
        <v>0</v>
      </c>
    </row>
    <row r="70">
      <c r="A70" s="227" t="inlineStr">
        <is>
          <t>Материалы</t>
        </is>
      </c>
      <c r="B70" s="301" t="n"/>
      <c r="C70" s="301" t="n"/>
      <c r="D70" s="301" t="n"/>
      <c r="E70" s="302" t="n"/>
      <c r="F70" s="227" t="n"/>
      <c r="G70" s="163" t="n"/>
      <c r="H70" s="152">
        <f>SUM(H71:H272)</f>
        <v/>
      </c>
    </row>
    <row r="71" ht="25.5" customHeight="1">
      <c r="A71" s="154" t="n">
        <v>55</v>
      </c>
      <c r="B71" s="228" t="n"/>
      <c r="C71" s="239" t="inlineStr">
        <is>
          <t>10.3.02.03-0011</t>
        </is>
      </c>
      <c r="D71" s="238" t="inlineStr">
        <is>
          <t>Припои оловянно-свинцовые бессурьмянистые, марка ПОС30</t>
        </is>
      </c>
      <c r="E71" s="239" t="inlineStr">
        <is>
          <t>т</t>
        </is>
      </c>
      <c r="F71" s="168" t="n">
        <v>3.07</v>
      </c>
      <c r="G71" s="241" t="n">
        <v>68050</v>
      </c>
      <c r="H71" s="160">
        <f>ROUND(F71*G71,2)</f>
        <v/>
      </c>
      <c r="I71" s="73">
        <f>H71/$H$70</f>
        <v/>
      </c>
      <c r="K71" s="169" t="n"/>
    </row>
    <row r="72" ht="38.25" customHeight="1">
      <c r="A72" s="154" t="n">
        <v>56</v>
      </c>
      <c r="B72" s="228" t="n"/>
      <c r="C72" s="239" t="inlineStr">
        <is>
          <t>64.1.02.01-0055</t>
        </is>
      </c>
      <c r="D72" s="238" t="inlineStr">
        <is>
          <t>Вентиляторы канальные в изолированном корпусе для круглых воздуховодов OSTBERG марки: IRE 500 D, производительность 3750 м3/час</t>
        </is>
      </c>
      <c r="E72" s="239" t="inlineStr">
        <is>
          <t>шт</t>
        </is>
      </c>
      <c r="F72" s="168" t="n">
        <v>5</v>
      </c>
      <c r="G72" s="241" t="n">
        <v>22535.34</v>
      </c>
      <c r="H72" s="160">
        <f>ROUND(F72*G72,2)</f>
        <v/>
      </c>
      <c r="I72" s="73">
        <f>H72/$H$70</f>
        <v/>
      </c>
      <c r="K72" s="169" t="n"/>
    </row>
    <row r="73" ht="25.5" customHeight="1">
      <c r="A73" s="154" t="n">
        <v>57</v>
      </c>
      <c r="B73" s="228" t="n"/>
      <c r="C73" s="239" t="inlineStr">
        <is>
          <t>04.1.02.05-0054</t>
        </is>
      </c>
      <c r="D73" s="238" t="inlineStr">
        <is>
          <t>Смеси бетонные тяжелого бетона (БСТ), крупность заполнителя 20 мм, класс В60 (М800)</t>
        </is>
      </c>
      <c r="E73" s="239" t="inlineStr">
        <is>
          <t>м3</t>
        </is>
      </c>
      <c r="F73" s="168" t="n">
        <v>79.675</v>
      </c>
      <c r="G73" s="241" t="n">
        <v>1363.6</v>
      </c>
      <c r="H73" s="160">
        <f>ROUND(F73*G73,2)</f>
        <v/>
      </c>
      <c r="I73" s="73">
        <f>H73/$H$70</f>
        <v/>
      </c>
    </row>
    <row r="74" ht="63.75" customHeight="1">
      <c r="A74" s="154" t="n">
        <v>58</v>
      </c>
      <c r="B74" s="228" t="n"/>
      <c r="C74" s="239" t="inlineStr">
        <is>
          <t>07.2.05.05-0025</t>
        </is>
      </c>
      <c r="D74" s="238" t="inlineStr">
        <is>
          <t>Сэндвич-панель трехслойная кровельная "Металл Профиль" с наполнителем из минеральной ваты (НГ) плотностью 110кг/м3, марка МП ТСП-K, толщина: 250 мм, тип покрытия PRISMA, толщина металлических облицовок 0,5 мм</t>
        </is>
      </c>
      <c r="E74" s="239" t="inlineStr">
        <is>
          <t>м2</t>
        </is>
      </c>
      <c r="F74" s="168" t="n">
        <v>261.25</v>
      </c>
      <c r="G74" s="241" t="n">
        <v>354.97</v>
      </c>
      <c r="H74" s="160">
        <f>ROUND(F74*G74,2)</f>
        <v/>
      </c>
      <c r="I74" s="73">
        <f>H74/$H$70</f>
        <v/>
      </c>
    </row>
    <row r="75">
      <c r="A75" s="154" t="n">
        <v>59</v>
      </c>
      <c r="B75" s="228" t="n"/>
      <c r="C75" s="239" t="inlineStr">
        <is>
          <t>14.2.02.11-0021</t>
        </is>
      </c>
      <c r="D75" s="238" t="inlineStr">
        <is>
          <t>Состав огнезащитный: «Файрекс-500»</t>
        </is>
      </c>
      <c r="E75" s="239" t="inlineStr">
        <is>
          <t>кг</t>
        </is>
      </c>
      <c r="F75" s="168" t="n">
        <v>744.48</v>
      </c>
      <c r="G75" s="241" t="n">
        <v>115.2</v>
      </c>
      <c r="H75" s="160">
        <f>ROUND(F75*G75,2)</f>
        <v/>
      </c>
      <c r="I75" s="73">
        <f>H75/$H$70</f>
        <v/>
      </c>
    </row>
    <row r="76" ht="25.5" customHeight="1">
      <c r="A76" s="154" t="n">
        <v>60</v>
      </c>
      <c r="B76" s="228" t="n"/>
      <c r="C76" s="239" t="inlineStr">
        <is>
          <t>04.1.02.02-0037</t>
        </is>
      </c>
      <c r="D76" s="238" t="inlineStr">
        <is>
          <t>Смеси бетонные тяжелого бетона (БСТ) для гидротехнических сооружений, класс В60 (М800)</t>
        </is>
      </c>
      <c r="E76" s="239" t="inlineStr">
        <is>
          <t>м3</t>
        </is>
      </c>
      <c r="F76" s="168" t="n">
        <v>48.2</v>
      </c>
      <c r="G76" s="241" t="n">
        <v>1491.39</v>
      </c>
      <c r="H76" s="160">
        <f>ROUND(F76*G76,2)</f>
        <v/>
      </c>
      <c r="I76" s="73">
        <f>H76/$H$70</f>
        <v/>
      </c>
    </row>
    <row r="77" ht="25.5" customHeight="1">
      <c r="A77" s="154" t="n">
        <v>61</v>
      </c>
      <c r="B77" s="228" t="n"/>
      <c r="C77" s="239" t="inlineStr">
        <is>
          <t>20.4.03.07-0022</t>
        </is>
      </c>
      <c r="D77" s="238" t="inlineStr">
        <is>
          <t>Розетка щитовая для монтажа на DIN-рейку 16А 250В с защитной крышкой</t>
        </is>
      </c>
      <c r="E77" s="239" t="inlineStr">
        <is>
          <t>100 шт</t>
        </is>
      </c>
      <c r="F77" s="168" t="n">
        <v>7.5</v>
      </c>
      <c r="G77" s="241" t="n">
        <v>7851.9</v>
      </c>
      <c r="H77" s="160">
        <f>ROUND(F77*G77,2)</f>
        <v/>
      </c>
      <c r="I77" s="73">
        <f>H77/$H$70</f>
        <v/>
      </c>
    </row>
    <row r="78" ht="38.25" customHeight="1">
      <c r="A78" s="154" t="n">
        <v>62</v>
      </c>
      <c r="B78" s="228" t="n"/>
      <c r="C78" s="239" t="inlineStr">
        <is>
          <t>07.2.07.12-0011</t>
        </is>
      </c>
      <c r="D78" s="238" t="inlineStr">
        <is>
          <t>Элементы конструктивные зданий и сооружений с преобладанием гнутосварных профилей и круглых труб, средняя масса сборочной единицы до 0,1 т</t>
        </is>
      </c>
      <c r="E78" s="239" t="inlineStr">
        <is>
          <t>т</t>
        </is>
      </c>
      <c r="F78" s="168" t="n">
        <v>5.04317875</v>
      </c>
      <c r="G78" s="241" t="n">
        <v>11255</v>
      </c>
      <c r="H78" s="160">
        <f>ROUND(F78*G78,2)</f>
        <v/>
      </c>
      <c r="I78" s="73">
        <f>H78/$H$70</f>
        <v/>
      </c>
    </row>
    <row r="79" ht="63.75" customHeight="1">
      <c r="A79" s="154" t="n">
        <v>63</v>
      </c>
      <c r="B79" s="228" t="n"/>
      <c r="C79" s="239" t="inlineStr">
        <is>
          <t>07.2.05.05-0021</t>
        </is>
      </c>
      <c r="D79" s="238" t="inlineStr">
        <is>
          <t>Сэндвич-панель трехслойная кровельная "Металл Профиль" с наполнителем из минеральной ваты (НГ) плотностью 110кг/м3, марка МП ТСП-K, толщина: 200 мм, тип покрытия PRISMA, толщина металлических облицовок 0,5 мм</t>
        </is>
      </c>
      <c r="E79" s="239" t="inlineStr">
        <is>
          <t>м2</t>
        </is>
      </c>
      <c r="F79" s="168" t="n">
        <v>141.25</v>
      </c>
      <c r="G79" s="241" t="n">
        <v>321.4</v>
      </c>
      <c r="H79" s="160">
        <f>ROUND(F79*G79,2)</f>
        <v/>
      </c>
      <c r="I79" s="73">
        <f>H79/$H$70</f>
        <v/>
      </c>
    </row>
    <row r="80" ht="25.5" customHeight="1">
      <c r="A80" s="154" t="n">
        <v>64</v>
      </c>
      <c r="B80" s="228" t="n"/>
      <c r="C80" s="239" t="inlineStr">
        <is>
          <t>08.4.03.03-0029</t>
        </is>
      </c>
      <c r="D80" s="238" t="inlineStr">
        <is>
          <t>Сталь арматурная, горячекатаная, периодического профиля, класс А-III, диаметр 6 мм</t>
        </is>
      </c>
      <c r="E80" s="239" t="inlineStr">
        <is>
          <t>т</t>
        </is>
      </c>
      <c r="F80" s="168" t="n">
        <v>4.225</v>
      </c>
      <c r="G80" s="241" t="n">
        <v>8213.719999999999</v>
      </c>
      <c r="H80" s="160">
        <f>ROUND(F80*G80,2)</f>
        <v/>
      </c>
      <c r="I80" s="73">
        <f>H80/$H$70</f>
        <v/>
      </c>
    </row>
    <row r="81" customFormat="1" s="153">
      <c r="A81" s="154" t="n">
        <v>65</v>
      </c>
      <c r="B81" s="228" t="n"/>
      <c r="C81" s="239" t="inlineStr">
        <is>
          <t>07.2.03.06-0101</t>
        </is>
      </c>
      <c r="D81" s="238" t="inlineStr">
        <is>
          <t>Ригели фахверка</t>
        </is>
      </c>
      <c r="E81" s="239" t="inlineStr">
        <is>
          <t>т</t>
        </is>
      </c>
      <c r="F81" s="168" t="n">
        <v>5.1754925</v>
      </c>
      <c r="G81" s="241" t="n">
        <v>6266</v>
      </c>
      <c r="H81" s="160">
        <f>ROUND(F81*G81,2)</f>
        <v/>
      </c>
      <c r="I81" s="73">
        <f>H81/$H$70</f>
        <v/>
      </c>
    </row>
    <row r="82" ht="25.5" customHeight="1">
      <c r="A82" s="154" t="n">
        <v>66</v>
      </c>
      <c r="B82" s="228" t="n"/>
      <c r="C82" s="239" t="inlineStr">
        <is>
          <t>04.1.02.02-0036</t>
        </is>
      </c>
      <c r="D82" s="238" t="inlineStr">
        <is>
          <t>Смеси бетонные тяжелого бетона (БСТ) для гидротехнических сооружений, класс В55 (М700)</t>
        </is>
      </c>
      <c r="E82" s="239" t="inlineStr">
        <is>
          <t>м3</t>
        </is>
      </c>
      <c r="F82" s="168" t="n">
        <v>23.2125</v>
      </c>
      <c r="G82" s="241" t="n">
        <v>1369.23</v>
      </c>
      <c r="H82" s="160">
        <f>ROUND(F82*G82,2)</f>
        <v/>
      </c>
      <c r="I82" s="73">
        <f>H82/$H$70</f>
        <v/>
      </c>
    </row>
    <row r="83" ht="25.5" customHeight="1">
      <c r="A83" s="154" t="n">
        <v>67</v>
      </c>
      <c r="B83" s="228" t="n"/>
      <c r="C83" s="239" t="inlineStr">
        <is>
          <t>07.2.03.06-0081</t>
        </is>
      </c>
      <c r="D83" s="238" t="inlineStr">
        <is>
          <t>Прогоны дополнительные и кровельные из прокатных профилей</t>
        </is>
      </c>
      <c r="E83" s="239" t="inlineStr">
        <is>
          <t>т</t>
        </is>
      </c>
      <c r="F83" s="168" t="n">
        <v>4.0311625</v>
      </c>
      <c r="G83" s="241" t="n">
        <v>7500</v>
      </c>
      <c r="H83" s="160">
        <f>ROUND(F83*G83,2)</f>
        <v/>
      </c>
      <c r="I83" s="73">
        <f>H83/$H$70</f>
        <v/>
      </c>
      <c r="K83" s="169" t="n"/>
    </row>
    <row r="84">
      <c r="A84" s="154" t="n">
        <v>68</v>
      </c>
      <c r="B84" s="228" t="n"/>
      <c r="C84" s="239" t="inlineStr">
        <is>
          <t>11.1.03.01-0001</t>
        </is>
      </c>
      <c r="D84" s="238" t="inlineStr">
        <is>
          <t>Бруски деревянные, размер 50х50 мм</t>
        </is>
      </c>
      <c r="E84" s="239" t="inlineStr">
        <is>
          <t>м3</t>
        </is>
      </c>
      <c r="F84" s="168" t="n">
        <v>15.7275</v>
      </c>
      <c r="G84" s="241" t="n">
        <v>1668</v>
      </c>
      <c r="H84" s="160">
        <f>ROUND(F84*G84,2)</f>
        <v/>
      </c>
      <c r="I84" s="73">
        <f>H84/$H$70</f>
        <v/>
      </c>
      <c r="K84" s="169" t="n"/>
    </row>
    <row r="85">
      <c r="A85" s="154" t="n">
        <v>69</v>
      </c>
      <c r="B85" s="228" t="n"/>
      <c r="C85" s="239" t="inlineStr">
        <is>
          <t>20.2.08.05-0015</t>
        </is>
      </c>
      <c r="D85" s="238" t="inlineStr">
        <is>
          <t>Профиль монтажный</t>
        </is>
      </c>
      <c r="E85" s="239" t="inlineStr">
        <is>
          <t>м</t>
        </is>
      </c>
      <c r="F85" s="168" t="n">
        <v>582.5</v>
      </c>
      <c r="G85" s="241" t="n">
        <v>38.42</v>
      </c>
      <c r="H85" s="160">
        <f>ROUND(F85*G85,2)</f>
        <v/>
      </c>
      <c r="I85" s="73">
        <f>H85/$H$70</f>
        <v/>
      </c>
      <c r="K85" s="169" t="n"/>
    </row>
    <row r="86">
      <c r="A86" s="154" t="n">
        <v>70</v>
      </c>
      <c r="B86" s="228" t="n"/>
      <c r="C86" s="239" t="inlineStr">
        <is>
          <t>08.4.02.06-0002</t>
        </is>
      </c>
      <c r="D86" s="238" t="inlineStr">
        <is>
          <t>Сетка сварная из холоднотянутой проволоки 3 мм</t>
        </is>
      </c>
      <c r="E86" s="239" t="inlineStr">
        <is>
          <t>т</t>
        </is>
      </c>
      <c r="F86" s="168" t="n">
        <v>1.85005</v>
      </c>
      <c r="G86" s="241" t="n">
        <v>9800.07</v>
      </c>
      <c r="H86" s="160">
        <f>ROUND(F86*G86,2)</f>
        <v/>
      </c>
      <c r="I86" s="73">
        <f>H86/$H$70</f>
        <v/>
      </c>
      <c r="K86" s="169" t="n"/>
    </row>
    <row r="87" ht="25.5" customHeight="1">
      <c r="A87" s="154" t="n">
        <v>71</v>
      </c>
      <c r="B87" s="228" t="n"/>
      <c r="C87" s="239" t="inlineStr">
        <is>
          <t>63.3.01.02-1016</t>
        </is>
      </c>
      <c r="D87" s="238" t="inlineStr">
        <is>
          <t>Электрообогреватели излучающего типа, тип исполнения настенный, мощность 2 кВт</t>
        </is>
      </c>
      <c r="E87" s="239" t="inlineStr">
        <is>
          <t>шт</t>
        </is>
      </c>
      <c r="F87" s="168" t="n">
        <v>15</v>
      </c>
      <c r="G87" s="241" t="n">
        <v>1073.02</v>
      </c>
      <c r="H87" s="160">
        <f>ROUND(F87*G87,2)</f>
        <v/>
      </c>
      <c r="I87" s="73">
        <f>H87/$H$70</f>
        <v/>
      </c>
    </row>
    <row r="88" ht="63.75" customHeight="1">
      <c r="A88" s="154" t="n">
        <v>72</v>
      </c>
      <c r="B88" s="228" t="n"/>
      <c r="C88" s="239" t="inlineStr">
        <is>
          <t>07.2.07.12-0003</t>
        </is>
      </c>
      <c r="D88" s="238" t="inlineStr">
        <is>
          <t>Элементы конструктивные вспомогательного назначения массой не более 50 кг с преобладанием толстолистовой стали, собираемые из двух и более деталей, с отверстиями и без отверстий, соединяемые на сварке</t>
        </is>
      </c>
      <c r="E88" s="239" t="inlineStr">
        <is>
          <t>т</t>
        </is>
      </c>
      <c r="F88" s="168" t="n">
        <v>1.0675</v>
      </c>
      <c r="G88" s="241" t="n">
        <v>11255</v>
      </c>
      <c r="H88" s="160">
        <f>ROUND(F88*G88,2)</f>
        <v/>
      </c>
      <c r="I88" s="73">
        <f>H88/$H$70</f>
        <v/>
      </c>
    </row>
    <row r="89" ht="25.5" customHeight="1">
      <c r="A89" s="154" t="n">
        <v>73</v>
      </c>
      <c r="B89" s="228" t="n"/>
      <c r="C89" s="239" t="inlineStr">
        <is>
          <t>07.2.07.12-0031</t>
        </is>
      </c>
      <c r="D89" s="238" t="inlineStr">
        <is>
          <t>Прочие конструкции одноэтажных производственных зданий, масса сборочной единицы до 0,1 т</t>
        </is>
      </c>
      <c r="E89" s="239" t="inlineStr">
        <is>
          <t>т</t>
        </is>
      </c>
      <c r="F89" s="168" t="n">
        <v>0.8582475000000001</v>
      </c>
      <c r="G89" s="241" t="n">
        <v>12990.48</v>
      </c>
      <c r="H89" s="160">
        <f>ROUND(F89*G89,2)</f>
        <v/>
      </c>
      <c r="I89" s="73">
        <f>H89/$H$70</f>
        <v/>
      </c>
    </row>
    <row r="90" ht="25.5" customHeight="1">
      <c r="A90" s="154" t="n">
        <v>74</v>
      </c>
      <c r="B90" s="228" t="n"/>
      <c r="C90" s="239" t="inlineStr">
        <is>
          <t>07.2.03.06-0111</t>
        </is>
      </c>
      <c r="D90" s="238" t="inlineStr">
        <is>
          <t>Связи по колоннам и стойкам фахверка (диагональные и распорки)</t>
        </is>
      </c>
      <c r="E90" s="239" t="inlineStr">
        <is>
          <t>т</t>
        </is>
      </c>
      <c r="F90" s="168" t="n">
        <v>1.45642</v>
      </c>
      <c r="G90" s="241" t="n">
        <v>7007</v>
      </c>
      <c r="H90" s="160">
        <f>ROUND(F90*G90,2)</f>
        <v/>
      </c>
      <c r="I90" s="73">
        <f>H90/$H$70</f>
        <v/>
      </c>
      <c r="K90" s="169" t="n"/>
    </row>
    <row r="91">
      <c r="A91" s="154" t="n">
        <v>75</v>
      </c>
      <c r="B91" s="228" t="n"/>
      <c r="C91" s="239" t="inlineStr">
        <is>
          <t>07.1.01.03-0022</t>
        </is>
      </c>
      <c r="D91" s="238" t="inlineStr">
        <is>
          <t>Двери стальные утепленные двупольные 2ДСУ 2.02.4</t>
        </is>
      </c>
      <c r="E91" s="239" t="inlineStr">
        <is>
          <t>шт</t>
        </is>
      </c>
      <c r="F91" s="168" t="n">
        <v>2.5</v>
      </c>
      <c r="G91" s="241" t="n">
        <v>3739.42</v>
      </c>
      <c r="H91" s="160">
        <f>ROUND(F91*G91,2)</f>
        <v/>
      </c>
      <c r="I91" s="73">
        <f>H91/$H$70</f>
        <v/>
      </c>
    </row>
    <row r="92" ht="25.5" customHeight="1">
      <c r="A92" s="154" t="n">
        <v>76</v>
      </c>
      <c r="B92" s="228" t="n"/>
      <c r="C92" s="239" t="inlineStr">
        <is>
          <t>07.2.07.13-0061</t>
        </is>
      </c>
      <c r="D92" s="238" t="inlineStr">
        <is>
          <t>Конструкции стальные нащельников и деталей обрамления</t>
        </is>
      </c>
      <c r="E92" s="239" t="inlineStr">
        <is>
          <t>т</t>
        </is>
      </c>
      <c r="F92" s="168" t="n">
        <v>0.74199375</v>
      </c>
      <c r="G92" s="241" t="n">
        <v>10898.65</v>
      </c>
      <c r="H92" s="160">
        <f>ROUND(F92*G92,2)</f>
        <v/>
      </c>
      <c r="I92" s="172" t="n"/>
    </row>
    <row r="93" ht="38.25" customHeight="1">
      <c r="A93" s="154" t="n">
        <v>77</v>
      </c>
      <c r="B93" s="228" t="n"/>
      <c r="C93" s="239" t="inlineStr">
        <is>
          <t>19.2.03.01-1006</t>
        </is>
      </c>
      <c r="D93" s="238" t="inlineStr">
        <is>
          <t>Решетка жалюзийная наружная из алюминия круглого сечения марки: IGC 315 (SYSTEMAIR), диаметром 315 мм</t>
        </is>
      </c>
      <c r="E93" s="239" t="inlineStr">
        <is>
          <t>шт</t>
        </is>
      </c>
      <c r="F93" s="168" t="n">
        <v>5</v>
      </c>
      <c r="G93" s="241" t="n">
        <v>1335.01</v>
      </c>
      <c r="H93" s="160">
        <f>ROUND(F93*G93,2)</f>
        <v/>
      </c>
      <c r="I93" s="172" t="n"/>
    </row>
    <row r="94">
      <c r="A94" s="154" t="n">
        <v>78</v>
      </c>
      <c r="B94" s="228" t="n"/>
      <c r="C94" s="239" t="inlineStr">
        <is>
          <t>20.2.08.02-0032</t>
        </is>
      </c>
      <c r="D94" s="238" t="inlineStr">
        <is>
          <t>Прижим НЛ-ПРц</t>
        </is>
      </c>
      <c r="E94" s="239" t="inlineStr">
        <is>
          <t>100 шт</t>
        </is>
      </c>
      <c r="F94" s="168" t="n">
        <v>37.5</v>
      </c>
      <c r="G94" s="241" t="n">
        <v>166.01</v>
      </c>
      <c r="H94" s="160">
        <f>ROUND(F94*G94,2)</f>
        <v/>
      </c>
      <c r="I94" s="172" t="n"/>
    </row>
    <row r="95">
      <c r="A95" s="154" t="n">
        <v>79</v>
      </c>
      <c r="B95" s="228" t="n"/>
      <c r="C95" s="239" t="inlineStr">
        <is>
          <t>20.5.02.06-0039</t>
        </is>
      </c>
      <c r="D95" s="238" t="inlineStr">
        <is>
          <t>Коробка разветвительная У-409</t>
        </is>
      </c>
      <c r="E95" s="239" t="inlineStr">
        <is>
          <t>10 шт</t>
        </is>
      </c>
      <c r="F95" s="168" t="n">
        <v>16.25</v>
      </c>
      <c r="G95" s="241" t="n">
        <v>345.3</v>
      </c>
      <c r="H95" s="160">
        <f>ROUND(F95*G95,2)</f>
        <v/>
      </c>
      <c r="I95" s="172" t="n"/>
    </row>
    <row r="96" ht="25.5" customHeight="1">
      <c r="A96" s="154" t="n">
        <v>80</v>
      </c>
      <c r="B96" s="228" t="n"/>
      <c r="C96" s="239" t="inlineStr">
        <is>
          <t>01.6.01.01-0002</t>
        </is>
      </c>
      <c r="D96" s="238" t="inlineStr">
        <is>
          <t>Лист гипсоволокнистый влагостойкий ГВЛВ, толщина 12,5 мм</t>
        </is>
      </c>
      <c r="E96" s="239" t="inlineStr">
        <is>
          <t>м2</t>
        </is>
      </c>
      <c r="F96" s="168" t="n">
        <v>204.16625</v>
      </c>
      <c r="G96" s="241" t="n">
        <v>27.29</v>
      </c>
      <c r="H96" s="160">
        <f>ROUND(F96*G96,2)</f>
        <v/>
      </c>
      <c r="I96" s="172" t="n"/>
    </row>
    <row r="97" ht="25.5" customHeight="1">
      <c r="A97" s="154" t="n">
        <v>81</v>
      </c>
      <c r="B97" s="228" t="n"/>
      <c r="C97" s="239" t="inlineStr">
        <is>
          <t>20.4.03.07-0018</t>
        </is>
      </c>
      <c r="D97" s="238" t="inlineStr">
        <is>
          <t>Розетка штепсельная малогабаритная для скрытой проводки РШ-П-20-С-01-10/220У4</t>
        </is>
      </c>
      <c r="E97" s="239" t="inlineStr">
        <is>
          <t>100 шт</t>
        </is>
      </c>
      <c r="F97" s="168" t="n">
        <v>7.5</v>
      </c>
      <c r="G97" s="241" t="n">
        <v>560</v>
      </c>
      <c r="H97" s="160">
        <f>ROUND(F97*G97,2)</f>
        <v/>
      </c>
      <c r="I97" s="172" t="n"/>
    </row>
    <row r="98">
      <c r="A98" s="154" t="n">
        <v>82</v>
      </c>
      <c r="B98" s="228" t="n"/>
      <c r="C98" s="239" t="inlineStr">
        <is>
          <t>08.4.03.04-0001</t>
        </is>
      </c>
      <c r="D98" s="238" t="inlineStr">
        <is>
          <t>Сталь арматурная, горячекатаная, класс А-I, А-II, А-III</t>
        </is>
      </c>
      <c r="E98" s="239" t="inlineStr">
        <is>
          <t>т</t>
        </is>
      </c>
      <c r="F98" s="168" t="n">
        <v>0.71875</v>
      </c>
      <c r="G98" s="241" t="n">
        <v>5650</v>
      </c>
      <c r="H98" s="160">
        <f>ROUND(F98*G98,2)</f>
        <v/>
      </c>
      <c r="I98" s="172" t="n"/>
    </row>
    <row r="99">
      <c r="A99" s="154" t="n">
        <v>83</v>
      </c>
      <c r="B99" s="228" t="n"/>
      <c r="C99" s="239" t="inlineStr">
        <is>
          <t>25.2.02.08-0003</t>
        </is>
      </c>
      <c r="D99" s="238" t="inlineStr">
        <is>
          <t>Узел крепления: кронштейна окрашенный</t>
        </is>
      </c>
      <c r="E99" s="239" t="inlineStr">
        <is>
          <t>шт</t>
        </is>
      </c>
      <c r="F99" s="168" t="n">
        <v>31.25</v>
      </c>
      <c r="G99" s="241" t="n">
        <v>128.79</v>
      </c>
      <c r="H99" s="160">
        <f>ROUND(F99*G99,2)</f>
        <v/>
      </c>
      <c r="I99" s="172" t="n"/>
    </row>
    <row r="100" ht="51" customHeight="1">
      <c r="A100" s="154" t="n">
        <v>84</v>
      </c>
      <c r="B100" s="228" t="n"/>
      <c r="C100" s="239" t="inlineStr">
        <is>
          <t>19.1.06.02-0044</t>
        </is>
      </c>
      <c r="D100" s="238" t="inlineStr">
        <is>
          <t>Узлы прохода вытяжных вентиляционных шахт с утепленным клапаном, с площадкой под исполнительный механизм и кольцом для сбора конденсата УП5-14, диаметр патрубка 400 мм</t>
        </is>
      </c>
      <c r="E100" s="239" t="inlineStr">
        <is>
          <t>шт</t>
        </is>
      </c>
      <c r="F100" s="168" t="n">
        <v>2.5</v>
      </c>
      <c r="G100" s="241" t="n">
        <v>1542.85</v>
      </c>
      <c r="H100" s="160">
        <f>ROUND(F100*G100,2)</f>
        <v/>
      </c>
      <c r="I100" s="172" t="n"/>
    </row>
    <row r="101">
      <c r="A101" s="154" t="n">
        <v>85</v>
      </c>
      <c r="B101" s="228" t="n"/>
      <c r="C101" s="239" t="inlineStr">
        <is>
          <t>08.4.02.06-0001</t>
        </is>
      </c>
      <c r="D101" s="238" t="inlineStr">
        <is>
          <t>Сетка из проволоки холоднотянутой</t>
        </is>
      </c>
      <c r="E101" s="239" t="inlineStr">
        <is>
          <t>т</t>
        </is>
      </c>
      <c r="F101" s="168" t="n">
        <v>0.4025</v>
      </c>
      <c r="G101" s="241" t="n">
        <v>8800</v>
      </c>
      <c r="H101" s="160">
        <f>ROUND(F101*G101,2)</f>
        <v/>
      </c>
      <c r="I101" s="172" t="n"/>
    </row>
    <row r="102">
      <c r="A102" s="154" t="n">
        <v>86</v>
      </c>
      <c r="B102" s="228" t="n"/>
      <c r="C102" s="239" t="inlineStr">
        <is>
          <t>20.5.02.06-0037</t>
        </is>
      </c>
      <c r="D102" s="238" t="inlineStr">
        <is>
          <t>Коробки ответвительные У198 УХЛЗ</t>
        </is>
      </c>
      <c r="E102" s="239" t="inlineStr">
        <is>
          <t>10 шт</t>
        </is>
      </c>
      <c r="F102" s="168" t="n">
        <v>31.25</v>
      </c>
      <c r="G102" s="241" t="n">
        <v>104.3</v>
      </c>
      <c r="H102" s="160">
        <f>ROUND(F102*G102,2)</f>
        <v/>
      </c>
      <c r="I102" s="172" t="n"/>
    </row>
    <row r="103">
      <c r="A103" s="154" t="n">
        <v>87</v>
      </c>
      <c r="B103" s="228" t="n"/>
      <c r="C103" s="239" t="inlineStr">
        <is>
          <t>02.2.05.04-1567</t>
        </is>
      </c>
      <c r="D103" s="238" t="inlineStr">
        <is>
          <t>Щебень М 400, фракция 5(3)-10 мм, группа 2</t>
        </is>
      </c>
      <c r="E103" s="239" t="inlineStr">
        <is>
          <t>м3</t>
        </is>
      </c>
      <c r="F103" s="168" t="n">
        <v>22.1</v>
      </c>
      <c r="G103" s="241" t="n">
        <v>131.08</v>
      </c>
      <c r="H103" s="160">
        <f>ROUND(F103*G103,2)</f>
        <v/>
      </c>
      <c r="I103" s="172" t="n"/>
    </row>
    <row r="104" ht="38.25" customHeight="1">
      <c r="A104" s="154" t="n">
        <v>88</v>
      </c>
      <c r="B104" s="228" t="n"/>
      <c r="C104" s="239" t="inlineStr">
        <is>
          <t>07.2.07.12-0004</t>
        </is>
      </c>
      <c r="D104" s="238" t="inlineStr">
        <is>
          <t>Элементы конструктивные вспомогательного назначения с преобладанием профильного проката без отверстий и сборосварочных операций</t>
        </is>
      </c>
      <c r="E104" s="239" t="inlineStr">
        <is>
          <t>т</t>
        </is>
      </c>
      <c r="F104" s="168" t="n">
        <v>0.35</v>
      </c>
      <c r="G104" s="241" t="n">
        <v>7980</v>
      </c>
      <c r="H104" s="160">
        <f>ROUND(F104*G104,2)</f>
        <v/>
      </c>
      <c r="I104" s="172" t="n"/>
    </row>
    <row r="105" ht="25.5" customHeight="1">
      <c r="A105" s="154" t="n">
        <v>89</v>
      </c>
      <c r="B105" s="228" t="n"/>
      <c r="C105" s="239" t="inlineStr">
        <is>
          <t>04.1.02.05-0006</t>
        </is>
      </c>
      <c r="D105" s="238" t="inlineStr">
        <is>
          <t>Смеси бетонные тяжелого бетона (БСТ), класс В15 (М200)</t>
        </is>
      </c>
      <c r="E105" s="239" t="inlineStr">
        <is>
          <t>м3</t>
        </is>
      </c>
      <c r="F105" s="168" t="n">
        <v>4.5725</v>
      </c>
      <c r="G105" s="241" t="n">
        <v>592.76</v>
      </c>
      <c r="H105" s="160">
        <f>ROUND(F105*G105,2)</f>
        <v/>
      </c>
      <c r="I105" s="172" t="n"/>
    </row>
    <row r="106">
      <c r="A106" s="154" t="n">
        <v>90</v>
      </c>
      <c r="B106" s="228" t="n"/>
      <c r="C106" s="239" t="inlineStr">
        <is>
          <t>08.3.05.05-0053</t>
        </is>
      </c>
      <c r="D106" s="238" t="inlineStr">
        <is>
          <t>Сталь листовая оцинкованная, толщина 0,7 мм</t>
        </is>
      </c>
      <c r="E106" s="239" t="inlineStr">
        <is>
          <t>т</t>
        </is>
      </c>
      <c r="F106" s="168" t="n">
        <v>0.1881</v>
      </c>
      <c r="G106" s="241" t="n">
        <v>11200</v>
      </c>
      <c r="H106" s="160">
        <f>ROUND(F106*G106,2)</f>
        <v/>
      </c>
      <c r="I106" s="172" t="n"/>
    </row>
    <row r="107" ht="25.5" customHeight="1">
      <c r="A107" s="154" t="n">
        <v>91</v>
      </c>
      <c r="B107" s="228" t="n"/>
      <c r="C107" s="239" t="inlineStr">
        <is>
          <t>08.4.03.03-0032</t>
        </is>
      </c>
      <c r="D107" s="238" t="inlineStr">
        <is>
          <t>Сталь арматурная, горячекатаная, периодического профиля, класс А-III, диаметр 12 мм</t>
        </is>
      </c>
      <c r="E107" s="239" t="inlineStr">
        <is>
          <t>т</t>
        </is>
      </c>
      <c r="F107" s="168" t="n">
        <v>0.25</v>
      </c>
      <c r="G107" s="241" t="n">
        <v>7997.23</v>
      </c>
      <c r="H107" s="160">
        <f>ROUND(F107*G107,2)</f>
        <v/>
      </c>
      <c r="I107" s="172" t="n"/>
    </row>
    <row r="108" ht="25.5" customHeight="1">
      <c r="A108" s="154" t="n">
        <v>92</v>
      </c>
      <c r="B108" s="228" t="n"/>
      <c r="C108" s="239" t="inlineStr">
        <is>
          <t>12.2.05.09-0043</t>
        </is>
      </c>
      <c r="D108" s="238" t="inlineStr">
        <is>
          <t>Плиты теплоизоляционные из экструзионного вспененного полистирола ПЕНОПЛЭКС-35</t>
        </is>
      </c>
      <c r="E108" s="239" t="inlineStr">
        <is>
          <t>м3</t>
        </is>
      </c>
      <c r="F108" s="168" t="n">
        <v>1.57625</v>
      </c>
      <c r="G108" s="241" t="n">
        <v>1208.43</v>
      </c>
      <c r="H108" s="160">
        <f>ROUND(F108*G108,2)</f>
        <v/>
      </c>
      <c r="I108" s="172" t="n"/>
    </row>
    <row r="109" customFormat="1" s="153">
      <c r="A109" s="154" t="n">
        <v>93</v>
      </c>
      <c r="B109" s="228" t="n"/>
      <c r="C109" s="239" t="inlineStr">
        <is>
          <t>14.2.01.05-0003</t>
        </is>
      </c>
      <c r="D109" s="238" t="inlineStr">
        <is>
          <t>Композиция цинконаполненная</t>
        </is>
      </c>
      <c r="E109" s="239" t="inlineStr">
        <is>
          <t>кг</t>
        </is>
      </c>
      <c r="F109" s="168" t="n">
        <v>16.5025</v>
      </c>
      <c r="G109" s="241" t="n">
        <v>114.42</v>
      </c>
      <c r="H109" s="160">
        <f>ROUND(F109*G109,2)</f>
        <v/>
      </c>
      <c r="I109" s="172" t="n"/>
    </row>
    <row r="110">
      <c r="A110" s="154" t="n">
        <v>94</v>
      </c>
      <c r="B110" s="228" t="n"/>
      <c r="C110" s="239" t="inlineStr">
        <is>
          <t>01.7.15.03-0042</t>
        </is>
      </c>
      <c r="D110" s="238" t="inlineStr">
        <is>
          <t>Болты с гайками и шайбами строительные</t>
        </is>
      </c>
      <c r="E110" s="239" t="inlineStr">
        <is>
          <t>кг</t>
        </is>
      </c>
      <c r="F110" s="168" t="n">
        <v>204.80575</v>
      </c>
      <c r="G110" s="241" t="n">
        <v>9.039999999999999</v>
      </c>
      <c r="H110" s="160">
        <f>ROUND(F110*G110,2)</f>
        <v/>
      </c>
      <c r="I110" s="172" t="n"/>
    </row>
    <row r="111" ht="25.5" customHeight="1">
      <c r="A111" s="154" t="n">
        <v>95</v>
      </c>
      <c r="B111" s="228" t="n"/>
      <c r="C111" s="239" t="inlineStr">
        <is>
          <t>08.3.07.01-0052</t>
        </is>
      </c>
      <c r="D111" s="238" t="inlineStr">
        <is>
          <t>Прокат полосовой, горячекатаный, марка стали Ст3сп, размер 50х5 мм</t>
        </is>
      </c>
      <c r="E111" s="239" t="inlineStr">
        <is>
          <t>т</t>
        </is>
      </c>
      <c r="F111" s="168" t="n">
        <v>0.2695</v>
      </c>
      <c r="G111" s="241" t="n">
        <v>6726.18</v>
      </c>
      <c r="H111" s="160">
        <f>ROUND(F111*G111,2)</f>
        <v/>
      </c>
      <c r="I111" s="172" t="n"/>
      <c r="K111" s="169" t="n"/>
    </row>
    <row r="112" ht="38.25" customHeight="1">
      <c r="A112" s="154" t="n">
        <v>96</v>
      </c>
      <c r="B112" s="228" t="n"/>
      <c r="C112" s="239" t="inlineStr">
        <is>
          <t>Прайс из СД ОП</t>
        </is>
      </c>
      <c r="D112" s="238" t="inlineStr">
        <is>
          <t>Электрический обогреватель Noirot  MeLodie Evolution N=2,0кВт</t>
        </is>
      </c>
      <c r="E112" s="239" t="inlineStr">
        <is>
          <t>шт</t>
        </is>
      </c>
      <c r="F112" s="168" t="n">
        <v>2.5</v>
      </c>
      <c r="G112" s="241" t="n">
        <v>709.51</v>
      </c>
      <c r="H112" s="160">
        <f>ROUND(F112*G112,2)</f>
        <v/>
      </c>
      <c r="I112" s="172" t="n"/>
      <c r="K112" s="169" t="n"/>
    </row>
    <row r="113">
      <c r="A113" s="154" t="n">
        <v>97</v>
      </c>
      <c r="B113" s="228" t="n"/>
      <c r="C113" s="239" t="inlineStr">
        <is>
          <t>07.2.05.06-0011</t>
        </is>
      </c>
      <c r="D113" s="238" t="inlineStr">
        <is>
          <t>Каркас перегородки с дверью ПГД 1.52.4</t>
        </is>
      </c>
      <c r="E113" s="239" t="inlineStr">
        <is>
          <t>шт</t>
        </is>
      </c>
      <c r="F113" s="168" t="n">
        <v>1.25</v>
      </c>
      <c r="G113" s="241" t="n">
        <v>1415.31</v>
      </c>
      <c r="H113" s="160">
        <f>ROUND(F113*G113,2)</f>
        <v/>
      </c>
      <c r="I113" s="172" t="n"/>
      <c r="K113" s="169" t="n"/>
    </row>
    <row r="114" ht="25.5" customHeight="1">
      <c r="A114" s="154" t="n">
        <v>98</v>
      </c>
      <c r="B114" s="228" t="n"/>
      <c r="C114" s="239" t="inlineStr">
        <is>
          <t>05.2.03.03-0031</t>
        </is>
      </c>
      <c r="D114" s="238" t="inlineStr">
        <is>
          <t>Камни бортовые БР 100.20.8, бетон В22,5 (М300), объем 0,016 м3</t>
        </is>
      </c>
      <c r="E114" s="239" t="inlineStr">
        <is>
          <t>шт</t>
        </is>
      </c>
      <c r="F114" s="168" t="n">
        <v>77.5</v>
      </c>
      <c r="G114" s="241" t="n">
        <v>22.36</v>
      </c>
      <c r="H114" s="160">
        <f>ROUND(F114*G114,2)</f>
        <v/>
      </c>
      <c r="I114" s="172" t="n"/>
    </row>
    <row r="115" ht="25.5" customHeight="1">
      <c r="A115" s="154" t="n">
        <v>99</v>
      </c>
      <c r="B115" s="228" t="n"/>
      <c r="C115" s="239" t="inlineStr">
        <is>
          <t>62.1.02.16-0005</t>
        </is>
      </c>
      <c r="D115" s="238" t="inlineStr">
        <is>
          <t>Щитки осветительные, 6 отходящих линий с автоматическими выключателями</t>
        </is>
      </c>
      <c r="E115" s="239" t="inlineStr">
        <is>
          <t>шт</t>
        </is>
      </c>
      <c r="F115" s="168" t="n">
        <v>1.25</v>
      </c>
      <c r="G115" s="241" t="n">
        <v>1325.49</v>
      </c>
      <c r="H115" s="160">
        <f>ROUND(F115*G115,2)</f>
        <v/>
      </c>
      <c r="I115" s="172" t="n"/>
    </row>
    <row r="116">
      <c r="A116" s="154" t="n">
        <v>100</v>
      </c>
      <c r="B116" s="228" t="n"/>
      <c r="C116" s="239" t="inlineStr">
        <is>
          <t>21.1.06.09-0055</t>
        </is>
      </c>
      <c r="D116" s="238" t="inlineStr">
        <is>
          <t>Кабель силовой с медными жилами ВВГ 3х2,5-660</t>
        </is>
      </c>
      <c r="E116" s="239" t="inlineStr">
        <is>
          <t>1000 м</t>
        </is>
      </c>
      <c r="F116" s="168" t="n">
        <v>0.337875</v>
      </c>
      <c r="G116" s="241" t="n">
        <v>4883.86</v>
      </c>
      <c r="H116" s="160">
        <f>ROUND(F116*G116,2)</f>
        <v/>
      </c>
      <c r="I116" s="172" t="n"/>
    </row>
    <row r="117" ht="25.5" customHeight="1">
      <c r="A117" s="154" t="n">
        <v>101</v>
      </c>
      <c r="B117" s="228" t="n"/>
      <c r="C117" s="239" t="inlineStr">
        <is>
          <t>08.4.01.01-0022</t>
        </is>
      </c>
      <c r="D117" s="238" t="inlineStr">
        <is>
          <t>Детали анкерные с резьбой из прямых или гнутых круглых стержней</t>
        </is>
      </c>
      <c r="E117" s="239" t="inlineStr">
        <is>
          <t>т</t>
        </is>
      </c>
      <c r="F117" s="168" t="n">
        <v>0.1625</v>
      </c>
      <c r="G117" s="241" t="n">
        <v>10100</v>
      </c>
      <c r="H117" s="160">
        <f>ROUND(F117*G117,2)</f>
        <v/>
      </c>
      <c r="I117" s="172" t="n"/>
    </row>
    <row r="118" ht="25.5" customHeight="1">
      <c r="A118" s="154" t="n">
        <v>102</v>
      </c>
      <c r="B118" s="228" t="n"/>
      <c r="C118" s="239" t="inlineStr">
        <is>
          <t>Прайс из СД ОП</t>
        </is>
      </c>
      <c r="D118" s="238" t="inlineStr">
        <is>
          <t>Электропривод ASO-R04F Polar Bear</t>
        </is>
      </c>
      <c r="E118" s="239" t="inlineStr">
        <is>
          <t>шт.</t>
        </is>
      </c>
      <c r="F118" s="168" t="n">
        <v>5</v>
      </c>
      <c r="G118" s="241" t="n">
        <v>322.92</v>
      </c>
      <c r="H118" s="160">
        <f>ROUND(F118*G118,2)</f>
        <v/>
      </c>
      <c r="I118" s="172" t="n"/>
    </row>
    <row r="119">
      <c r="A119" s="154" t="n">
        <v>103</v>
      </c>
      <c r="B119" s="228" t="n"/>
      <c r="C119" s="239" t="inlineStr">
        <is>
          <t>62.1.02.16-0012</t>
        </is>
      </c>
      <c r="D119" s="238" t="inlineStr">
        <is>
          <t>Щитки осветительные: ОЩВ-12А УХЛ4</t>
        </is>
      </c>
      <c r="E119" s="239" t="inlineStr">
        <is>
          <t>шт</t>
        </is>
      </c>
      <c r="F119" s="168" t="n">
        <v>1.25</v>
      </c>
      <c r="G119" s="241" t="n">
        <v>1213.77</v>
      </c>
      <c r="H119" s="160">
        <f>ROUND(F119*G119,2)</f>
        <v/>
      </c>
      <c r="I119" s="172" t="n"/>
    </row>
    <row r="120">
      <c r="A120" s="154" t="n">
        <v>104</v>
      </c>
      <c r="B120" s="228" t="n"/>
      <c r="C120" s="239" t="inlineStr">
        <is>
          <t>14.4.01.01-0003</t>
        </is>
      </c>
      <c r="D120" s="238" t="inlineStr">
        <is>
          <t>Грунтовка ГФ-021</t>
        </is>
      </c>
      <c r="E120" s="239" t="inlineStr">
        <is>
          <t>т</t>
        </is>
      </c>
      <c r="F120" s="168" t="n">
        <v>0.09525625</v>
      </c>
      <c r="G120" s="241" t="n">
        <v>15620</v>
      </c>
      <c r="H120" s="160">
        <f>ROUND(F120*G120,2)</f>
        <v/>
      </c>
      <c r="I120" s="172" t="n"/>
    </row>
    <row r="121" ht="63.75" customHeight="1">
      <c r="A121" s="154" t="n">
        <v>105</v>
      </c>
      <c r="B121" s="228" t="n"/>
      <c r="C121" s="239" t="inlineStr">
        <is>
          <t>08.4.01.02-0013</t>
        </is>
      </c>
      <c r="D121" s="238" t="inlineStr">
        <is>
      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      </is>
      </c>
      <c r="E121" s="239" t="inlineStr">
        <is>
          <t>т</t>
        </is>
      </c>
      <c r="F121" s="168" t="n">
        <v>0.1875</v>
      </c>
      <c r="G121" s="241" t="n">
        <v>6800</v>
      </c>
      <c r="H121" s="160">
        <f>ROUND(F121*G121,2)</f>
        <v/>
      </c>
      <c r="I121" s="172" t="n"/>
    </row>
    <row r="122" ht="25.5" customHeight="1">
      <c r="A122" s="154" t="n">
        <v>106</v>
      </c>
      <c r="B122" s="228" t="n"/>
      <c r="C122" s="239" t="inlineStr">
        <is>
          <t>19.1.01.03-0074</t>
        </is>
      </c>
      <c r="D122" s="238" t="inlineStr">
        <is>
          <t>Воздуховоды из оцинкованной стали, толщина 0,6 мм, диаметр до 450 мм</t>
        </is>
      </c>
      <c r="E122" s="239" t="inlineStr">
        <is>
          <t>м2</t>
        </is>
      </c>
      <c r="F122" s="168" t="n">
        <v>15</v>
      </c>
      <c r="G122" s="241" t="n">
        <v>84.05</v>
      </c>
      <c r="H122" s="160">
        <f>ROUND(F122*G122,2)</f>
        <v/>
      </c>
      <c r="I122" s="172" t="n"/>
    </row>
    <row r="123" ht="25.5" customHeight="1">
      <c r="A123" s="154" t="n">
        <v>107</v>
      </c>
      <c r="B123" s="228" t="n"/>
      <c r="C123" s="239" t="inlineStr">
        <is>
          <t>19.3.01.06-0051</t>
        </is>
      </c>
      <c r="D123" s="238" t="inlineStr">
        <is>
          <t>Клапаны воздушные под ручной или электропривод ВК, размер 150х150 мм</t>
        </is>
      </c>
      <c r="E123" s="239" t="inlineStr">
        <is>
          <t>шт</t>
        </is>
      </c>
      <c r="F123" s="168" t="n">
        <v>5</v>
      </c>
      <c r="G123" s="241" t="n">
        <v>248.09</v>
      </c>
      <c r="H123" s="160">
        <f>ROUND(F123*G123,2)</f>
        <v/>
      </c>
      <c r="I123" s="172" t="n"/>
    </row>
    <row r="124" ht="38.25" customHeight="1">
      <c r="A124" s="154" t="n">
        <v>108</v>
      </c>
      <c r="B124" s="228" t="n"/>
      <c r="C124" s="239" t="inlineStr">
        <is>
          <t>18.2.07.01-0005</t>
        </is>
      </c>
      <c r="D124" s="238" t="inlineStr">
        <is>
          <t>Узлы трубопроводов укрупненные монтажные из стальных водогазопроводных оцинкованных труб диаметром 20 мм</t>
        </is>
      </c>
      <c r="E124" s="239" t="inlineStr">
        <is>
          <t>м</t>
        </is>
      </c>
      <c r="F124" s="168" t="n">
        <v>37.5</v>
      </c>
      <c r="G124" s="241" t="n">
        <v>32.75</v>
      </c>
      <c r="H124" s="160">
        <f>ROUND(F124*G124,2)</f>
        <v/>
      </c>
      <c r="I124" s="172" t="n"/>
    </row>
    <row r="125">
      <c r="A125" s="154" t="n">
        <v>109</v>
      </c>
      <c r="B125" s="228" t="n"/>
      <c r="C125" s="239" t="inlineStr">
        <is>
          <t>12.2.05.11-0023</t>
        </is>
      </c>
      <c r="D125" s="238" t="inlineStr">
        <is>
          <t>Плиты или маты теплоизоляционные</t>
        </is>
      </c>
      <c r="E125" s="239" t="inlineStr">
        <is>
          <t>м3</t>
        </is>
      </c>
      <c r="F125" s="168" t="n">
        <v>2.25</v>
      </c>
      <c r="G125" s="241" t="n">
        <v>542.4</v>
      </c>
      <c r="H125" s="160">
        <f>ROUND(F125*G125,2)</f>
        <v/>
      </c>
      <c r="I125" s="172" t="n"/>
    </row>
    <row r="126" ht="25.5" customHeight="1">
      <c r="A126" s="154" t="n">
        <v>110</v>
      </c>
      <c r="B126" s="228" t="n"/>
      <c r="C126" s="239" t="inlineStr">
        <is>
          <t>01.7.07.04-0005</t>
        </is>
      </c>
      <c r="D126" s="238" t="inlineStr">
        <is>
          <t>Дисперсия поливинилацетатная гомополимерная грубодисперсная непластифицированная Д50Н</t>
        </is>
      </c>
      <c r="E126" s="239" t="inlineStr">
        <is>
          <t>кг</t>
        </is>
      </c>
      <c r="F126" s="168" t="n">
        <v>66.7734375</v>
      </c>
      <c r="G126" s="241" t="n">
        <v>16.6</v>
      </c>
      <c r="H126" s="160">
        <f>ROUND(F126*G126,2)</f>
        <v/>
      </c>
      <c r="I126" s="172" t="n"/>
    </row>
    <row r="127" ht="38.25" customHeight="1">
      <c r="A127" s="154" t="n">
        <v>111</v>
      </c>
      <c r="B127" s="228" t="n"/>
      <c r="C127" s="239" t="inlineStr">
        <is>
          <t>62.1.02.16-0004</t>
        </is>
      </c>
      <c r="D127" s="238" t="inlineStr">
        <is>
          <t>Щитки осветительные групповые, номинальный ток на вводе 50-100 А, на отходящих линиях 10-25 А, степень защиты IP30, размер 210х285х100 мм</t>
        </is>
      </c>
      <c r="E127" s="239" t="inlineStr">
        <is>
          <t>шт</t>
        </is>
      </c>
      <c r="F127" s="168" t="n">
        <v>1.25</v>
      </c>
      <c r="G127" s="241" t="n">
        <v>878.51</v>
      </c>
      <c r="H127" s="160">
        <f>ROUND(F127*G127,2)</f>
        <v/>
      </c>
      <c r="I127" s="172" t="n"/>
    </row>
    <row r="128" ht="38.25" customHeight="1">
      <c r="A128" s="154" t="n">
        <v>112</v>
      </c>
      <c r="B128" s="228" t="n"/>
      <c r="C128" s="239" t="inlineStr">
        <is>
          <t>Прайс из СД ОП</t>
        </is>
      </c>
      <c r="D128" s="238" t="inlineStr">
        <is>
          <t>Электрический обогреватель Noirot Sport E-Pro N=0,75кВт</t>
        </is>
      </c>
      <c r="E128" s="239" t="inlineStr">
        <is>
          <t>шт</t>
        </is>
      </c>
      <c r="F128" s="168" t="n">
        <v>2.5</v>
      </c>
      <c r="G128" s="241" t="n">
        <v>404.94</v>
      </c>
      <c r="H128" s="160">
        <f>ROUND(F128*G128,2)</f>
        <v/>
      </c>
      <c r="I128" s="172" t="n"/>
    </row>
    <row r="129">
      <c r="A129" s="154" t="n">
        <v>113</v>
      </c>
      <c r="B129" s="228" t="n"/>
      <c r="C129" s="239" t="inlineStr">
        <is>
          <t>06.2.05.03-1000</t>
        </is>
      </c>
      <c r="D129" s="238" t="inlineStr">
        <is>
          <t>Плитка керамогранитная, размер 300х300х8 мм</t>
        </is>
      </c>
      <c r="E129" s="239" t="inlineStr">
        <is>
          <t>м2</t>
        </is>
      </c>
      <c r="F129" s="168" t="n">
        <v>19.125</v>
      </c>
      <c r="G129" s="241" t="n">
        <v>47.83</v>
      </c>
      <c r="H129" s="160">
        <f>ROUND(F129*G129,2)</f>
        <v/>
      </c>
      <c r="I129" s="172" t="n"/>
    </row>
    <row r="130">
      <c r="A130" s="154" t="n">
        <v>114</v>
      </c>
      <c r="B130" s="228" t="n"/>
      <c r="C130" s="239" t="inlineStr">
        <is>
          <t>21.1.08.03-0347</t>
        </is>
      </c>
      <c r="D130" s="238" t="inlineStr">
        <is>
          <t>Кабель контрольный КВВГ 4х1,5</t>
        </is>
      </c>
      <c r="E130" s="239" t="inlineStr">
        <is>
          <t>1000 м</t>
        </is>
      </c>
      <c r="F130" s="168" t="n">
        <v>0.108375</v>
      </c>
      <c r="G130" s="241" t="n">
        <v>8308.84</v>
      </c>
      <c r="H130" s="160">
        <f>ROUND(F130*G130,2)</f>
        <v/>
      </c>
      <c r="I130" s="172" t="n"/>
    </row>
    <row r="131">
      <c r="A131" s="154" t="n">
        <v>115</v>
      </c>
      <c r="B131" s="228" t="n"/>
      <c r="C131" s="239" t="inlineStr">
        <is>
          <t>14.4.02.09-0301</t>
        </is>
      </c>
      <c r="D131" s="238" t="inlineStr">
        <is>
          <t>Композиция антикоррозионная цинкнаполненная</t>
        </is>
      </c>
      <c r="E131" s="239" t="inlineStr">
        <is>
          <t>кг</t>
        </is>
      </c>
      <c r="F131" s="168" t="n">
        <v>3.1625</v>
      </c>
      <c r="G131" s="241" t="n">
        <v>238.48</v>
      </c>
      <c r="H131" s="160">
        <f>ROUND(F131*G131,2)</f>
        <v/>
      </c>
      <c r="I131" s="172" t="n"/>
    </row>
    <row r="132">
      <c r="A132" s="154" t="n">
        <v>116</v>
      </c>
      <c r="B132" s="228" t="n"/>
      <c r="C132" s="239" t="inlineStr">
        <is>
          <t>01.3.01.01-0001</t>
        </is>
      </c>
      <c r="D132" s="238" t="inlineStr">
        <is>
          <t>Бензин авиационный Б-70</t>
        </is>
      </c>
      <c r="E132" s="239" t="inlineStr">
        <is>
          <t>т</t>
        </is>
      </c>
      <c r="F132" s="168" t="n">
        <v>0.15</v>
      </c>
      <c r="G132" s="241" t="n">
        <v>4488.4</v>
      </c>
      <c r="H132" s="160">
        <f>ROUND(F132*G132,2)</f>
        <v/>
      </c>
      <c r="I132" s="172" t="n"/>
    </row>
    <row r="133" customFormat="1" s="153">
      <c r="A133" s="154" t="n">
        <v>117</v>
      </c>
      <c r="B133" s="228" t="n"/>
      <c r="C133" s="239" t="inlineStr">
        <is>
          <t>01.7.11.07-0032</t>
        </is>
      </c>
      <c r="D133" s="238" t="inlineStr">
        <is>
          <t>Электроды сварочные Э42, диаметр 4 мм</t>
        </is>
      </c>
      <c r="E133" s="239" t="inlineStr">
        <is>
          <t>т</t>
        </is>
      </c>
      <c r="F133" s="168" t="n">
        <v>0.06299250000000001</v>
      </c>
      <c r="G133" s="241" t="n">
        <v>10315.01</v>
      </c>
      <c r="H133" s="160">
        <f>ROUND(F133*G133,2)</f>
        <v/>
      </c>
      <c r="I133" s="172" t="n"/>
    </row>
    <row r="134" ht="51" customHeight="1">
      <c r="A134" s="154" t="n">
        <v>118</v>
      </c>
      <c r="B134" s="228" t="n"/>
      <c r="C134" s="239" t="inlineStr">
        <is>
          <t>20.2.07.06-0009</t>
        </is>
      </c>
      <c r="D134" s="238" t="inlineStr">
        <is>
          <t>Лоток кабельный проволочный, размер 200х50 мм, горячеоцинкованный (прим. Лоток прямой перфорированный ЛМ 200х65ХЛ1, горячеоцинкованный)</t>
        </is>
      </c>
      <c r="E134" s="239" t="inlineStr">
        <is>
          <t>м</t>
        </is>
      </c>
      <c r="F134" s="168" t="n">
        <v>18.75</v>
      </c>
      <c r="G134" s="241" t="n">
        <v>34.53</v>
      </c>
      <c r="H134" s="160">
        <f>ROUND(F134*G134,2)</f>
        <v/>
      </c>
      <c r="I134" s="172" t="n"/>
    </row>
    <row r="135">
      <c r="A135" s="154" t="n">
        <v>119</v>
      </c>
      <c r="B135" s="228" t="n"/>
      <c r="C135" s="239" t="inlineStr">
        <is>
          <t>08.3.03.04-0012</t>
        </is>
      </c>
      <c r="D135" s="238" t="inlineStr">
        <is>
          <t>Проволока светлая, диаметр 1,1 мм</t>
        </is>
      </c>
      <c r="E135" s="239" t="inlineStr">
        <is>
          <t>т</t>
        </is>
      </c>
      <c r="F135" s="168" t="n">
        <v>0.061635</v>
      </c>
      <c r="G135" s="241" t="n">
        <v>10200</v>
      </c>
      <c r="H135" s="160">
        <f>ROUND(F135*G135,2)</f>
        <v/>
      </c>
      <c r="I135" s="172" t="n"/>
      <c r="K135" s="169" t="n"/>
    </row>
    <row r="136">
      <c r="A136" s="154" t="n">
        <v>120</v>
      </c>
      <c r="B136" s="228" t="n"/>
      <c r="C136" s="239" t="inlineStr">
        <is>
          <t>14.4.02.09-0302</t>
        </is>
      </c>
      <c r="D136" s="238" t="inlineStr">
        <is>
          <t>Краска БТ-177</t>
        </is>
      </c>
      <c r="E136" s="239" t="inlineStr">
        <is>
          <t>т</t>
        </is>
      </c>
      <c r="F136" s="168" t="n">
        <v>0.029025</v>
      </c>
      <c r="G136" s="241" t="n">
        <v>21205</v>
      </c>
      <c r="H136" s="160">
        <f>ROUND(F136*G136,2)</f>
        <v/>
      </c>
      <c r="I136" s="172" t="n"/>
      <c r="K136" s="169" t="n"/>
    </row>
    <row r="137">
      <c r="A137" s="154" t="n">
        <v>121</v>
      </c>
      <c r="B137" s="228" t="n"/>
      <c r="C137" s="239" t="inlineStr">
        <is>
          <t>21.1.06.09-0058</t>
        </is>
      </c>
      <c r="D137" s="238" t="inlineStr">
        <is>
          <t>Кабель силовой с медными жилами ВВГ 3х4-660</t>
        </is>
      </c>
      <c r="E137" s="239" t="inlineStr">
        <is>
          <t>1000 м</t>
        </is>
      </c>
      <c r="F137" s="168" t="n">
        <v>0.082875</v>
      </c>
      <c r="G137" s="241" t="n">
        <v>7189.06</v>
      </c>
      <c r="H137" s="160">
        <f>ROUND(F137*G137,2)</f>
        <v/>
      </c>
      <c r="I137" s="172" t="n"/>
      <c r="K137" s="169" t="n"/>
    </row>
    <row r="138">
      <c r="A138" s="154" t="n">
        <v>122</v>
      </c>
      <c r="B138" s="228" t="n"/>
      <c r="C138" s="239" t="inlineStr">
        <is>
          <t>14.4.02.04-0143</t>
        </is>
      </c>
      <c r="D138" s="238" t="inlineStr">
        <is>
          <t>Краска масляная земляная МА-0115, охра</t>
        </is>
      </c>
      <c r="E138" s="239" t="inlineStr">
        <is>
          <t>т</t>
        </is>
      </c>
      <c r="F138" s="168" t="n">
        <v>0.03815625</v>
      </c>
      <c r="G138" s="241" t="n">
        <v>15584</v>
      </c>
      <c r="H138" s="160">
        <f>ROUND(F138*G138,2)</f>
        <v/>
      </c>
      <c r="I138" s="172" t="n"/>
    </row>
    <row r="139" ht="25.5" customHeight="1">
      <c r="A139" s="154" t="n">
        <v>123</v>
      </c>
      <c r="B139" s="228" t="n"/>
      <c r="C139" s="239" t="inlineStr">
        <is>
          <t>19.1.04.01-0032</t>
        </is>
      </c>
      <c r="D139" s="238" t="inlineStr">
        <is>
          <t>Дефлекторы вытяжные цилиндрические, тип ЦАГИ № 4, диаметр патрубка 400 мм</t>
        </is>
      </c>
      <c r="E139" s="239" t="inlineStr">
        <is>
          <t>шт</t>
        </is>
      </c>
      <c r="F139" s="168" t="n">
        <v>2.5</v>
      </c>
      <c r="G139" s="241" t="n">
        <v>210.2</v>
      </c>
      <c r="H139" s="160">
        <f>ROUND(F139*G139,2)</f>
        <v/>
      </c>
      <c r="I139" s="172" t="n"/>
    </row>
    <row r="140" ht="38.25" customHeight="1">
      <c r="A140" s="154" t="n">
        <v>124</v>
      </c>
      <c r="B140" s="228" t="n"/>
      <c r="C140" s="239" t="inlineStr">
        <is>
          <t>07.2.06.03-0195</t>
        </is>
      </c>
      <c r="D140" s="238" t="inlineStr">
        <is>
          <t>Профиль стоечный, стальной, оцинкованный, для монтажа гипсовых перегородок, длина 3 м, сечение 50х50х0,6 мм</t>
        </is>
      </c>
      <c r="E140" s="239" t="inlineStr">
        <is>
          <t>м</t>
        </is>
      </c>
      <c r="F140" s="168" t="n">
        <v>75.72499999999999</v>
      </c>
      <c r="G140" s="241" t="n">
        <v>6.86</v>
      </c>
      <c r="H140" s="160">
        <f>ROUND(F140*G140,2)</f>
        <v/>
      </c>
      <c r="I140" s="172" t="n"/>
    </row>
    <row r="141">
      <c r="A141" s="154" t="n">
        <v>125</v>
      </c>
      <c r="B141" s="228" t="n"/>
      <c r="C141" s="239" t="inlineStr">
        <is>
          <t>20.4.01.01-0031</t>
        </is>
      </c>
      <c r="D141" s="238" t="inlineStr">
        <is>
          <t>Выключатель одноклавишный для открытой проводки</t>
        </is>
      </c>
      <c r="E141" s="239" t="inlineStr">
        <is>
          <t>10 шт</t>
        </is>
      </c>
      <c r="F141" s="168" t="n">
        <v>7.5</v>
      </c>
      <c r="G141" s="241" t="n">
        <v>68</v>
      </c>
      <c r="H141" s="160">
        <f>ROUND(F141*G141,2)</f>
        <v/>
      </c>
      <c r="I141" s="172" t="n"/>
    </row>
    <row r="142" ht="25.5" customHeight="1">
      <c r="A142" s="154" t="n">
        <v>126</v>
      </c>
      <c r="B142" s="228" t="n"/>
      <c r="C142" s="239" t="inlineStr">
        <is>
          <t>Прайс из СД ОП</t>
        </is>
      </c>
      <c r="D142" s="238" t="inlineStr">
        <is>
          <t>Электропиводом Belimo LM 230-S</t>
        </is>
      </c>
      <c r="E142" s="239" t="inlineStr">
        <is>
          <t>шт</t>
        </is>
      </c>
      <c r="F142" s="168" t="n">
        <v>2.5</v>
      </c>
      <c r="G142" s="241" t="n">
        <v>200.93</v>
      </c>
      <c r="H142" s="160">
        <f>ROUND(F142*G142,2)</f>
        <v/>
      </c>
      <c r="I142" s="172" t="n"/>
    </row>
    <row r="143">
      <c r="A143" s="154" t="n">
        <v>127</v>
      </c>
      <c r="B143" s="228" t="n"/>
      <c r="C143" s="239" t="inlineStr">
        <is>
          <t>21.1.06.09-0061</t>
        </is>
      </c>
      <c r="D143" s="238" t="inlineStr">
        <is>
          <t>Кабель силовой с медными жилами ВВГ 3х10-660</t>
        </is>
      </c>
      <c r="E143" s="239" t="inlineStr">
        <is>
          <t>1000 м</t>
        </is>
      </c>
      <c r="F143" s="168" t="n">
        <v>0.031875</v>
      </c>
      <c r="G143" s="241" t="n">
        <v>14966.85</v>
      </c>
      <c r="H143" s="160">
        <f>ROUND(F143*G143,2)</f>
        <v/>
      </c>
      <c r="I143" s="172" t="n"/>
    </row>
    <row r="144">
      <c r="A144" s="154" t="n">
        <v>128</v>
      </c>
      <c r="B144" s="228" t="n"/>
      <c r="C144" s="239" t="inlineStr">
        <is>
          <t>01.7.07.12-0024</t>
        </is>
      </c>
      <c r="D144" s="238" t="inlineStr">
        <is>
          <t>Пленка полиэтиленовая, толщина 0,15 мм</t>
        </is>
      </c>
      <c r="E144" s="239" t="inlineStr">
        <is>
          <t>м2</t>
        </is>
      </c>
      <c r="F144" s="168" t="n">
        <v>131.0375</v>
      </c>
      <c r="G144" s="241" t="n">
        <v>3.62</v>
      </c>
      <c r="H144" s="160">
        <f>ROUND(F144*G144,2)</f>
        <v/>
      </c>
      <c r="I144" s="172" t="n"/>
    </row>
    <row r="145">
      <c r="A145" s="154" t="n">
        <v>129</v>
      </c>
      <c r="B145" s="228" t="n"/>
      <c r="C145" s="239" t="inlineStr">
        <is>
          <t>01.7.11.07-0034</t>
        </is>
      </c>
      <c r="D145" s="238" t="inlineStr">
        <is>
          <t>Электроды сварочные Э42А, диаметр 4 мм</t>
        </is>
      </c>
      <c r="E145" s="239" t="inlineStr">
        <is>
          <t>кг</t>
        </is>
      </c>
      <c r="F145" s="168" t="n">
        <v>44.4541</v>
      </c>
      <c r="G145" s="241" t="n">
        <v>10.57</v>
      </c>
      <c r="H145" s="160">
        <f>ROUND(F145*G145,2)</f>
        <v/>
      </c>
      <c r="I145" s="172" t="n"/>
    </row>
    <row r="146" ht="25.5" customHeight="1">
      <c r="A146" s="154" t="n">
        <v>130</v>
      </c>
      <c r="B146" s="228" t="n"/>
      <c r="C146" s="239" t="inlineStr">
        <is>
          <t>08.3.04.02-0092</t>
        </is>
      </c>
      <c r="D146" s="238" t="inlineStr">
        <is>
          <t>Круг стальной горячекатаный, марка стали ВСт3пс5-1, диаметр 10 мм</t>
        </is>
      </c>
      <c r="E146" s="239" t="inlineStr">
        <is>
          <t>т</t>
        </is>
      </c>
      <c r="F146" s="168" t="n">
        <v>0.08400000000000001</v>
      </c>
      <c r="G146" s="241" t="n">
        <v>5230.01</v>
      </c>
      <c r="H146" s="160">
        <f>ROUND(F146*G146,2)</f>
        <v/>
      </c>
      <c r="I146" s="172" t="n"/>
    </row>
    <row r="147">
      <c r="A147" s="154" t="n">
        <v>131</v>
      </c>
      <c r="B147" s="228" t="n"/>
      <c r="C147" s="239" t="inlineStr">
        <is>
          <t>14.2.01.05-0001</t>
        </is>
      </c>
      <c r="D147" s="238" t="inlineStr">
        <is>
          <t>Композиция на основе термопластичных полимеров</t>
        </is>
      </c>
      <c r="E147" s="239" t="inlineStr">
        <is>
          <t>кг</t>
        </is>
      </c>
      <c r="F147" s="168" t="n">
        <v>7.84875</v>
      </c>
      <c r="G147" s="241" t="n">
        <v>54.99</v>
      </c>
      <c r="H147" s="160">
        <f>ROUND(F147*G147,2)</f>
        <v/>
      </c>
      <c r="I147" s="172" t="n"/>
      <c r="K147" s="169" t="n"/>
    </row>
    <row r="148">
      <c r="A148" s="154" t="n">
        <v>132</v>
      </c>
      <c r="B148" s="228" t="n"/>
      <c r="C148" s="239" t="inlineStr">
        <is>
          <t>21.1.06.09-0071</t>
        </is>
      </c>
      <c r="D148" s="238" t="inlineStr">
        <is>
          <t>Кабель силовой с медными жилами ВВГ 4х10-660</t>
        </is>
      </c>
      <c r="E148" s="239" t="inlineStr">
        <is>
          <t>1000 м</t>
        </is>
      </c>
      <c r="F148" s="168" t="n">
        <v>0.019125</v>
      </c>
      <c r="G148" s="241" t="n">
        <v>20780.7</v>
      </c>
      <c r="H148" s="160">
        <f>ROUND(F148*G148,2)</f>
        <v/>
      </c>
      <c r="I148" s="172" t="n"/>
    </row>
    <row r="149" customFormat="1" s="153">
      <c r="A149" s="154" t="n">
        <v>133</v>
      </c>
      <c r="B149" s="228" t="n"/>
      <c r="C149" s="239" t="inlineStr">
        <is>
          <t>20.2.08.07-0033</t>
        </is>
      </c>
      <c r="D149" s="238" t="inlineStr">
        <is>
          <t>Скоба У1078</t>
        </is>
      </c>
      <c r="E149" s="239" t="inlineStr">
        <is>
          <t>100 шт</t>
        </is>
      </c>
      <c r="F149" s="168" t="n">
        <v>0.64075</v>
      </c>
      <c r="G149" s="241" t="n">
        <v>617</v>
      </c>
      <c r="H149" s="160">
        <f>ROUND(F149*G149,2)</f>
        <v/>
      </c>
      <c r="I149" s="172" t="n"/>
    </row>
    <row r="150">
      <c r="A150" s="154" t="n">
        <v>134</v>
      </c>
      <c r="B150" s="228" t="n"/>
      <c r="C150" s="239" t="inlineStr">
        <is>
          <t>21.1.06.09-0074</t>
        </is>
      </c>
      <c r="D150" s="238" t="inlineStr">
        <is>
          <t>Кабель силовой с медными жилами ВВГ 5х2,5-660</t>
        </is>
      </c>
      <c r="E150" s="239" t="inlineStr">
        <is>
          <t>1000 м</t>
        </is>
      </c>
      <c r="F150" s="168" t="n">
        <v>0.044625</v>
      </c>
      <c r="G150" s="241" t="n">
        <v>8697.610000000001</v>
      </c>
      <c r="H150" s="160">
        <f>ROUND(F150*G150,2)</f>
        <v/>
      </c>
      <c r="I150" s="172" t="n"/>
      <c r="K150" s="169" t="n"/>
    </row>
    <row r="151" ht="25.5" customHeight="1">
      <c r="A151" s="154" t="n">
        <v>135</v>
      </c>
      <c r="B151" s="228" t="n"/>
      <c r="C151" s="239" t="inlineStr">
        <is>
          <t>11.1.03.05-0081</t>
        </is>
      </c>
      <c r="D151" s="238" t="inlineStr">
        <is>
          <t>Доска необрезная, хвойных пород, длина 4-6,5 м, все ширины, толщина 32-40 мм, сорт III</t>
        </is>
      </c>
      <c r="E151" s="239" t="inlineStr">
        <is>
          <t>м3</t>
        </is>
      </c>
      <c r="F151" s="168" t="n">
        <v>0.45</v>
      </c>
      <c r="G151" s="241" t="n">
        <v>832.7</v>
      </c>
      <c r="H151" s="160">
        <f>ROUND(F151*G151,2)</f>
        <v/>
      </c>
      <c r="I151" s="172" t="n"/>
      <c r="K151" s="169" t="n"/>
    </row>
    <row r="152">
      <c r="A152" s="154" t="n">
        <v>136</v>
      </c>
      <c r="B152" s="228" t="n"/>
      <c r="C152" s="239" t="inlineStr">
        <is>
          <t>08.3.11.01-0091</t>
        </is>
      </c>
      <c r="D152" s="238" t="inlineStr">
        <is>
          <t>Швеллеры № 40, марка стали Ст0</t>
        </is>
      </c>
      <c r="E152" s="239" t="inlineStr">
        <is>
          <t>т</t>
        </is>
      </c>
      <c r="F152" s="168" t="n">
        <v>0.074605</v>
      </c>
      <c r="G152" s="241" t="n">
        <v>4920</v>
      </c>
      <c r="H152" s="160">
        <f>ROUND(F152*G152,2)</f>
        <v/>
      </c>
      <c r="I152" s="172" t="n"/>
    </row>
    <row r="153" ht="38.25" customHeight="1">
      <c r="A153" s="154" t="n">
        <v>137</v>
      </c>
      <c r="B153" s="228" t="n"/>
      <c r="C153" s="239" t="inlineStr">
        <is>
          <t>62.1.02.22-0111</t>
        </is>
      </c>
      <c r="D153" s="238" t="inlineStr">
        <is>
          <t>Ящики распределительные постоянного тока, тип ЯРВ-100 А, с трехполюсными рубильниками и предохранителями</t>
        </is>
      </c>
      <c r="E153" s="239" t="inlineStr">
        <is>
          <t>шт</t>
        </is>
      </c>
      <c r="F153" s="168" t="n">
        <v>1.25</v>
      </c>
      <c r="G153" s="241" t="n">
        <v>280.92</v>
      </c>
      <c r="H153" s="160">
        <f>ROUND(F153*G153,2)</f>
        <v/>
      </c>
      <c r="I153" s="172" t="n"/>
    </row>
    <row r="154" ht="25.5" customHeight="1">
      <c r="A154" s="154" t="n">
        <v>138</v>
      </c>
      <c r="B154" s="228" t="n"/>
      <c r="C154" s="239" t="inlineStr">
        <is>
          <t>08.4.03.02-0002</t>
        </is>
      </c>
      <c r="D154" s="238" t="inlineStr">
        <is>
          <t>Сталь арматурная, горячекатаная, гладкая, класс А-I, диаметр 8 мм</t>
        </is>
      </c>
      <c r="E154" s="239" t="inlineStr">
        <is>
          <t>т</t>
        </is>
      </c>
      <c r="F154" s="168" t="n">
        <v>0.05</v>
      </c>
      <c r="G154" s="241" t="n">
        <v>6780</v>
      </c>
      <c r="H154" s="160">
        <f>ROUND(F154*G154,2)</f>
        <v/>
      </c>
      <c r="I154" s="172" t="n"/>
    </row>
    <row r="155" ht="51" customHeight="1">
      <c r="A155" s="154" t="n">
        <v>139</v>
      </c>
      <c r="B155" s="228" t="n"/>
      <c r="C155" s="239" t="inlineStr">
        <is>
          <t>20.3.03.03-0036</t>
        </is>
      </c>
      <c r="D155" s="238" t="inlineStr">
        <is>
          <t>Светильники с лампами накаливания, потолочно-настенные, с металлическим основанием, с молочным рассеивателем, мощность лампы 60 Вт, НПО22-100</t>
        </is>
      </c>
      <c r="E155" s="239" t="inlineStr">
        <is>
          <t>шт</t>
        </is>
      </c>
      <c r="F155" s="168" t="n">
        <v>15</v>
      </c>
      <c r="G155" s="241" t="n">
        <v>20.83</v>
      </c>
      <c r="H155" s="160">
        <f>ROUND(F155*G155,2)</f>
        <v/>
      </c>
      <c r="I155" s="172" t="n"/>
    </row>
    <row r="156" ht="25.5" customHeight="1">
      <c r="A156" s="154" t="n">
        <v>140</v>
      </c>
      <c r="B156" s="228" t="n"/>
      <c r="C156" s="239" t="inlineStr">
        <is>
          <t>01.2.01.02-0021</t>
        </is>
      </c>
      <c r="D156" s="238" t="inlineStr">
        <is>
          <t>Битумы нефтяные модифицированные для кровельных мастик БНМ-55/60</t>
        </is>
      </c>
      <c r="E156" s="239" t="inlineStr">
        <is>
          <t>т</t>
        </is>
      </c>
      <c r="F156" s="168" t="n">
        <v>0.195</v>
      </c>
      <c r="G156" s="241" t="n">
        <v>1596</v>
      </c>
      <c r="H156" s="160">
        <f>ROUND(F156*G156,2)</f>
        <v/>
      </c>
      <c r="I156" s="172" t="n"/>
    </row>
    <row r="157">
      <c r="A157" s="154" t="n">
        <v>141</v>
      </c>
      <c r="B157" s="228" t="n"/>
      <c r="C157" s="239" t="inlineStr">
        <is>
          <t>20.2.03.23-0004</t>
        </is>
      </c>
      <c r="D157" s="238" t="inlineStr">
        <is>
          <t>Стойка кабельная К-1153</t>
        </is>
      </c>
      <c r="E157" s="239" t="inlineStr">
        <is>
          <t>1000 шт</t>
        </is>
      </c>
      <c r="F157" s="168" t="n">
        <v>0.0125</v>
      </c>
      <c r="G157" s="241" t="n">
        <v>24628.79</v>
      </c>
      <c r="H157" s="160">
        <f>ROUND(F157*G157,2)</f>
        <v/>
      </c>
      <c r="I157" s="172" t="n"/>
    </row>
    <row r="158">
      <c r="A158" s="154" t="n">
        <v>142</v>
      </c>
      <c r="B158" s="228" t="n"/>
      <c r="C158" s="239" t="inlineStr">
        <is>
          <t>01.7.11.07-0054</t>
        </is>
      </c>
      <c r="D158" s="238" t="inlineStr">
        <is>
          <t>Электроды сварочные Э42, диаметр 6 мм</t>
        </is>
      </c>
      <c r="E158" s="239" t="inlineStr">
        <is>
          <t>т</t>
        </is>
      </c>
      <c r="F158" s="168" t="n">
        <v>0.03174</v>
      </c>
      <c r="G158" s="241" t="n">
        <v>9424</v>
      </c>
      <c r="H158" s="160">
        <f>ROUND(F158*G158,2)</f>
        <v/>
      </c>
      <c r="I158" s="172" t="n"/>
    </row>
    <row r="159">
      <c r="A159" s="154" t="n">
        <v>143</v>
      </c>
      <c r="B159" s="228" t="n"/>
      <c r="C159" s="239" t="inlineStr">
        <is>
          <t>21.1.06.09-0049</t>
        </is>
      </c>
      <c r="D159" s="238" t="inlineStr">
        <is>
          <t>Кабель силовой с медными жилами ВВГ 2х4-660</t>
        </is>
      </c>
      <c r="E159" s="239" t="inlineStr">
        <is>
          <t>1000 м</t>
        </is>
      </c>
      <c r="F159" s="168" t="n">
        <v>0.057375</v>
      </c>
      <c r="G159" s="241" t="n">
        <v>5192.35</v>
      </c>
      <c r="H159" s="160">
        <f>ROUND(F159*G159,2)</f>
        <v/>
      </c>
      <c r="I159" s="172" t="n"/>
    </row>
    <row r="160">
      <c r="A160" s="154" t="n">
        <v>144</v>
      </c>
      <c r="B160" s="228" t="n"/>
      <c r="C160" s="239" t="inlineStr">
        <is>
          <t>20.2.03.13-0008</t>
        </is>
      </c>
      <c r="D160" s="238" t="inlineStr">
        <is>
          <t>Полка кабельная К-1163ц из оцинкованной стали</t>
        </is>
      </c>
      <c r="E160" s="239" t="inlineStr">
        <is>
          <t>1000 шт</t>
        </is>
      </c>
      <c r="F160" s="168" t="n">
        <v>0.025</v>
      </c>
      <c r="G160" s="241" t="n">
        <v>11607.15</v>
      </c>
      <c r="H160" s="160">
        <f>ROUND(F160*G160,2)</f>
        <v/>
      </c>
      <c r="I160" s="172" t="n"/>
    </row>
    <row r="161">
      <c r="A161" s="154" t="n">
        <v>145</v>
      </c>
      <c r="B161" s="228" t="n"/>
      <c r="C161" s="239" t="inlineStr">
        <is>
          <t>21.1.06.09-0051</t>
        </is>
      </c>
      <c r="D161" s="238" t="inlineStr">
        <is>
          <t>Кабель силовой с медными жилами ВВГ 2х10-660</t>
        </is>
      </c>
      <c r="E161" s="239" t="inlineStr">
        <is>
          <t>1000 м</t>
        </is>
      </c>
      <c r="F161" s="168" t="n">
        <v>0.0255</v>
      </c>
      <c r="G161" s="241" t="n">
        <v>11275.14</v>
      </c>
      <c r="H161" s="160">
        <f>ROUND(F161*G161,2)</f>
        <v/>
      </c>
      <c r="I161" s="172" t="n"/>
    </row>
    <row r="162" ht="25.5" customFormat="1" customHeight="1" s="153">
      <c r="A162" s="154" t="n">
        <v>146</v>
      </c>
      <c r="B162" s="228" t="n"/>
      <c r="C162" s="239" t="inlineStr">
        <is>
          <t>01.7.04.04-0011</t>
        </is>
      </c>
      <c r="D162" s="238" t="inlineStr">
        <is>
          <t>Замок врезной, типа ЗВ4, с цилиндровым механизмом</t>
        </is>
      </c>
      <c r="E162" s="239" t="inlineStr">
        <is>
          <t>компл</t>
        </is>
      </c>
      <c r="F162" s="168" t="n">
        <v>3.75</v>
      </c>
      <c r="G162" s="241" t="n">
        <v>75.7</v>
      </c>
      <c r="H162" s="160">
        <f>ROUND(F162*G162,2)</f>
        <v/>
      </c>
      <c r="I162" s="172" t="n"/>
    </row>
    <row r="163" ht="25.5" customHeight="1">
      <c r="A163" s="154" t="n">
        <v>147</v>
      </c>
      <c r="B163" s="228" t="n"/>
      <c r="C163" s="239" t="inlineStr">
        <is>
          <t>19.1.01.03-0075</t>
        </is>
      </c>
      <c r="D163" s="238" t="inlineStr">
        <is>
          <t>Воздуховоды из оцинкованной стали, толщина 0,7 мм, диаметр до 800 мм</t>
        </is>
      </c>
      <c r="E163" s="239" t="inlineStr">
        <is>
          <t>м2</t>
        </is>
      </c>
      <c r="F163" s="168" t="n">
        <v>3.15</v>
      </c>
      <c r="G163" s="241" t="n">
        <v>84.25</v>
      </c>
      <c r="H163" s="160">
        <f>ROUND(F163*G163,2)</f>
        <v/>
      </c>
      <c r="I163" s="172" t="n"/>
    </row>
    <row r="164">
      <c r="A164" s="154" t="n">
        <v>148</v>
      </c>
      <c r="B164" s="228" t="n"/>
      <c r="C164" s="239" t="inlineStr">
        <is>
          <t>01.3.02.09-0022</t>
        </is>
      </c>
      <c r="D164" s="238" t="inlineStr">
        <is>
          <t>Пропан-бутан смесь техническая</t>
        </is>
      </c>
      <c r="E164" s="239" t="inlineStr">
        <is>
          <t>кг</t>
        </is>
      </c>
      <c r="F164" s="168" t="n">
        <v>42.7393125</v>
      </c>
      <c r="G164" s="241" t="n">
        <v>6.09</v>
      </c>
      <c r="H164" s="160">
        <f>ROUND(F164*G164,2)</f>
        <v/>
      </c>
      <c r="I164" s="172" t="n"/>
      <c r="K164" s="169" t="n"/>
    </row>
    <row r="165" ht="25.5" customHeight="1">
      <c r="A165" s="154" t="n">
        <v>149</v>
      </c>
      <c r="B165" s="228" t="n"/>
      <c r="C165" s="239" t="inlineStr">
        <is>
          <t>04.3.01.07-0012</t>
        </is>
      </c>
      <c r="D165" s="238" t="inlineStr">
        <is>
          <t>Раствор готовый отделочный тяжелый, известковый, состав 1:2,5</t>
        </is>
      </c>
      <c r="E165" s="239" t="inlineStr">
        <is>
          <t>м3</t>
        </is>
      </c>
      <c r="F165" s="168" t="n">
        <v>0.4795</v>
      </c>
      <c r="G165" s="241" t="n">
        <v>510.4</v>
      </c>
      <c r="H165" s="160">
        <f>ROUND(F165*G165,2)</f>
        <v/>
      </c>
      <c r="I165" s="172" t="n"/>
    </row>
    <row r="166">
      <c r="A166" s="154" t="n">
        <v>150</v>
      </c>
      <c r="B166" s="228" t="n"/>
      <c r="C166" s="239" t="inlineStr">
        <is>
          <t>08.1.02.11-0013</t>
        </is>
      </c>
      <c r="D166" s="238" t="inlineStr">
        <is>
          <t>Поковки оцинкованные, масса 2,825 кг</t>
        </is>
      </c>
      <c r="E166" s="239" t="inlineStr">
        <is>
          <t>т</t>
        </is>
      </c>
      <c r="F166" s="168" t="n">
        <v>0.02926</v>
      </c>
      <c r="G166" s="241" t="n">
        <v>7977</v>
      </c>
      <c r="H166" s="160">
        <f>ROUND(F166*G166,2)</f>
        <v/>
      </c>
      <c r="I166" s="172" t="n"/>
      <c r="K166" s="169" t="n"/>
    </row>
    <row r="167" ht="25.5" customHeight="1">
      <c r="A167" s="154" t="n">
        <v>151</v>
      </c>
      <c r="B167" s="228" t="n"/>
      <c r="C167" s="239" t="inlineStr">
        <is>
          <t>20.4.01.01-0032</t>
        </is>
      </c>
      <c r="D167" s="238" t="inlineStr">
        <is>
          <t>Выключатель одноклавишный для открытой проводки брызгозащищенный</t>
        </is>
      </c>
      <c r="E167" s="239" t="inlineStr">
        <is>
          <t>10 шт</t>
        </is>
      </c>
      <c r="F167" s="168" t="n">
        <v>2.5</v>
      </c>
      <c r="G167" s="241" t="n">
        <v>93.09999999999999</v>
      </c>
      <c r="H167" s="160">
        <f>ROUND(F167*G167,2)</f>
        <v/>
      </c>
      <c r="I167" s="172" t="n"/>
    </row>
    <row r="168" ht="38.25" customHeight="1">
      <c r="A168" s="154" t="n">
        <v>152</v>
      </c>
      <c r="B168" s="228" t="n"/>
      <c r="C168" s="239" t="inlineStr">
        <is>
          <t>14.5.11.03-0003</t>
        </is>
      </c>
      <c r="D168" s="238" t="inlineStr">
        <is>
          <t>Смесь сухая шпатлевочная на основе гипса с полимерными добавками, крупность заполнителя не более 0,2 мм, прочность на изгиб не более 1,0 МПа</t>
        </is>
      </c>
      <c r="E168" s="239" t="inlineStr">
        <is>
          <t>кг</t>
        </is>
      </c>
      <c r="F168" s="168" t="n">
        <v>76.3075</v>
      </c>
      <c r="G168" s="241" t="n">
        <v>2.94</v>
      </c>
      <c r="H168" s="160">
        <f>ROUND(F168*G168,2)</f>
        <v/>
      </c>
      <c r="I168" s="172" t="n"/>
    </row>
    <row r="169">
      <c r="A169" s="154" t="n">
        <v>153</v>
      </c>
      <c r="B169" s="228" t="n"/>
      <c r="C169" s="239" t="inlineStr">
        <is>
          <t>01.7.15.07-0014</t>
        </is>
      </c>
      <c r="D169" s="238" t="inlineStr">
        <is>
          <t>Дюбели распорные полипропиленовые</t>
        </is>
      </c>
      <c r="E169" s="239" t="inlineStr">
        <is>
          <t>100 шт</t>
        </is>
      </c>
      <c r="F169" s="168" t="n">
        <v>2.608</v>
      </c>
      <c r="G169" s="241" t="n">
        <v>86</v>
      </c>
      <c r="H169" s="160">
        <f>ROUND(F169*G169,2)</f>
        <v/>
      </c>
      <c r="I169" s="172" t="n"/>
    </row>
    <row r="170">
      <c r="A170" s="154" t="n">
        <v>154</v>
      </c>
      <c r="B170" s="228" t="n"/>
      <c r="C170" s="239" t="inlineStr">
        <is>
          <t>14.5.01.05-0001</t>
        </is>
      </c>
      <c r="D170" s="238" t="inlineStr">
        <is>
          <t>Герметик пенополиуретановый (пена монтажная)</t>
        </is>
      </c>
      <c r="E170" s="239" t="inlineStr">
        <is>
          <t>л</t>
        </is>
      </c>
      <c r="F170" s="168" t="n">
        <v>2.5</v>
      </c>
      <c r="G170" s="241" t="n">
        <v>89.33</v>
      </c>
      <c r="H170" s="160">
        <f>ROUND(F170*G170,2)</f>
        <v/>
      </c>
      <c r="I170" s="172" t="n"/>
    </row>
    <row r="171" ht="25.5" customHeight="1">
      <c r="A171" s="154" t="n">
        <v>155</v>
      </c>
      <c r="B171" s="228" t="n"/>
      <c r="C171" s="239" t="inlineStr">
        <is>
          <t>24.3.01.06-0001</t>
        </is>
      </c>
      <c r="D171" s="238" t="inlineStr">
        <is>
          <t>Трубы гофрированные ПВХ с протяжкой, номинальный внутренний диаметр 32 мм</t>
        </is>
      </c>
      <c r="E171" s="239" t="inlineStr">
        <is>
          <t>м</t>
        </is>
      </c>
      <c r="F171" s="168" t="n">
        <v>87.5</v>
      </c>
      <c r="G171" s="241" t="n">
        <v>2.49</v>
      </c>
      <c r="H171" s="160">
        <f>ROUND(F171*G171,2)</f>
        <v/>
      </c>
      <c r="I171" s="172" t="n"/>
    </row>
    <row r="172">
      <c r="A172" s="154" t="n">
        <v>156</v>
      </c>
      <c r="B172" s="228" t="n"/>
      <c r="C172" s="239" t="inlineStr">
        <is>
          <t>20.2.08.07-0001</t>
        </is>
      </c>
      <c r="D172" s="238" t="inlineStr">
        <is>
          <t>Скоба КС-161</t>
        </is>
      </c>
      <c r="E172" s="239" t="inlineStr">
        <is>
          <t>шт</t>
        </is>
      </c>
      <c r="F172" s="168" t="n">
        <v>25</v>
      </c>
      <c r="G172" s="241" t="n">
        <v>8.460000000000001</v>
      </c>
      <c r="H172" s="160">
        <f>ROUND(F172*G172,2)</f>
        <v/>
      </c>
      <c r="I172" s="172" t="n"/>
    </row>
    <row r="173">
      <c r="A173" s="154" t="n">
        <v>157</v>
      </c>
      <c r="B173" s="228" t="n"/>
      <c r="C173" s="239" t="inlineStr">
        <is>
          <t>01.3.02.08-0001</t>
        </is>
      </c>
      <c r="D173" s="238" t="inlineStr">
        <is>
          <t>Кислород газообразный технический</t>
        </is>
      </c>
      <c r="E173" s="239" t="inlineStr">
        <is>
          <t>м3</t>
        </is>
      </c>
      <c r="F173" s="168" t="n">
        <v>29.002875</v>
      </c>
      <c r="G173" s="241" t="n">
        <v>6.22</v>
      </c>
      <c r="H173" s="160">
        <f>ROUND(F173*G173,2)</f>
        <v/>
      </c>
      <c r="I173" s="172" t="n"/>
    </row>
    <row r="174" ht="38.25" customHeight="1">
      <c r="A174" s="154" t="n">
        <v>158</v>
      </c>
      <c r="B174" s="228" t="n"/>
      <c r="C174" s="239" t="inlineStr">
        <is>
          <t>07.2.06.03-0112</t>
        </is>
      </c>
      <c r="D174" s="238" t="inlineStr">
        <is>
          <t>Профиль направляющий, стальной, оцинкованный, для монтажа гипсовых перегородок и подвесных потолков, длина 3 м, сечение 50х40х0,6 мм</t>
        </is>
      </c>
      <c r="E174" s="239" t="inlineStr">
        <is>
          <t>м</t>
        </is>
      </c>
      <c r="F174" s="168" t="n">
        <v>25.92125</v>
      </c>
      <c r="G174" s="241" t="n">
        <v>6.16</v>
      </c>
      <c r="H174" s="160">
        <f>ROUND(F174*G174,2)</f>
        <v/>
      </c>
      <c r="I174" s="172" t="n"/>
    </row>
    <row r="175" ht="25.5" customHeight="1">
      <c r="A175" s="154" t="n">
        <v>159</v>
      </c>
      <c r="B175" s="228" t="n"/>
      <c r="C175" s="239" t="inlineStr">
        <is>
          <t>07.2.07.04-0007</t>
        </is>
      </c>
      <c r="D175" s="238" t="inlineStr">
        <is>
          <t>Конструкции стальные индивидуальные решетчатые сварные, масса до 0,1 т</t>
        </is>
      </c>
      <c r="E175" s="239" t="inlineStr">
        <is>
          <t>т</t>
        </is>
      </c>
      <c r="F175" s="168" t="n">
        <v>0.01375</v>
      </c>
      <c r="G175" s="241" t="n">
        <v>11500</v>
      </c>
      <c r="H175" s="160">
        <f>ROUND(F175*G175,2)</f>
        <v/>
      </c>
      <c r="I175" s="172" t="n"/>
    </row>
    <row r="176">
      <c r="A176" s="154" t="n">
        <v>160</v>
      </c>
      <c r="B176" s="228" t="n"/>
      <c r="C176" s="239" t="inlineStr">
        <is>
          <t>04.3.01.06-0001</t>
        </is>
      </c>
      <c r="D176" s="238" t="inlineStr">
        <is>
          <t>Раствор декоративный (с каменной крошкой)</t>
        </is>
      </c>
      <c r="E176" s="239" t="inlineStr">
        <is>
          <t>м3</t>
        </is>
      </c>
      <c r="F176" s="168" t="n">
        <v>0.2754</v>
      </c>
      <c r="G176" s="241" t="n">
        <v>572</v>
      </c>
      <c r="H176" s="160">
        <f>ROUND(F176*G176,2)</f>
        <v/>
      </c>
      <c r="I176" s="172" t="n"/>
    </row>
    <row r="177" ht="51" customHeight="1">
      <c r="A177" s="154" t="n">
        <v>161</v>
      </c>
      <c r="B177" s="228" t="n"/>
      <c r="C177" s="239" t="inlineStr">
        <is>
          <t>23.5.02.02-0034</t>
        </is>
      </c>
      <c r="D177" s="238" t="inlineStr">
        <is>
          <t>Трубы стальные электросварные прямошовные со снятой фаской из стали марок БСт2кп-БСт4кп и БСт2пс-БСт4пс, наружный диаметр 57 мм, толщина стенки 3,5 мм</t>
        </is>
      </c>
      <c r="E177" s="239" t="inlineStr">
        <is>
          <t>м</t>
        </is>
      </c>
      <c r="F177" s="168" t="n">
        <v>4.375</v>
      </c>
      <c r="G177" s="241" t="n">
        <v>35.7</v>
      </c>
      <c r="H177" s="160">
        <f>ROUND(F177*G177,2)</f>
        <v/>
      </c>
      <c r="I177" s="172" t="n"/>
    </row>
    <row r="178" ht="25.5" customHeight="1">
      <c r="A178" s="154" t="n">
        <v>162</v>
      </c>
      <c r="B178" s="228" t="n"/>
      <c r="C178" s="239" t="inlineStr">
        <is>
          <t>08.3.08.02-0011</t>
        </is>
      </c>
      <c r="D178" s="238" t="inlineStr">
        <is>
          <t>Уголок горячекатаный, марка стали Ст6сп, ширина полок 180-200 мм, толщина 11-30 мм</t>
        </is>
      </c>
      <c r="E178" s="239" t="inlineStr">
        <is>
          <t>т</t>
        </is>
      </c>
      <c r="F178" s="168" t="n">
        <v>0.0245</v>
      </c>
      <c r="G178" s="241" t="n">
        <v>6102</v>
      </c>
      <c r="H178" s="160">
        <f>ROUND(F178*G178,2)</f>
        <v/>
      </c>
      <c r="I178" s="172" t="n"/>
    </row>
    <row r="179">
      <c r="A179" s="154" t="n">
        <v>163</v>
      </c>
      <c r="B179" s="228" t="n"/>
      <c r="C179" s="239" t="inlineStr">
        <is>
          <t>01.7.20.08-0071</t>
        </is>
      </c>
      <c r="D179" s="238" t="inlineStr">
        <is>
          <t>Канат пеньковый пропитанный</t>
        </is>
      </c>
      <c r="E179" s="239" t="inlineStr">
        <is>
          <t>т</t>
        </is>
      </c>
      <c r="F179" s="168" t="n">
        <v>0.0038625</v>
      </c>
      <c r="G179" s="241" t="n">
        <v>37900</v>
      </c>
      <c r="H179" s="160">
        <f>ROUND(F179*G179,2)</f>
        <v/>
      </c>
      <c r="I179" s="172" t="n"/>
    </row>
    <row r="180">
      <c r="A180" s="154" t="n">
        <v>164</v>
      </c>
      <c r="B180" s="228" t="n"/>
      <c r="C180" s="239" t="inlineStr">
        <is>
          <t>01.3.01.03-0002</t>
        </is>
      </c>
      <c r="D180" s="238" t="inlineStr">
        <is>
          <t>Керосин для технических целей</t>
        </is>
      </c>
      <c r="E180" s="239" t="inlineStr">
        <is>
          <t>т</t>
        </is>
      </c>
      <c r="F180" s="168" t="n">
        <v>0.055625</v>
      </c>
      <c r="G180" s="241" t="n">
        <v>2606.9</v>
      </c>
      <c r="H180" s="160">
        <f>ROUND(F180*G180,2)</f>
        <v/>
      </c>
      <c r="I180" s="172" t="n"/>
    </row>
    <row r="181">
      <c r="A181" s="154" t="n">
        <v>165</v>
      </c>
      <c r="B181" s="228" t="n"/>
      <c r="C181" s="239" t="inlineStr">
        <is>
          <t>14.5.09.02-0002</t>
        </is>
      </c>
      <c r="D181" s="238" t="inlineStr">
        <is>
          <t>Ксилол нефтяной, марка А</t>
        </is>
      </c>
      <c r="E181" s="239" t="inlineStr">
        <is>
          <t>т</t>
        </is>
      </c>
      <c r="F181" s="168" t="n">
        <v>0.01811</v>
      </c>
      <c r="G181" s="241" t="n">
        <v>7640</v>
      </c>
      <c r="H181" s="160">
        <f>ROUND(F181*G181,2)</f>
        <v/>
      </c>
      <c r="I181" s="172" t="n"/>
    </row>
    <row r="182">
      <c r="A182" s="154" t="n">
        <v>166</v>
      </c>
      <c r="B182" s="228" t="n"/>
      <c r="C182" s="239" t="inlineStr">
        <is>
          <t>02.3.01.07-0002</t>
        </is>
      </c>
      <c r="D182" s="238" t="inlineStr">
        <is>
          <t>Песок кварцевый</t>
        </is>
      </c>
      <c r="E182" s="239" t="inlineStr">
        <is>
          <t>т</t>
        </is>
      </c>
      <c r="F182" s="168" t="n">
        <v>0.5125075</v>
      </c>
      <c r="G182" s="241" t="n">
        <v>257</v>
      </c>
      <c r="H182" s="160">
        <f>ROUND(F182*G182,2)</f>
        <v/>
      </c>
      <c r="I182" s="172" t="n"/>
    </row>
    <row r="183" customFormat="1" s="153">
      <c r="A183" s="154" t="n">
        <v>167</v>
      </c>
      <c r="B183" s="228" t="n"/>
      <c r="C183" s="239" t="inlineStr">
        <is>
          <t>20.1.02.14-0001</t>
        </is>
      </c>
      <c r="D183" s="238" t="inlineStr">
        <is>
          <t>Серьга</t>
        </is>
      </c>
      <c r="E183" s="239" t="inlineStr">
        <is>
          <t>шт</t>
        </is>
      </c>
      <c r="F183" s="168" t="n">
        <v>11.25</v>
      </c>
      <c r="G183" s="241" t="n">
        <v>10.54</v>
      </c>
      <c r="H183" s="160">
        <f>ROUND(F183*G183,2)</f>
        <v/>
      </c>
      <c r="I183" s="172" t="n"/>
    </row>
    <row r="184">
      <c r="A184" s="154" t="n">
        <v>168</v>
      </c>
      <c r="B184" s="228" t="n"/>
      <c r="C184" s="239" t="inlineStr">
        <is>
          <t>21.1.06.09-0068</t>
        </is>
      </c>
      <c r="D184" s="238" t="inlineStr">
        <is>
          <t>Кабель силовой с медными жилами ВВГ 4х2,5-660</t>
        </is>
      </c>
      <c r="E184" s="239" t="inlineStr">
        <is>
          <t>1000 м</t>
        </is>
      </c>
      <c r="F184" s="168" t="n">
        <v>0.019125</v>
      </c>
      <c r="G184" s="241" t="n">
        <v>6130.25</v>
      </c>
      <c r="H184" s="160">
        <f>ROUND(F184*G184,2)</f>
        <v/>
      </c>
      <c r="I184" s="172" t="n"/>
    </row>
    <row r="185">
      <c r="A185" s="154" t="n">
        <v>169</v>
      </c>
      <c r="B185" s="228" t="n"/>
      <c r="C185" s="239" t="inlineStr">
        <is>
          <t>21.1.06.09-0076</t>
        </is>
      </c>
      <c r="D185" s="238" t="inlineStr">
        <is>
          <t>Кабель силовой с медными жилами ВВГ 5х6-660</t>
        </is>
      </c>
      <c r="E185" s="239" t="inlineStr">
        <is>
          <t>1000 м</t>
        </is>
      </c>
      <c r="F185" s="168" t="n">
        <v>0.006375</v>
      </c>
      <c r="G185" s="241" t="n">
        <v>18248.37</v>
      </c>
      <c r="H185" s="160">
        <f>ROUND(F185*G185,2)</f>
        <v/>
      </c>
      <c r="I185" s="172" t="n"/>
      <c r="K185" s="169" t="n"/>
    </row>
    <row r="186" ht="25.5" customHeight="1">
      <c r="A186" s="154" t="n">
        <v>170</v>
      </c>
      <c r="B186" s="228" t="n"/>
      <c r="C186" s="239" t="inlineStr">
        <is>
          <t>11.1.03.03-0012</t>
        </is>
      </c>
      <c r="D186" s="238" t="inlineStr">
        <is>
          <t>Брусья необрезные, хвойных пород, длина 4-6,5 м, все ширины, толщина 100, 125 мм, сорт IV</t>
        </is>
      </c>
      <c r="E186" s="239" t="inlineStr">
        <is>
          <t>м3</t>
        </is>
      </c>
      <c r="F186" s="168" t="n">
        <v>0.13175</v>
      </c>
      <c r="G186" s="241" t="n">
        <v>880.01</v>
      </c>
      <c r="H186" s="160">
        <f>ROUND(F186*G186,2)</f>
        <v/>
      </c>
      <c r="I186" s="172" t="n"/>
      <c r="K186" s="169" t="n"/>
    </row>
    <row r="187" ht="25.5" customHeight="1">
      <c r="A187" s="154" t="n">
        <v>171</v>
      </c>
      <c r="B187" s="228" t="n"/>
      <c r="C187" s="239" t="inlineStr">
        <is>
          <t>01.7.19.04-0031</t>
        </is>
      </c>
      <c r="D187" s="238" t="inlineStr">
        <is>
          <t>Прокладки резиновые (пластина техническая прессованная)</t>
        </is>
      </c>
      <c r="E187" s="239" t="inlineStr">
        <is>
          <t>кг</t>
        </is>
      </c>
      <c r="F187" s="168" t="n">
        <v>4.654665</v>
      </c>
      <c r="G187" s="241" t="n">
        <v>23.09</v>
      </c>
      <c r="H187" s="160">
        <f>ROUND(F187*G187,2)</f>
        <v/>
      </c>
      <c r="I187" s="172" t="n"/>
      <c r="K187" s="169" t="n"/>
    </row>
    <row r="188">
      <c r="A188" s="154" t="n">
        <v>172</v>
      </c>
      <c r="B188" s="228" t="n"/>
      <c r="C188" s="239" t="inlineStr">
        <is>
          <t>14.5.09.07-0029</t>
        </is>
      </c>
      <c r="D188" s="238" t="inlineStr">
        <is>
          <t>Растворитель марки: Р-4</t>
        </is>
      </c>
      <c r="E188" s="239" t="inlineStr">
        <is>
          <t>т</t>
        </is>
      </c>
      <c r="F188" s="168" t="n">
        <v>0.01132</v>
      </c>
      <c r="G188" s="241" t="n">
        <v>9420</v>
      </c>
      <c r="H188" s="160">
        <f>ROUND(F188*G188,2)</f>
        <v/>
      </c>
    </row>
    <row r="189" ht="25.5" customHeight="1">
      <c r="A189" s="154" t="n">
        <v>173</v>
      </c>
      <c r="B189" s="228" t="n"/>
      <c r="C189" s="239" t="inlineStr">
        <is>
          <t>11.1.03.01-0079</t>
        </is>
      </c>
      <c r="D189" s="238" t="inlineStr">
        <is>
          <t>Бруски обрезные, хвойных пород, длина 4-6,5 м, ширина 75-150 мм, толщина 40-75 мм, сорт III</t>
        </is>
      </c>
      <c r="E189" s="239" t="inlineStr">
        <is>
          <t>м3</t>
        </is>
      </c>
      <c r="F189" s="168" t="n">
        <v>0.08125</v>
      </c>
      <c r="G189" s="241" t="n">
        <v>1287</v>
      </c>
      <c r="H189" s="160">
        <f>ROUND(F189*G189,2)</f>
        <v/>
      </c>
    </row>
    <row r="190" ht="25.5" customHeight="1">
      <c r="A190" s="154" t="n">
        <v>174</v>
      </c>
      <c r="B190" s="228" t="n"/>
      <c r="C190" s="239" t="inlineStr">
        <is>
          <t>14.4.01.02-0012</t>
        </is>
      </c>
      <c r="D190" s="238" t="inlineStr">
        <is>
          <t>Грунтовка укрепляющая, глубокого проникновения, быстросохнущая, паропроницаемая</t>
        </is>
      </c>
      <c r="E190" s="239" t="inlineStr">
        <is>
          <t>кг</t>
        </is>
      </c>
      <c r="F190" s="168" t="n">
        <v>7.86375</v>
      </c>
      <c r="G190" s="241" t="n">
        <v>13.08</v>
      </c>
      <c r="H190" s="160">
        <f>ROUND(F190*G190,2)</f>
        <v/>
      </c>
    </row>
    <row r="191">
      <c r="A191" s="154" t="n">
        <v>175</v>
      </c>
      <c r="B191" s="228" t="n"/>
      <c r="C191" s="239" t="inlineStr">
        <is>
          <t>01.7.15.06-0111</t>
        </is>
      </c>
      <c r="D191" s="238" t="inlineStr">
        <is>
          <t>Гвозди строительные</t>
        </is>
      </c>
      <c r="E191" s="239" t="inlineStr">
        <is>
          <t>т</t>
        </is>
      </c>
      <c r="F191" s="168" t="n">
        <v>0.00851375</v>
      </c>
      <c r="G191" s="241" t="n">
        <v>11978</v>
      </c>
      <c r="H191" s="160">
        <f>ROUND(F191*G191,2)</f>
        <v/>
      </c>
    </row>
    <row r="192" ht="25.5" customHeight="1">
      <c r="A192" s="154" t="n">
        <v>176</v>
      </c>
      <c r="B192" s="228" t="n"/>
      <c r="C192" s="239" t="inlineStr">
        <is>
          <t>19.2.03.07-0005</t>
        </is>
      </c>
      <c r="D192" s="238" t="inlineStr">
        <is>
          <t>Решетки вентиляционные, пластмассовые, размер 190х240 мм</t>
        </is>
      </c>
      <c r="E192" s="239" t="inlineStr">
        <is>
          <t>шт</t>
        </is>
      </c>
      <c r="F192" s="168" t="n">
        <v>10</v>
      </c>
      <c r="G192" s="241" t="n">
        <v>8.970000000000001</v>
      </c>
      <c r="H192" s="160">
        <f>ROUND(F192*G192,2)</f>
        <v/>
      </c>
    </row>
    <row r="193" ht="25.5" customHeight="1">
      <c r="A193" s="154" t="n">
        <v>177</v>
      </c>
      <c r="B193" s="228" t="n"/>
      <c r="C193" s="239" t="inlineStr">
        <is>
          <t>01.2.01.02-0041</t>
        </is>
      </c>
      <c r="D193" s="238" t="inlineStr">
        <is>
          <t>Битумы нефтяные строительные кровельные БНК-45/190, БНК-40/180</t>
        </is>
      </c>
      <c r="E193" s="239" t="inlineStr">
        <is>
          <t>т</t>
        </is>
      </c>
      <c r="F193" s="168" t="n">
        <v>0.058125</v>
      </c>
      <c r="G193" s="241" t="n">
        <v>1530</v>
      </c>
      <c r="H193" s="160">
        <f>ROUND(F193*G193,2)</f>
        <v/>
      </c>
    </row>
    <row r="194">
      <c r="A194" s="154" t="n">
        <v>178</v>
      </c>
      <c r="B194" s="228" t="n"/>
      <c r="C194" s="239" t="inlineStr">
        <is>
          <t>11.2.13.04-0012</t>
        </is>
      </c>
      <c r="D194" s="238" t="inlineStr">
        <is>
          <t>Щиты из досок, толщина 40 мм</t>
        </is>
      </c>
      <c r="E194" s="239" t="inlineStr">
        <is>
          <t>м2</t>
        </is>
      </c>
      <c r="F194" s="168" t="n">
        <v>1.5345</v>
      </c>
      <c r="G194" s="241" t="n">
        <v>57.63</v>
      </c>
      <c r="H194" s="160">
        <f>ROUND(F194*G194,2)</f>
        <v/>
      </c>
    </row>
    <row r="195" ht="38.25" customHeight="1">
      <c r="A195" s="154" t="n">
        <v>179</v>
      </c>
      <c r="B195" s="228" t="n"/>
      <c r="C195" s="239" t="inlineStr">
        <is>
          <t>07.2.07.12-0011</t>
        </is>
      </c>
      <c r="D195" s="238" t="inlineStr">
        <is>
          <t>Элементы конструктивные зданий и сооружений с преобладанием гнутосварных профилей и круглых труб, средняя масса сборочной единицы до 0,1 т</t>
        </is>
      </c>
      <c r="E195" s="239" t="inlineStr">
        <is>
          <t>т</t>
        </is>
      </c>
      <c r="F195" s="168" t="n">
        <v>0.0078025</v>
      </c>
      <c r="G195" s="241" t="n">
        <v>11255</v>
      </c>
      <c r="H195" s="160">
        <f>ROUND(F195*G195,2)</f>
        <v/>
      </c>
    </row>
    <row r="196">
      <c r="A196" s="154" t="n">
        <v>180</v>
      </c>
      <c r="B196" s="228" t="n"/>
      <c r="C196" s="239" t="inlineStr">
        <is>
          <t>21.1.06.09-0048</t>
        </is>
      </c>
      <c r="D196" s="238" t="inlineStr">
        <is>
          <t>Кабель силовой с медными жилами ВВГ 2х2,5-660</t>
        </is>
      </c>
      <c r="E196" s="239" t="inlineStr">
        <is>
          <t>1000 м</t>
        </is>
      </c>
      <c r="F196" s="168" t="n">
        <v>0.0255</v>
      </c>
      <c r="G196" s="241" t="n">
        <v>3306.38</v>
      </c>
      <c r="H196" s="160">
        <f>ROUND(F196*G196,2)</f>
        <v/>
      </c>
    </row>
    <row r="197">
      <c r="A197" s="154" t="n">
        <v>181</v>
      </c>
      <c r="B197" s="228" t="n"/>
      <c r="C197" s="239" t="inlineStr">
        <is>
          <t>08.3.03.05-0002</t>
        </is>
      </c>
      <c r="D197" s="238" t="inlineStr">
        <is>
          <t>Проволока канатная оцинкованная, диаметр 3 мм</t>
        </is>
      </c>
      <c r="E197" s="239" t="inlineStr">
        <is>
          <t>т</t>
        </is>
      </c>
      <c r="F197" s="168" t="n">
        <v>0.01018875</v>
      </c>
      <c r="G197" s="241" t="n">
        <v>8190</v>
      </c>
      <c r="H197" s="160">
        <f>ROUND(F197*G197,2)</f>
        <v/>
      </c>
    </row>
    <row r="198">
      <c r="A198" s="154" t="n">
        <v>182</v>
      </c>
      <c r="B198" s="228" t="n"/>
      <c r="C198" s="239" t="inlineStr">
        <is>
          <t>21.1.08.03-0655</t>
        </is>
      </c>
      <c r="D198" s="238" t="inlineStr">
        <is>
          <t>Кабель контрольный КВВГЭ 4х1,5</t>
        </is>
      </c>
      <c r="E198" s="239" t="inlineStr">
        <is>
          <t>1000 м</t>
        </is>
      </c>
      <c r="F198" s="168" t="n">
        <v>0.006375</v>
      </c>
      <c r="G198" s="241" t="n">
        <v>12447.89</v>
      </c>
      <c r="H198" s="160">
        <f>ROUND(F198*G198,2)</f>
        <v/>
      </c>
      <c r="I198" s="172" t="n"/>
    </row>
    <row r="199">
      <c r="A199" s="154" t="n">
        <v>183</v>
      </c>
      <c r="B199" s="228" t="n"/>
      <c r="C199" s="239" t="inlineStr">
        <is>
          <t>01.1.02.03-0002</t>
        </is>
      </c>
      <c r="D199" s="238" t="inlineStr">
        <is>
          <t>Волокно асбестовое П-3-50</t>
        </is>
      </c>
      <c r="E199" s="239" t="inlineStr">
        <is>
          <t>т</t>
        </is>
      </c>
      <c r="F199" s="168" t="n">
        <v>0.0065625</v>
      </c>
      <c r="G199" s="241" t="n">
        <v>12034</v>
      </c>
      <c r="H199" s="160">
        <f>ROUND(F199*G199,2)</f>
        <v/>
      </c>
      <c r="I199" s="172" t="n"/>
    </row>
    <row r="200">
      <c r="A200" s="154" t="n">
        <v>184</v>
      </c>
      <c r="B200" s="228" t="n"/>
      <c r="C200" s="239" t="inlineStr">
        <is>
          <t>20.2.03.13-0006</t>
        </is>
      </c>
      <c r="D200" s="238" t="inlineStr">
        <is>
          <t>Полка кабельная К-1161ц из оцинкованной стали</t>
        </is>
      </c>
      <c r="E200" s="239" t="inlineStr">
        <is>
          <t>1000 шт</t>
        </is>
      </c>
      <c r="F200" s="168" t="n">
        <v>0.0125</v>
      </c>
      <c r="G200" s="241" t="n">
        <v>6190.47</v>
      </c>
      <c r="H200" s="160">
        <f>ROUND(F200*G200,2)</f>
        <v/>
      </c>
      <c r="I200" s="172" t="n"/>
    </row>
    <row r="201">
      <c r="A201" s="154" t="n">
        <v>185</v>
      </c>
      <c r="B201" s="228" t="n"/>
      <c r="C201" s="239" t="inlineStr">
        <is>
          <t>01.7.06.07-0001</t>
        </is>
      </c>
      <c r="D201" s="238" t="inlineStr">
        <is>
          <t>Лента К226</t>
        </is>
      </c>
      <c r="E201" s="239" t="inlineStr">
        <is>
          <t>100 м</t>
        </is>
      </c>
      <c r="F201" s="168" t="n">
        <v>0.6413</v>
      </c>
      <c r="G201" s="241" t="n">
        <v>120</v>
      </c>
      <c r="H201" s="160">
        <f>ROUND(F201*G201,2)</f>
        <v/>
      </c>
      <c r="I201" s="172" t="n"/>
    </row>
    <row r="202">
      <c r="A202" s="154" t="n">
        <v>186</v>
      </c>
      <c r="B202" s="228" t="n"/>
      <c r="C202" s="239" t="inlineStr">
        <is>
          <t>20.2.08.02-0001</t>
        </is>
      </c>
      <c r="D202" s="238" t="inlineStr">
        <is>
          <t>Держатель для крепления лотков НЛ-Дц</t>
        </is>
      </c>
      <c r="E202" s="239" t="inlineStr">
        <is>
          <t>шт</t>
        </is>
      </c>
      <c r="F202" s="168" t="n">
        <v>12.5</v>
      </c>
      <c r="G202" s="241" t="n">
        <v>6</v>
      </c>
      <c r="H202" s="160">
        <f>ROUND(F202*G202,2)</f>
        <v/>
      </c>
      <c r="I202" s="172" t="n"/>
    </row>
    <row r="203" ht="25.5" customHeight="1">
      <c r="A203" s="154" t="n">
        <v>187</v>
      </c>
      <c r="B203" s="228" t="n"/>
      <c r="C203" s="239" t="inlineStr">
        <is>
          <t>01.7.06.04-0007</t>
        </is>
      </c>
      <c r="D203" s="238" t="inlineStr">
        <is>
          <t>Лента разделительная для сопряжения потолка из ЛГК со стеной</t>
        </is>
      </c>
      <c r="E203" s="239" t="inlineStr">
        <is>
          <t>100 м</t>
        </is>
      </c>
      <c r="F203" s="168" t="n">
        <v>0.413575</v>
      </c>
      <c r="G203" s="241" t="n">
        <v>173</v>
      </c>
      <c r="H203" s="160">
        <f>ROUND(F203*G203,2)</f>
        <v/>
      </c>
      <c r="I203" s="172" t="n"/>
    </row>
    <row r="204" ht="25.5" customHeight="1">
      <c r="A204" s="154" t="n">
        <v>188</v>
      </c>
      <c r="B204" s="228" t="n"/>
      <c r="C204" s="239" t="inlineStr">
        <is>
          <t>11.1.03.01-0077</t>
        </is>
      </c>
      <c r="D204" s="238" t="inlineStr">
        <is>
          <t>Бруски обрезные, хвойных пород, длина 4-6,5 м, ширина 75-150 мм, толщина 40-75 мм, сорт I</t>
        </is>
      </c>
      <c r="E204" s="239" t="inlineStr">
        <is>
          <t>м3</t>
        </is>
      </c>
      <c r="F204" s="168" t="n">
        <v>0.03647625</v>
      </c>
      <c r="G204" s="241" t="n">
        <v>1700</v>
      </c>
      <c r="H204" s="160">
        <f>ROUND(F204*G204,2)</f>
        <v/>
      </c>
      <c r="I204" s="172" t="n"/>
    </row>
    <row r="205" ht="38.25" customHeight="1">
      <c r="A205" s="154" t="n">
        <v>189</v>
      </c>
      <c r="B205" s="228" t="n"/>
      <c r="C205" s="239" t="inlineStr">
        <is>
          <t>18.1.09.06-0022</t>
        </is>
      </c>
      <c r="D205" s="238" t="inlineStr">
        <is>
          <t>Кран шаровой 11Б27п1, номинальное давление 1,0 МПа (10 кгс/см2), номинальный диаметр 20 мм, присоединение к трубопроводу муфтовое</t>
        </is>
      </c>
      <c r="E205" s="239" t="inlineStr">
        <is>
          <t>шт</t>
        </is>
      </c>
      <c r="F205" s="168" t="n">
        <v>2.5</v>
      </c>
      <c r="G205" s="241" t="n">
        <v>24.68</v>
      </c>
      <c r="H205" s="160">
        <f>ROUND(F205*G205,2)</f>
        <v/>
      </c>
      <c r="I205" s="172" t="n"/>
    </row>
    <row r="206">
      <c r="A206" s="154" t="n">
        <v>190</v>
      </c>
      <c r="B206" s="228" t="n"/>
      <c r="C206" s="239" t="inlineStr">
        <is>
          <t>20.3.03.03-0023</t>
        </is>
      </c>
      <c r="D206" s="238" t="inlineStr">
        <is>
          <t>Светильник переносной РВО-42</t>
        </is>
      </c>
      <c r="E206" s="239" t="inlineStr">
        <is>
          <t>шт</t>
        </is>
      </c>
      <c r="F206" s="168" t="n">
        <v>1.25</v>
      </c>
      <c r="G206" s="241" t="n">
        <v>45.25</v>
      </c>
      <c r="H206" s="160">
        <f>ROUND(F206*G206,2)</f>
        <v/>
      </c>
      <c r="I206" s="172" t="n"/>
    </row>
    <row r="207" ht="25.5" customFormat="1" customHeight="1" s="153">
      <c r="A207" s="154" t="n">
        <v>191</v>
      </c>
      <c r="B207" s="228" t="n"/>
      <c r="C207" s="239" t="inlineStr">
        <is>
          <t>03.2.01.01-0001</t>
        </is>
      </c>
      <c r="D207" s="238" t="inlineStr">
        <is>
          <t>Портландцемент общестроительного назначения бездобавочный М400 Д0 (ЦЕМ I 32,5Н)</t>
        </is>
      </c>
      <c r="E207" s="239" t="inlineStr">
        <is>
          <t>т</t>
        </is>
      </c>
      <c r="F207" s="168" t="n">
        <v>0.12921125</v>
      </c>
      <c r="G207" s="241" t="n">
        <v>412</v>
      </c>
      <c r="H207" s="160">
        <f>ROUND(F207*G207,2)</f>
        <v/>
      </c>
      <c r="I207" s="172" t="n"/>
    </row>
    <row r="208">
      <c r="A208" s="154" t="n">
        <v>192</v>
      </c>
      <c r="B208" s="228" t="n"/>
      <c r="C208" s="239" t="inlineStr">
        <is>
          <t>01.7.15.07-0082</t>
        </is>
      </c>
      <c r="D208" s="238" t="inlineStr">
        <is>
          <t>Дюбель-гвозди, размер 6х39 мм</t>
        </is>
      </c>
      <c r="E208" s="239" t="inlineStr">
        <is>
          <t>100 шт</t>
        </is>
      </c>
      <c r="F208" s="168" t="n">
        <v>0.699</v>
      </c>
      <c r="G208" s="241" t="n">
        <v>70</v>
      </c>
      <c r="H208" s="160">
        <f>ROUND(F208*G208,2)</f>
        <v/>
      </c>
      <c r="I208" s="172" t="n"/>
    </row>
    <row r="209">
      <c r="A209" s="154" t="n">
        <v>193</v>
      </c>
      <c r="B209" s="228" t="n"/>
      <c r="C209" s="239" t="inlineStr">
        <is>
          <t>01.7.02.09-0002</t>
        </is>
      </c>
      <c r="D209" s="238" t="inlineStr">
        <is>
          <t>Шпагат бумажный</t>
        </is>
      </c>
      <c r="E209" s="239" t="inlineStr">
        <is>
          <t>кг</t>
        </is>
      </c>
      <c r="F209" s="168" t="n">
        <v>4.00375</v>
      </c>
      <c r="G209" s="241" t="n">
        <v>11.5</v>
      </c>
      <c r="H209" s="160">
        <f>ROUND(F209*G209,2)</f>
        <v/>
      </c>
      <c r="I209" s="172" t="n"/>
      <c r="K209" s="169" t="n"/>
    </row>
    <row r="210">
      <c r="A210" s="154" t="n">
        <v>194</v>
      </c>
      <c r="B210" s="228" t="n"/>
      <c r="C210" s="239" t="inlineStr">
        <is>
          <t>14.4.03.03-0002</t>
        </is>
      </c>
      <c r="D210" s="238" t="inlineStr">
        <is>
          <t>Лак битумный БТ-123</t>
        </is>
      </c>
      <c r="E210" s="239" t="inlineStr">
        <is>
          <t>т</t>
        </is>
      </c>
      <c r="F210" s="168" t="n">
        <v>0.005475</v>
      </c>
      <c r="G210" s="241" t="n">
        <v>7826.9</v>
      </c>
      <c r="H210" s="160">
        <f>ROUND(F210*G210,2)</f>
        <v/>
      </c>
      <c r="I210" s="172" t="n"/>
      <c r="K210" s="169" t="n"/>
    </row>
    <row r="211">
      <c r="A211" s="154" t="n">
        <v>195</v>
      </c>
      <c r="B211" s="228" t="n"/>
      <c r="C211" s="239" t="inlineStr">
        <is>
          <t>62.2.01.04-0038</t>
        </is>
      </c>
      <c r="D211" s="238" t="inlineStr">
        <is>
          <t>Посты управления кнопочные: ПКТ-44 У2</t>
        </is>
      </c>
      <c r="E211" s="239" t="inlineStr">
        <is>
          <t>шт</t>
        </is>
      </c>
      <c r="F211" s="168" t="n">
        <v>1.25</v>
      </c>
      <c r="G211" s="241" t="n">
        <v>33.06</v>
      </c>
      <c r="H211" s="160">
        <f>ROUND(F211*G211,2)</f>
        <v/>
      </c>
      <c r="I211" s="172" t="n"/>
      <c r="K211" s="169" t="n"/>
    </row>
    <row r="212">
      <c r="A212" s="154" t="n">
        <v>196</v>
      </c>
      <c r="B212" s="228" t="n"/>
      <c r="C212" s="239" t="inlineStr">
        <is>
          <t>20.1.02.06-0001</t>
        </is>
      </c>
      <c r="D212" s="238" t="inlineStr">
        <is>
          <t>Жир паяльный</t>
        </is>
      </c>
      <c r="E212" s="239" t="inlineStr">
        <is>
          <t>кг</t>
        </is>
      </c>
      <c r="F212" s="168" t="n">
        <v>0.4</v>
      </c>
      <c r="G212" s="241" t="n">
        <v>100.8</v>
      </c>
      <c r="H212" s="160">
        <f>ROUND(F212*G212,2)</f>
        <v/>
      </c>
    </row>
    <row r="213">
      <c r="A213" s="154" t="n">
        <v>197</v>
      </c>
      <c r="B213" s="228" t="n"/>
      <c r="C213" s="239" t="inlineStr">
        <is>
          <t>01.7.15.02-0054</t>
        </is>
      </c>
      <c r="D213" s="238" t="inlineStr">
        <is>
          <t>Болты анкерные оцинкованные</t>
        </is>
      </c>
      <c r="E213" s="239" t="inlineStr">
        <is>
          <t>кг</t>
        </is>
      </c>
      <c r="F213" s="168" t="n">
        <v>3.25</v>
      </c>
      <c r="G213" s="241" t="n">
        <v>11.54</v>
      </c>
      <c r="H213" s="160">
        <f>ROUND(F213*G213,2)</f>
        <v/>
      </c>
    </row>
    <row r="214">
      <c r="A214" s="154" t="n">
        <v>198</v>
      </c>
      <c r="B214" s="228" t="n"/>
      <c r="C214" s="239" t="inlineStr">
        <is>
          <t>04.3.01.09-0023</t>
        </is>
      </c>
      <c r="D214" s="238" t="inlineStr">
        <is>
          <t>Раствор отделочный тяжелый цементный, состав 1:3</t>
        </is>
      </c>
      <c r="E214" s="239" t="inlineStr">
        <is>
          <t>м3</t>
        </is>
      </c>
      <c r="F214" s="168" t="n">
        <v>0.06825000000000001</v>
      </c>
      <c r="G214" s="241" t="n">
        <v>497</v>
      </c>
      <c r="H214" s="160">
        <f>ROUND(F214*G214,2)</f>
        <v/>
      </c>
    </row>
    <row r="215">
      <c r="A215" s="154" t="n">
        <v>199</v>
      </c>
      <c r="B215" s="228" t="n"/>
      <c r="C215" s="239" t="inlineStr">
        <is>
          <t>01.2.01.02-0054</t>
        </is>
      </c>
      <c r="D215" s="238" t="inlineStr">
        <is>
          <t>Битумы нефтяные строительные БН-90/10</t>
        </is>
      </c>
      <c r="E215" s="239" t="inlineStr">
        <is>
          <t>т</t>
        </is>
      </c>
      <c r="F215" s="168" t="n">
        <v>0.023125</v>
      </c>
      <c r="G215" s="241" t="n">
        <v>1383.1</v>
      </c>
      <c r="H215" s="160">
        <f>ROUND(F215*G215,2)</f>
        <v/>
      </c>
    </row>
    <row r="216" ht="25.5" customHeight="1">
      <c r="A216" s="154" t="n">
        <v>200</v>
      </c>
      <c r="B216" s="228" t="n"/>
      <c r="C216" s="239" t="inlineStr">
        <is>
          <t>08.3.05.02-0101</t>
        </is>
      </c>
      <c r="D216" s="238" t="inlineStr">
        <is>
          <t>Прокат толстолистовой горячекатаный в листах, марка стали ВСт3пс5, толщина 4-6 мм</t>
        </is>
      </c>
      <c r="E216" s="239" t="inlineStr">
        <is>
          <t>т</t>
        </is>
      </c>
      <c r="F216" s="168" t="n">
        <v>0.0055</v>
      </c>
      <c r="G216" s="241" t="n">
        <v>5763</v>
      </c>
      <c r="H216" s="160">
        <f>ROUND(F216*G216,2)</f>
        <v/>
      </c>
    </row>
    <row r="217">
      <c r="A217" s="154" t="n">
        <v>201</v>
      </c>
      <c r="B217" s="228" t="n"/>
      <c r="C217" s="239" t="inlineStr">
        <is>
          <t>01.7.15.14-0021</t>
        </is>
      </c>
      <c r="D217" s="238" t="inlineStr">
        <is>
          <t>Шурупы для ГВЛ 3,9х25</t>
        </is>
      </c>
      <c r="E217" s="239" t="inlineStr">
        <is>
          <t>100 шт</t>
        </is>
      </c>
      <c r="F217" s="168" t="n">
        <v>10.4879125</v>
      </c>
      <c r="G217" s="241" t="n">
        <v>3</v>
      </c>
      <c r="H217" s="160">
        <f>ROUND(F217*G217,2)</f>
        <v/>
      </c>
    </row>
    <row r="218">
      <c r="A218" s="154" t="n">
        <v>202</v>
      </c>
      <c r="B218" s="228" t="n"/>
      <c r="C218" s="239" t="inlineStr">
        <is>
          <t>01.7.15.06-0146</t>
        </is>
      </c>
      <c r="D218" s="238" t="inlineStr">
        <is>
          <t>Гвозди толевые круглые, размер 3,0х40 мм</t>
        </is>
      </c>
      <c r="E218" s="239" t="inlineStr">
        <is>
          <t>т</t>
        </is>
      </c>
      <c r="F218" s="168" t="n">
        <v>0.0036575</v>
      </c>
      <c r="G218" s="241" t="n">
        <v>8475</v>
      </c>
      <c r="H218" s="160">
        <f>ROUND(F218*G218,2)</f>
        <v/>
      </c>
    </row>
    <row r="219">
      <c r="A219" s="154" t="n">
        <v>203</v>
      </c>
      <c r="B219" s="228" t="n"/>
      <c r="C219" s="239" t="inlineStr">
        <is>
          <t>01.7.15.14-0023</t>
        </is>
      </c>
      <c r="D219" s="238" t="inlineStr">
        <is>
          <t>Шурупы для ГВЛ 3,9х45</t>
        </is>
      </c>
      <c r="E219" s="239" t="inlineStr">
        <is>
          <t>100 шт</t>
        </is>
      </c>
      <c r="F219" s="168" t="n">
        <v>6.0492625</v>
      </c>
      <c r="G219" s="241" t="n">
        <v>5</v>
      </c>
      <c r="H219" s="160">
        <f>ROUND(F219*G219,2)</f>
        <v/>
      </c>
    </row>
    <row r="220" ht="25.5" customHeight="1">
      <c r="A220" s="154" t="n">
        <v>204</v>
      </c>
      <c r="B220" s="228" t="n"/>
      <c r="C220" s="239" t="inlineStr">
        <is>
          <t>01.3.01.06-0050</t>
        </is>
      </c>
      <c r="D220" s="238" t="inlineStr">
        <is>
          <t>Смазка универсальная тугоплавкая УТ (консталин жировой)</t>
        </is>
      </c>
      <c r="E220" s="239" t="inlineStr">
        <is>
          <t>т</t>
        </is>
      </c>
      <c r="F220" s="168" t="n">
        <v>0.00155</v>
      </c>
      <c r="G220" s="241" t="n">
        <v>17500</v>
      </c>
      <c r="H220" s="160">
        <f>ROUND(F220*G220,2)</f>
        <v/>
      </c>
    </row>
    <row r="221" ht="51" customHeight="1">
      <c r="A221" s="154" t="n">
        <v>205</v>
      </c>
      <c r="B221" s="228" t="n"/>
      <c r="C221" s="239" t="inlineStr">
        <is>
          <t>08.2.02.11-0007</t>
        </is>
      </c>
      <c r="D221" s="238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221" s="239" t="inlineStr">
        <is>
          <t>10 м</t>
        </is>
      </c>
      <c r="F221" s="168" t="n">
        <v>0.53700875</v>
      </c>
      <c r="G221" s="241" t="n">
        <v>50.24</v>
      </c>
      <c r="H221" s="160">
        <f>ROUND(F221*G221,2)</f>
        <v/>
      </c>
    </row>
    <row r="222" ht="25.5" customHeight="1">
      <c r="A222" s="154" t="n">
        <v>206</v>
      </c>
      <c r="B222" s="228" t="n"/>
      <c r="C222" s="239" t="inlineStr">
        <is>
          <t>08.1.02.17-0161</t>
        </is>
      </c>
      <c r="D222" s="238" t="inlineStr">
        <is>
          <t>Сетка тканая с квадратными ячейками № 05, без покрытия</t>
        </is>
      </c>
      <c r="E222" s="239" t="inlineStr">
        <is>
          <t>м2</t>
        </is>
      </c>
      <c r="F222" s="168" t="n">
        <v>0.9042</v>
      </c>
      <c r="G222" s="241" t="n">
        <v>28.25</v>
      </c>
      <c r="H222" s="160">
        <f>ROUND(F222*G222,2)</f>
        <v/>
      </c>
      <c r="I222" s="172" t="n"/>
    </row>
    <row r="223" customFormat="1" s="153">
      <c r="A223" s="154" t="n">
        <v>207</v>
      </c>
      <c r="B223" s="228" t="n"/>
      <c r="C223" s="239" t="inlineStr">
        <is>
          <t>04.3.01.09-0014</t>
        </is>
      </c>
      <c r="D223" s="238" t="inlineStr">
        <is>
          <t>Раствор готовый кладочный, цементный, М100</t>
        </is>
      </c>
      <c r="E223" s="239" t="inlineStr">
        <is>
          <t>м3</t>
        </is>
      </c>
      <c r="F223" s="168" t="n">
        <v>0.04875</v>
      </c>
      <c r="G223" s="241" t="n">
        <v>519.8</v>
      </c>
      <c r="H223" s="160">
        <f>ROUND(F223*G223,2)</f>
        <v/>
      </c>
    </row>
    <row r="224">
      <c r="A224" s="154" t="n">
        <v>208</v>
      </c>
      <c r="B224" s="228" t="n"/>
      <c r="C224" s="239" t="inlineStr">
        <is>
          <t>01.7.11.07-0035</t>
        </is>
      </c>
      <c r="D224" s="238" t="inlineStr">
        <is>
          <t>Электроды диаметром: 4 мм Э46</t>
        </is>
      </c>
      <c r="E224" s="239" t="inlineStr">
        <is>
          <t>т</t>
        </is>
      </c>
      <c r="F224" s="168" t="n">
        <v>0.00228125</v>
      </c>
      <c r="G224" s="241" t="n">
        <v>10749</v>
      </c>
      <c r="H224" s="160">
        <f>ROUND(F224*G224,2)</f>
        <v/>
      </c>
      <c r="I224" s="172" t="n"/>
      <c r="K224" s="169" t="n"/>
    </row>
    <row r="225">
      <c r="A225" s="154" t="n">
        <v>209</v>
      </c>
      <c r="B225" s="228" t="n"/>
      <c r="C225" s="239" t="inlineStr">
        <is>
          <t>20.1.02.23-0082</t>
        </is>
      </c>
      <c r="D225" s="238" t="inlineStr">
        <is>
          <t>Перемычки гибкие, тип ПГС-50</t>
        </is>
      </c>
      <c r="E225" s="239" t="inlineStr">
        <is>
          <t>10 шт</t>
        </is>
      </c>
      <c r="F225" s="168" t="n">
        <v>0.625</v>
      </c>
      <c r="G225" s="241" t="n">
        <v>39</v>
      </c>
      <c r="H225" s="160">
        <f>ROUND(F225*G225,2)</f>
        <v/>
      </c>
      <c r="I225" s="172" t="n"/>
      <c r="K225" s="169" t="n"/>
    </row>
    <row r="226" ht="25.5" customHeight="1">
      <c r="A226" s="154" t="n">
        <v>210</v>
      </c>
      <c r="B226" s="228" t="n"/>
      <c r="C226" s="239" t="inlineStr">
        <is>
          <t>08.3.03.06-0002</t>
        </is>
      </c>
      <c r="D226" s="238" t="inlineStr">
        <is>
          <t>Проволока горячекатаная в мотках, диаметр 6,3-6,5 мм</t>
        </is>
      </c>
      <c r="E226" s="239" t="inlineStr">
        <is>
          <t>т</t>
        </is>
      </c>
      <c r="F226" s="168" t="n">
        <v>0.00537625</v>
      </c>
      <c r="G226" s="241" t="n">
        <v>4455.2</v>
      </c>
      <c r="H226" s="160">
        <f>ROUND(F226*G226,2)</f>
        <v/>
      </c>
      <c r="I226" s="172" t="n"/>
    </row>
    <row r="227" ht="25.5" customHeight="1">
      <c r="A227" s="154" t="n">
        <v>211</v>
      </c>
      <c r="B227" s="228" t="n"/>
      <c r="C227" s="239" t="inlineStr">
        <is>
          <t>01.3.05.03-0005</t>
        </is>
      </c>
      <c r="D227" s="238" t="inlineStr">
        <is>
          <t>Аммоний сернокислый (сульфат аммония) очищенный</t>
        </is>
      </c>
      <c r="E227" s="239" t="inlineStr">
        <is>
          <t>т</t>
        </is>
      </c>
      <c r="F227" s="168" t="n">
        <v>0.001735</v>
      </c>
      <c r="G227" s="241" t="n">
        <v>12486</v>
      </c>
      <c r="H227" s="160">
        <f>ROUND(F227*G227,2)</f>
        <v/>
      </c>
      <c r="I227" s="172" t="n"/>
    </row>
    <row r="228" ht="25.5" customHeight="1">
      <c r="A228" s="154" t="n">
        <v>212</v>
      </c>
      <c r="B228" s="228" t="n"/>
      <c r="C228" s="239" t="inlineStr">
        <is>
          <t>08.4.03.02-0004</t>
        </is>
      </c>
      <c r="D228" s="238" t="inlineStr">
        <is>
          <t>Сталь арматурная, горячекатаная, гладкая, класс А-I, диаметр 12 мм</t>
        </is>
      </c>
      <c r="E228" s="239" t="inlineStr">
        <is>
          <t>т</t>
        </is>
      </c>
      <c r="F228" s="168" t="n">
        <v>0.003225</v>
      </c>
      <c r="G228" s="241" t="n">
        <v>6508.75</v>
      </c>
      <c r="H228" s="160">
        <f>ROUND(F228*G228,2)</f>
        <v/>
      </c>
      <c r="I228" s="172" t="n"/>
    </row>
    <row r="229" ht="25.5" customHeight="1">
      <c r="A229" s="154" t="n">
        <v>213</v>
      </c>
      <c r="B229" s="228" t="n"/>
      <c r="C229" s="239" t="inlineStr">
        <is>
          <t>01.7.15.03-0034</t>
        </is>
      </c>
      <c r="D229" s="238" t="inlineStr">
        <is>
          <t>Болты с гайками и шайбами оцинкованные, диаметр 12 мм</t>
        </is>
      </c>
      <c r="E229" s="239" t="inlineStr">
        <is>
          <t>кг</t>
        </is>
      </c>
      <c r="F229" s="168" t="n">
        <v>0.8</v>
      </c>
      <c r="G229" s="241" t="n">
        <v>25.76</v>
      </c>
      <c r="H229" s="160">
        <f>ROUND(F229*G229,2)</f>
        <v/>
      </c>
      <c r="I229" s="172" t="n"/>
    </row>
    <row r="230">
      <c r="A230" s="154" t="n">
        <v>214</v>
      </c>
      <c r="B230" s="228" t="n"/>
      <c r="C230" s="239" t="inlineStr">
        <is>
          <t>14.4.02.09-0001</t>
        </is>
      </c>
      <c r="D230" s="238" t="inlineStr">
        <is>
          <t>Краска</t>
        </is>
      </c>
      <c r="E230" s="239" t="inlineStr">
        <is>
          <t>кг</t>
        </is>
      </c>
      <c r="F230" s="168" t="n">
        <v>0.6675</v>
      </c>
      <c r="G230" s="241" t="n">
        <v>28.6</v>
      </c>
      <c r="H230" s="160">
        <f>ROUND(F230*G230,2)</f>
        <v/>
      </c>
      <c r="I230" s="172" t="n"/>
    </row>
    <row r="231" ht="25.5" customHeight="1">
      <c r="A231" s="154" t="n">
        <v>215</v>
      </c>
      <c r="B231" s="228" t="n"/>
      <c r="C231" s="239" t="inlineStr">
        <is>
          <t>01.7.06.01-0042</t>
        </is>
      </c>
      <c r="D231" s="238" t="inlineStr">
        <is>
          <t>Лента эластичная самоклеящаяся для профилей направляющих 50/30000 мм</t>
        </is>
      </c>
      <c r="E231" s="239" t="inlineStr">
        <is>
          <t>м</t>
        </is>
      </c>
      <c r="F231" s="168" t="n">
        <v>31.16375</v>
      </c>
      <c r="G231" s="241" t="n">
        <v>0.6</v>
      </c>
      <c r="H231" s="160">
        <f>ROUND(F231*G231,2)</f>
        <v/>
      </c>
      <c r="I231" s="172" t="n"/>
    </row>
    <row r="232" ht="25.5" customHeight="1">
      <c r="A232" s="154" t="n">
        <v>216</v>
      </c>
      <c r="B232" s="228" t="n"/>
      <c r="C232" s="239" t="inlineStr">
        <is>
          <t>11.1.03.06-0095</t>
        </is>
      </c>
      <c r="D232" s="238" t="inlineStr">
        <is>
          <t>Доска обрезная, хвойных пород, ширина 75-150 мм, толщина 44 мм и более, длина 4-6,5 м, сорт III</t>
        </is>
      </c>
      <c r="E232" s="239" t="inlineStr">
        <is>
          <t>м3</t>
        </is>
      </c>
      <c r="F232" s="168" t="n">
        <v>0.01705</v>
      </c>
      <c r="G232" s="241" t="n">
        <v>1056</v>
      </c>
      <c r="H232" s="160">
        <f>ROUND(F232*G232,2)</f>
        <v/>
      </c>
      <c r="I232" s="172" t="n"/>
    </row>
    <row r="233">
      <c r="A233" s="154" t="n">
        <v>217</v>
      </c>
      <c r="B233" s="228" t="n"/>
      <c r="C233" s="239" t="inlineStr">
        <is>
          <t>01.7.15.14-0022</t>
        </is>
      </c>
      <c r="D233" s="238" t="inlineStr">
        <is>
          <t>Шурупы для ГВЛ 3,9х30</t>
        </is>
      </c>
      <c r="E233" s="239" t="inlineStr">
        <is>
          <t>100 шт</t>
        </is>
      </c>
      <c r="F233" s="168" t="n">
        <v>4.4357375</v>
      </c>
      <c r="G233" s="241" t="n">
        <v>4</v>
      </c>
      <c r="H233" s="160">
        <f>ROUND(F233*G233,2)</f>
        <v/>
      </c>
      <c r="I233" s="172" t="n"/>
    </row>
    <row r="234">
      <c r="A234" s="154" t="n">
        <v>218</v>
      </c>
      <c r="B234" s="228" t="n"/>
      <c r="C234" s="239" t="inlineStr">
        <is>
          <t>01.3.01.05-0009</t>
        </is>
      </c>
      <c r="D234" s="238" t="inlineStr">
        <is>
          <t>Парафин нефтяной твердый Т-1</t>
        </is>
      </c>
      <c r="E234" s="239" t="inlineStr">
        <is>
          <t>т</t>
        </is>
      </c>
      <c r="F234" s="168" t="n">
        <v>0.002075</v>
      </c>
      <c r="G234" s="241" t="n">
        <v>8105.71</v>
      </c>
      <c r="H234" s="160">
        <f>ROUND(F234*G234,2)</f>
        <v/>
      </c>
      <c r="I234" s="172" t="n"/>
    </row>
    <row r="235" ht="25.5" customHeight="1">
      <c r="A235" s="154" t="n">
        <v>219</v>
      </c>
      <c r="B235" s="228" t="n"/>
      <c r="C235" s="239" t="inlineStr">
        <is>
          <t>07.2.06.04-0011</t>
        </is>
      </c>
      <c r="D235" s="238" t="inlineStr">
        <is>
          <t>Верхний уголок для крепления несущих элементов двери 100х123 мм</t>
        </is>
      </c>
      <c r="E235" s="239" t="inlineStr">
        <is>
          <t>100 шт</t>
        </is>
      </c>
      <c r="F235" s="168" t="n">
        <v>0.05825</v>
      </c>
      <c r="G235" s="241" t="n">
        <v>279</v>
      </c>
      <c r="H235" s="160">
        <f>ROUND(F235*G235,2)</f>
        <v/>
      </c>
      <c r="I235" s="172" t="n"/>
    </row>
    <row r="236" ht="25.5" customFormat="1" customHeight="1" s="153">
      <c r="A236" s="154" t="n">
        <v>220</v>
      </c>
      <c r="B236" s="228" t="n"/>
      <c r="C236" s="239" t="inlineStr">
        <is>
          <t>07.2.06.04-0061</t>
        </is>
      </c>
      <c r="D236" s="238" t="inlineStr">
        <is>
          <t>Нижний уголок для крепления несущих элементов двери 100х123 мм</t>
        </is>
      </c>
      <c r="E236" s="239" t="inlineStr">
        <is>
          <t>100 шт</t>
        </is>
      </c>
      <c r="F236" s="168" t="n">
        <v>0.05825</v>
      </c>
      <c r="G236" s="241" t="n">
        <v>279</v>
      </c>
      <c r="H236" s="160">
        <f>ROUND(F236*G236,2)</f>
        <v/>
      </c>
      <c r="I236" s="172" t="n"/>
    </row>
    <row r="237">
      <c r="A237" s="154" t="n">
        <v>221</v>
      </c>
      <c r="B237" s="228" t="n"/>
      <c r="C237" s="239" t="inlineStr">
        <is>
          <t>01.7.15.14-0165</t>
        </is>
      </c>
      <c r="D237" s="238" t="inlineStr">
        <is>
          <t>Шурупы с полукруглой головкой 4х40 мм</t>
        </is>
      </c>
      <c r="E237" s="239" t="inlineStr">
        <is>
          <t>т</t>
        </is>
      </c>
      <c r="F237" s="168" t="n">
        <v>0.001275</v>
      </c>
      <c r="G237" s="241" t="n">
        <v>12430</v>
      </c>
      <c r="H237" s="160">
        <f>ROUND(F237*G237,2)</f>
        <v/>
      </c>
      <c r="I237" s="172" t="n"/>
    </row>
    <row r="238">
      <c r="A238" s="154" t="n">
        <v>222</v>
      </c>
      <c r="B238" s="228" t="n"/>
      <c r="C238" s="239" t="inlineStr">
        <is>
          <t>01.7.07.29-0091</t>
        </is>
      </c>
      <c r="D238" s="238" t="inlineStr">
        <is>
          <t>Опилки древесные</t>
        </is>
      </c>
      <c r="E238" s="239" t="inlineStr">
        <is>
          <t>м3</t>
        </is>
      </c>
      <c r="F238" s="168" t="n">
        <v>0.4131</v>
      </c>
      <c r="G238" s="241" t="n">
        <v>34.92</v>
      </c>
      <c r="H238" s="160">
        <f>ROUND(F238*G238,2)</f>
        <v/>
      </c>
      <c r="I238" s="172" t="n"/>
      <c r="K238" s="169" t="n"/>
    </row>
    <row r="239" ht="38.25" customHeight="1">
      <c r="A239" s="154" t="n">
        <v>223</v>
      </c>
      <c r="B239" s="228" t="n"/>
      <c r="C239" s="239" t="inlineStr">
        <is>
          <t>14.5.04.03-0002</t>
        </is>
      </c>
      <c r="D239" s="238" t="inlineStr">
        <is>
          <t>Мастика герметизирующая нетвердеющая из синтетического каучука, для заполнения и герметизации швов стеклянного ограждения теплиц</t>
        </is>
      </c>
      <c r="E239" s="239" t="inlineStr">
        <is>
          <t>т</t>
        </is>
      </c>
      <c r="F239" s="168" t="n">
        <v>0.0008375</v>
      </c>
      <c r="G239" s="241" t="n">
        <v>17183</v>
      </c>
      <c r="H239" s="160">
        <f>ROUND(F239*G239,2)</f>
        <v/>
      </c>
      <c r="I239" s="172" t="n"/>
      <c r="K239" s="169" t="n"/>
    </row>
    <row r="240" ht="25.5" customHeight="1">
      <c r="A240" s="154" t="n">
        <v>224</v>
      </c>
      <c r="B240" s="228" t="n"/>
      <c r="C240" s="239" t="inlineStr">
        <is>
          <t>01.7.06.04-0002</t>
        </is>
      </c>
      <c r="D240" s="238" t="inlineStr">
        <is>
          <t>Лента бумажная для повышения трещиностойкости стыков ГКЛ и ГВЛ</t>
        </is>
      </c>
      <c r="E240" s="239" t="inlineStr">
        <is>
          <t>м</t>
        </is>
      </c>
      <c r="F240" s="168" t="n">
        <v>76.89</v>
      </c>
      <c r="G240" s="241" t="n">
        <v>0.17</v>
      </c>
      <c r="H240" s="160">
        <f>ROUND(F240*G240,2)</f>
        <v/>
      </c>
      <c r="I240" s="172" t="n"/>
      <c r="K240" s="169" t="n"/>
    </row>
    <row r="241">
      <c r="A241" s="154" t="n">
        <v>225</v>
      </c>
      <c r="B241" s="228" t="n"/>
      <c r="C241" s="239" t="inlineStr">
        <is>
          <t>01.7.07.20-0002</t>
        </is>
      </c>
      <c r="D241" s="238" t="inlineStr">
        <is>
          <t>Тальк молотый, сорт I</t>
        </is>
      </c>
      <c r="E241" s="239" t="inlineStr">
        <is>
          <t>т</t>
        </is>
      </c>
      <c r="F241" s="168" t="n">
        <v>0.0065625</v>
      </c>
      <c r="G241" s="241" t="n">
        <v>1820</v>
      </c>
      <c r="H241" s="160">
        <f>ROUND(F241*G241,2)</f>
        <v/>
      </c>
      <c r="I241" s="172" t="n"/>
      <c r="K241" s="169" t="n"/>
    </row>
    <row r="242">
      <c r="A242" s="154" t="n">
        <v>226</v>
      </c>
      <c r="B242" s="228" t="n"/>
      <c r="C242" s="239" t="inlineStr">
        <is>
          <t>20.2.09.13-0011</t>
        </is>
      </c>
      <c r="D242" s="238" t="inlineStr">
        <is>
          <t>Муфты</t>
        </is>
      </c>
      <c r="E242" s="239" t="inlineStr">
        <is>
          <t>шт</t>
        </is>
      </c>
      <c r="F242" s="168" t="n">
        <v>2.25</v>
      </c>
      <c r="G242" s="241" t="n">
        <v>5</v>
      </c>
      <c r="H242" s="160">
        <f>ROUND(F242*G242,2)</f>
        <v/>
      </c>
    </row>
    <row r="243">
      <c r="A243" s="154" t="n">
        <v>227</v>
      </c>
      <c r="B243" s="228" t="n"/>
      <c r="C243" s="239" t="inlineStr">
        <is>
          <t>01.7.03.01-0001</t>
        </is>
      </c>
      <c r="D243" s="238" t="inlineStr">
        <is>
          <t>Вода</t>
        </is>
      </c>
      <c r="E243" s="239" t="inlineStr">
        <is>
          <t>м3</t>
        </is>
      </c>
      <c r="F243" s="168" t="n">
        <v>4.35677625</v>
      </c>
      <c r="G243" s="241" t="n">
        <v>2.44</v>
      </c>
      <c r="H243" s="160">
        <f>ROUND(F243*G243,2)</f>
        <v/>
      </c>
    </row>
    <row r="244" ht="25.5" customHeight="1">
      <c r="A244" s="154" t="n">
        <v>228</v>
      </c>
      <c r="B244" s="228" t="n"/>
      <c r="C244" s="239" t="inlineStr">
        <is>
          <t>08.3.07.01-0076</t>
        </is>
      </c>
      <c r="D244" s="238" t="inlineStr">
        <is>
          <t>Прокат полосовой, горячекатаный, марка стали Ст3сп, ширина 50-200 мм, толщина 4-5 мм</t>
        </is>
      </c>
      <c r="E244" s="239" t="inlineStr">
        <is>
          <t>т</t>
        </is>
      </c>
      <c r="F244" s="168" t="n">
        <v>0.0021</v>
      </c>
      <c r="G244" s="241" t="n">
        <v>5000</v>
      </c>
      <c r="H244" s="160">
        <f>ROUND(F244*G244,2)</f>
        <v/>
      </c>
    </row>
    <row r="245" ht="25.5" customHeight="1">
      <c r="A245" s="154" t="n">
        <v>229</v>
      </c>
      <c r="B245" s="228" t="n"/>
      <c r="C245" s="239" t="inlineStr">
        <is>
          <t>01.7.06.05-0041</t>
        </is>
      </c>
      <c r="D245" s="238" t="inlineStr">
        <is>
          <t>Лента изоляционная прорезиненная односторонняя, ширина 20 мм, толщина 0,25-0,35 мм</t>
        </is>
      </c>
      <c r="E245" s="239" t="inlineStr">
        <is>
          <t>кг</t>
        </is>
      </c>
      <c r="F245" s="168" t="n">
        <v>0.342875</v>
      </c>
      <c r="G245" s="241" t="n">
        <v>30.4</v>
      </c>
      <c r="H245" s="160">
        <f>ROUND(F245*G245,2)</f>
        <v/>
      </c>
    </row>
    <row r="246" ht="38.25" customHeight="1">
      <c r="A246" s="154" t="n">
        <v>230</v>
      </c>
      <c r="B246" s="228" t="n"/>
      <c r="C246" s="239" t="inlineStr">
        <is>
          <t>14.4.02.04-0261</t>
        </is>
      </c>
      <c r="D246" s="238" t="inlineStr">
        <is>
          <t>Краска масляная, цветная, жидкотертая, готовая к применению для наружных и внутренних работ МА-25 розово-бежевая, светло-бежевая, светло-серая</t>
        </is>
      </c>
      <c r="E246" s="239" t="inlineStr">
        <is>
          <t>т</t>
        </is>
      </c>
      <c r="F246" s="168" t="n">
        <v>0.000615</v>
      </c>
      <c r="G246" s="241" t="n">
        <v>15707</v>
      </c>
      <c r="H246" s="160">
        <f>ROUND(F246*G246,2)</f>
        <v/>
      </c>
    </row>
    <row r="247">
      <c r="A247" s="154" t="n">
        <v>231</v>
      </c>
      <c r="B247" s="228" t="n"/>
      <c r="C247" s="239" t="inlineStr">
        <is>
          <t>01.7.11.07-0045</t>
        </is>
      </c>
      <c r="D247" s="238" t="inlineStr">
        <is>
          <t>Электроды сварочные Э42А, диаметр 5 мм</t>
        </is>
      </c>
      <c r="E247" s="239" t="inlineStr">
        <is>
          <t>т</t>
        </is>
      </c>
      <c r="F247" s="168" t="n">
        <v>0.0008975</v>
      </c>
      <c r="G247" s="241" t="n">
        <v>10362</v>
      </c>
      <c r="H247" s="160">
        <f>ROUND(F247*G247,2)</f>
        <v/>
      </c>
    </row>
    <row r="248" ht="25.5" customHeight="1">
      <c r="A248" s="154" t="n">
        <v>232</v>
      </c>
      <c r="B248" s="228" t="n"/>
      <c r="C248" s="239" t="inlineStr">
        <is>
          <t>01.1.01.09-0026</t>
        </is>
      </c>
      <c r="D248" s="238" t="inlineStr">
        <is>
          <t>Шнур асбестовый общего назначения ШАОН, диаметр 8-10 мм</t>
        </is>
      </c>
      <c r="E248" s="239" t="inlineStr">
        <is>
          <t>т</t>
        </is>
      </c>
      <c r="F248" s="168" t="n">
        <v>0.00031875</v>
      </c>
      <c r="G248" s="241" t="n">
        <v>26499</v>
      </c>
      <c r="H248" s="160">
        <f>ROUND(F248*G248,2)</f>
        <v/>
      </c>
    </row>
    <row r="249" ht="25.5" customHeight="1">
      <c r="A249" s="154" t="n">
        <v>233</v>
      </c>
      <c r="B249" s="228" t="n"/>
      <c r="C249" s="239" t="inlineStr">
        <is>
          <t>04.3.01.12-0111</t>
        </is>
      </c>
      <c r="D249" s="238" t="inlineStr">
        <is>
          <t>Раствор готовый отделочный тяжелый, цементно-известковый, состав 1:1:6</t>
        </is>
      </c>
      <c r="E249" s="239" t="inlineStr">
        <is>
          <t>м3</t>
        </is>
      </c>
      <c r="F249" s="168" t="n">
        <v>0.0137</v>
      </c>
      <c r="G249" s="241" t="n">
        <v>517.91</v>
      </c>
      <c r="H249" s="160">
        <f>ROUND(F249*G249,2)</f>
        <v/>
      </c>
    </row>
    <row r="250" ht="25.5" customHeight="1">
      <c r="A250" s="154" t="n">
        <v>234</v>
      </c>
      <c r="B250" s="228" t="n"/>
      <c r="C250" s="239" t="inlineStr">
        <is>
          <t>08.3.07.01-0004</t>
        </is>
      </c>
      <c r="D250" s="238" t="inlineStr">
        <is>
          <t>Прокат полосовой, горячекатаный, марка стали Ст3сп, ширина 100-200 мм, толщина 10-75 мм</t>
        </is>
      </c>
      <c r="E250" s="239" t="inlineStr">
        <is>
          <t>т</t>
        </is>
      </c>
      <c r="F250" s="168" t="n">
        <v>0.00125</v>
      </c>
      <c r="G250" s="241" t="n">
        <v>5650</v>
      </c>
      <c r="H250" s="160">
        <f>ROUND(F250*G250,2)</f>
        <v/>
      </c>
    </row>
    <row r="251" ht="25.5" customHeight="1">
      <c r="A251" s="154" t="n">
        <v>235</v>
      </c>
      <c r="B251" s="228" t="n"/>
      <c r="C251" s="239" t="inlineStr">
        <is>
          <t>08.3.03.05-0013</t>
        </is>
      </c>
      <c r="D251" s="238" t="inlineStr">
        <is>
          <t>Проволока стальная низкоуглеродистая разного назначения оцинкованная, диаметр 1,6 мм</t>
        </is>
      </c>
      <c r="E251" s="239" t="inlineStr">
        <is>
          <t>т</t>
        </is>
      </c>
      <c r="F251" s="168" t="n">
        <v>0.000475</v>
      </c>
      <c r="G251" s="241" t="n">
        <v>14690</v>
      </c>
      <c r="H251" s="160">
        <f>ROUND(F251*G251,2)</f>
        <v/>
      </c>
    </row>
    <row r="252">
      <c r="A252" s="154" t="n">
        <v>236</v>
      </c>
      <c r="B252" s="228" t="n"/>
      <c r="C252" s="239" t="inlineStr">
        <is>
          <t>01.7.19.07-0003</t>
        </is>
      </c>
      <c r="D252" s="238" t="inlineStr">
        <is>
          <t>Резина прессованная</t>
        </is>
      </c>
      <c r="E252" s="239" t="inlineStr">
        <is>
          <t>кг</t>
        </is>
      </c>
      <c r="F252" s="168" t="n">
        <v>0.247</v>
      </c>
      <c r="G252" s="241" t="n">
        <v>28.26</v>
      </c>
      <c r="H252" s="160">
        <f>ROUND(F252*G252,2)</f>
        <v/>
      </c>
      <c r="I252" s="172" t="n"/>
    </row>
    <row r="253">
      <c r="A253" s="154" t="n">
        <v>237</v>
      </c>
      <c r="B253" s="228" t="n"/>
      <c r="C253" s="239" t="inlineStr">
        <is>
          <t>01.7.17.05-0021</t>
        </is>
      </c>
      <c r="D253" s="238" t="inlineStr">
        <is>
          <t>Карборунд</t>
        </is>
      </c>
      <c r="E253" s="239" t="inlineStr">
        <is>
          <t>кг</t>
        </is>
      </c>
      <c r="F253" s="168" t="n">
        <v>0.87703125</v>
      </c>
      <c r="G253" s="241" t="n">
        <v>5.71</v>
      </c>
      <c r="H253" s="160">
        <f>ROUND(F253*G253,2)</f>
        <v/>
      </c>
      <c r="I253" s="172" t="n"/>
    </row>
    <row r="254">
      <c r="A254" s="154" t="n">
        <v>238</v>
      </c>
      <c r="B254" s="228" t="n"/>
      <c r="C254" s="239" t="inlineStr">
        <is>
          <t>25.2.01.01-0001</t>
        </is>
      </c>
      <c r="D254" s="238" t="inlineStr">
        <is>
          <t>Бирки-оконцеватели</t>
        </is>
      </c>
      <c r="E254" s="239" t="inlineStr">
        <is>
          <t>100 шт</t>
        </is>
      </c>
      <c r="F254" s="168" t="n">
        <v>0.07625</v>
      </c>
      <c r="G254" s="241" t="n">
        <v>63</v>
      </c>
      <c r="H254" s="160">
        <f>ROUND(F254*G254,2)</f>
        <v/>
      </c>
      <c r="I254" s="172" t="n"/>
    </row>
    <row r="255">
      <c r="A255" s="154" t="n">
        <v>239</v>
      </c>
      <c r="B255" s="228" t="n"/>
      <c r="C255" s="239" t="inlineStr">
        <is>
          <t>14.1.02.01-0002</t>
        </is>
      </c>
      <c r="D255" s="238" t="inlineStr">
        <is>
          <t>Клей БМК-5к</t>
        </is>
      </c>
      <c r="E255" s="239" t="inlineStr">
        <is>
          <t>кг</t>
        </is>
      </c>
      <c r="F255" s="168" t="n">
        <v>0.175</v>
      </c>
      <c r="G255" s="241" t="n">
        <v>25.8</v>
      </c>
      <c r="H255" s="160">
        <f>ROUND(F255*G255,2)</f>
        <v/>
      </c>
      <c r="I255" s="172" t="n"/>
    </row>
    <row r="256" ht="38.25" customHeight="1">
      <c r="A256" s="154" t="n">
        <v>240</v>
      </c>
      <c r="B256" s="228" t="n"/>
      <c r="C256" s="239" t="inlineStr">
        <is>
          <t>14.5.05.01-0012</t>
        </is>
      </c>
      <c r="D256" s="238" t="inlineStr">
        <is>
          <t>Олифа комбинированная для разведения масляных густотертых красок и для внешних работ по деревянным поверхностям</t>
        </is>
      </c>
      <c r="E256" s="239" t="inlineStr">
        <is>
          <t>т</t>
        </is>
      </c>
      <c r="F256" s="168" t="n">
        <v>0.0002</v>
      </c>
      <c r="G256" s="241" t="n">
        <v>16950</v>
      </c>
      <c r="H256" s="160">
        <f>ROUND(F256*G256,2)</f>
        <v/>
      </c>
      <c r="I256" s="172" t="n"/>
    </row>
    <row r="257">
      <c r="A257" s="154" t="n">
        <v>241</v>
      </c>
      <c r="B257" s="228" t="n"/>
      <c r="C257" s="239" t="inlineStr">
        <is>
          <t>03.1.02.03-0011</t>
        </is>
      </c>
      <c r="D257" s="238" t="inlineStr">
        <is>
          <t>Известь строительная негашеная комовая, сорт I</t>
        </is>
      </c>
      <c r="E257" s="239" t="inlineStr">
        <is>
          <t>т</t>
        </is>
      </c>
      <c r="F257" s="168" t="n">
        <v>0.0042625</v>
      </c>
      <c r="G257" s="241" t="n">
        <v>734.5</v>
      </c>
      <c r="H257" s="160">
        <f>ROUND(F257*G257,2)</f>
        <v/>
      </c>
      <c r="I257" s="172" t="n"/>
    </row>
    <row r="258" ht="25.5" customHeight="1">
      <c r="A258" s="154" t="n">
        <v>242</v>
      </c>
      <c r="B258" s="228" t="n"/>
      <c r="C258" s="239" t="inlineStr">
        <is>
          <t>14.4.02.04-0142</t>
        </is>
      </c>
      <c r="D258" s="238" t="inlineStr">
        <is>
          <t>Краски масляные земляные марки: МА-0115 мумия, сурик железный</t>
        </is>
      </c>
      <c r="E258" s="239" t="inlineStr">
        <is>
          <t>кг</t>
        </is>
      </c>
      <c r="F258" s="168" t="n">
        <v>0.1675</v>
      </c>
      <c r="G258" s="241" t="n">
        <v>15.12</v>
      </c>
      <c r="H258" s="160">
        <f>ROUND(F258*G258,2)</f>
        <v/>
      </c>
      <c r="I258" s="172" t="n"/>
    </row>
    <row r="259">
      <c r="A259" s="154" t="n">
        <v>243</v>
      </c>
      <c r="B259" s="228" t="n"/>
      <c r="C259" s="239" t="inlineStr">
        <is>
          <t>01.3.02.03-0011</t>
        </is>
      </c>
      <c r="D259" s="238" t="inlineStr">
        <is>
          <t>Ацетилен растворенный технический, марка А</t>
        </is>
      </c>
      <c r="E259" s="239" t="inlineStr">
        <is>
          <t>т</t>
        </is>
      </c>
      <c r="F259" s="168" t="n">
        <v>7.25e-05</v>
      </c>
      <c r="G259" s="241" t="n">
        <v>32830</v>
      </c>
      <c r="H259" s="160">
        <f>ROUND(F259*G259,2)</f>
        <v/>
      </c>
      <c r="I259" s="172" t="n"/>
    </row>
    <row r="260">
      <c r="A260" s="154" t="n">
        <v>244</v>
      </c>
      <c r="B260" s="228" t="n"/>
      <c r="C260" s="239" t="inlineStr">
        <is>
          <t>14.5.05.02-0001</t>
        </is>
      </c>
      <c r="D260" s="238" t="inlineStr">
        <is>
          <t>Олифа натуральная</t>
        </is>
      </c>
      <c r="E260" s="239" t="inlineStr">
        <is>
          <t>кг</t>
        </is>
      </c>
      <c r="F260" s="168" t="n">
        <v>0.07000000000000001</v>
      </c>
      <c r="G260" s="241" t="n">
        <v>32.6</v>
      </c>
      <c r="H260" s="160">
        <f>ROUND(F260*G260,2)</f>
        <v/>
      </c>
      <c r="I260" s="172" t="n"/>
    </row>
    <row r="261" customFormat="1" s="153">
      <c r="A261" s="154" t="n">
        <v>245</v>
      </c>
      <c r="B261" s="228" t="n"/>
      <c r="C261" s="239" t="inlineStr">
        <is>
          <t>01.7.11.04-0072</t>
        </is>
      </c>
      <c r="D261" s="238" t="inlineStr">
        <is>
          <t>Проволока сварочная легированная, диаметр 4 мм</t>
        </is>
      </c>
      <c r="E261" s="239" t="inlineStr">
        <is>
          <t>т</t>
        </is>
      </c>
      <c r="F261" s="168" t="n">
        <v>0.00015</v>
      </c>
      <c r="G261" s="241" t="n">
        <v>13560</v>
      </c>
      <c r="H261" s="160">
        <f>ROUND(F261*G261,2)</f>
        <v/>
      </c>
      <c r="I261" s="172" t="n"/>
    </row>
    <row r="262">
      <c r="A262" s="154" t="n">
        <v>246</v>
      </c>
      <c r="B262" s="228" t="n"/>
      <c r="C262" s="239" t="inlineStr">
        <is>
          <t>01.7.20.08-0051</t>
        </is>
      </c>
      <c r="D262" s="238" t="inlineStr">
        <is>
          <t>Ветошь</t>
        </is>
      </c>
      <c r="E262" s="239" t="inlineStr">
        <is>
          <t>кг</t>
        </is>
      </c>
      <c r="F262" s="168" t="n">
        <v>1.01921875</v>
      </c>
      <c r="G262" s="241" t="n">
        <v>1.82</v>
      </c>
      <c r="H262" s="160">
        <f>ROUND(F262*G262,2)</f>
        <v/>
      </c>
      <c r="I262" s="172" t="n"/>
    </row>
    <row r="263">
      <c r="A263" s="154" t="n">
        <v>247</v>
      </c>
      <c r="B263" s="228" t="n"/>
      <c r="C263" s="239" t="inlineStr">
        <is>
          <t>03.1.01.01-0002</t>
        </is>
      </c>
      <c r="D263" s="238" t="inlineStr">
        <is>
          <t>Гипс строительный Г-3</t>
        </is>
      </c>
      <c r="E263" s="239" t="inlineStr">
        <is>
          <t>т</t>
        </is>
      </c>
      <c r="F263" s="168" t="n">
        <v>0.002375</v>
      </c>
      <c r="G263" s="241" t="n">
        <v>729.98</v>
      </c>
      <c r="H263" s="160">
        <f>ROUND(F263*G263,2)</f>
        <v/>
      </c>
      <c r="I263" s="172" t="n"/>
      <c r="K263" s="169" t="n"/>
    </row>
    <row r="264">
      <c r="A264" s="154" t="n">
        <v>248</v>
      </c>
      <c r="B264" s="228" t="n"/>
      <c r="C264" s="239" t="inlineStr">
        <is>
          <t>04.3.02.14-0101</t>
        </is>
      </c>
      <c r="D264" s="238" t="inlineStr">
        <is>
          <t>Смеси сухие известково-карбонатные штукатурные</t>
        </is>
      </c>
      <c r="E264" s="239" t="inlineStr">
        <is>
          <t>т</t>
        </is>
      </c>
      <c r="F264" s="168" t="n">
        <v>0.00075</v>
      </c>
      <c r="G264" s="241" t="n">
        <v>1470</v>
      </c>
      <c r="H264" s="160">
        <f>ROUND(F264*G264,2)</f>
        <v/>
      </c>
      <c r="I264" s="172" t="n"/>
      <c r="K264" s="169" t="n"/>
    </row>
    <row r="265">
      <c r="A265" s="154" t="n">
        <v>249</v>
      </c>
      <c r="B265" s="228" t="n"/>
      <c r="C265" s="239" t="inlineStr">
        <is>
          <t>07.2.07.02-0001</t>
        </is>
      </c>
      <c r="D265" s="238" t="inlineStr">
        <is>
          <t>Кондуктор инвентарный металлический</t>
        </is>
      </c>
      <c r="E265" s="239" t="inlineStr">
        <is>
          <t>шт</t>
        </is>
      </c>
      <c r="F265" s="168" t="n">
        <v>0.0025</v>
      </c>
      <c r="G265" s="241" t="n">
        <v>346</v>
      </c>
      <c r="H265" s="160">
        <f>ROUND(F265*G265,2)</f>
        <v/>
      </c>
      <c r="I265" s="172" t="n"/>
      <c r="K265" s="169" t="n"/>
    </row>
    <row r="266">
      <c r="A266" s="154" t="n">
        <v>250</v>
      </c>
      <c r="B266" s="228" t="n"/>
      <c r="C266" s="239" t="inlineStr">
        <is>
          <t>01.7.07.29-0101</t>
        </is>
      </c>
      <c r="D266" s="238" t="inlineStr">
        <is>
          <t>Очес льняной</t>
        </is>
      </c>
      <c r="E266" s="239" t="inlineStr">
        <is>
          <t>кг</t>
        </is>
      </c>
      <c r="F266" s="168" t="n">
        <v>0.01875</v>
      </c>
      <c r="G266" s="241" t="n">
        <v>37.29</v>
      </c>
      <c r="H266" s="160">
        <f>ROUND(F266*G266,2)</f>
        <v/>
      </c>
    </row>
    <row r="267">
      <c r="A267" s="154" t="n">
        <v>251</v>
      </c>
      <c r="B267" s="228" t="n"/>
      <c r="C267" s="239" t="inlineStr">
        <is>
          <t>01.3.01.02-0002</t>
        </is>
      </c>
      <c r="D267" s="238" t="inlineStr">
        <is>
          <t>Вазелин технический</t>
        </is>
      </c>
      <c r="E267" s="239" t="inlineStr">
        <is>
          <t>кг</t>
        </is>
      </c>
      <c r="F267" s="168" t="n">
        <v>0.015</v>
      </c>
      <c r="G267" s="241" t="n">
        <v>44.97</v>
      </c>
      <c r="H267" s="160">
        <f>ROUND(F267*G267,2)</f>
        <v/>
      </c>
    </row>
    <row r="268">
      <c r="A268" s="154" t="n">
        <v>252</v>
      </c>
      <c r="B268" s="228" t="n"/>
      <c r="C268" s="239" t="inlineStr">
        <is>
          <t>01.7.15.04-0011</t>
        </is>
      </c>
      <c r="D268" s="238" t="inlineStr">
        <is>
          <t>Винты с полукруглой головкой, длина 50 мм</t>
        </is>
      </c>
      <c r="E268" s="239" t="inlineStr">
        <is>
          <t>т</t>
        </is>
      </c>
      <c r="F268" s="168" t="n">
        <v>3.875e-05</v>
      </c>
      <c r="G268" s="241" t="n">
        <v>12430</v>
      </c>
      <c r="H268" s="160">
        <f>ROUND(F268*G268,2)</f>
        <v/>
      </c>
    </row>
    <row r="269">
      <c r="A269" s="154" t="n">
        <v>253</v>
      </c>
      <c r="B269" s="228" t="n"/>
      <c r="C269" s="239" t="inlineStr">
        <is>
          <t>01.7.15.14-0161</t>
        </is>
      </c>
      <c r="D269" s="238" t="inlineStr">
        <is>
          <t>Шурупы с полукруглой головкой 2,5х20 мм</t>
        </is>
      </c>
      <c r="E269" s="239" t="inlineStr">
        <is>
          <t>т</t>
        </is>
      </c>
      <c r="F269" s="168" t="n">
        <v>1.625e-05</v>
      </c>
      <c r="G269" s="241" t="n">
        <v>29800</v>
      </c>
      <c r="H269" s="160">
        <f>ROUND(F269*G269,2)</f>
        <v/>
      </c>
      <c r="I269" s="172" t="n"/>
      <c r="K269" s="169" t="n"/>
    </row>
    <row r="270">
      <c r="A270" s="154" t="n">
        <v>254</v>
      </c>
      <c r="B270" s="228" t="n"/>
      <c r="C270" s="239" t="inlineStr">
        <is>
          <t>01.7.20.04-0005</t>
        </is>
      </c>
      <c r="D270" s="238" t="inlineStr">
        <is>
          <t>Нитки швейные</t>
        </is>
      </c>
      <c r="E270" s="239" t="inlineStr">
        <is>
          <t>кг</t>
        </is>
      </c>
      <c r="F270" s="168" t="n">
        <v>0.0025</v>
      </c>
      <c r="G270" s="241" t="n">
        <v>133.05</v>
      </c>
      <c r="H270" s="160">
        <f>ROUND(F270*G270,2)</f>
        <v/>
      </c>
    </row>
    <row r="271">
      <c r="A271" s="154" t="n">
        <v>255</v>
      </c>
      <c r="B271" s="228" t="n"/>
      <c r="C271" s="239" t="inlineStr">
        <is>
          <t>14.4.03.17-0011</t>
        </is>
      </c>
      <c r="D271" s="238" t="inlineStr">
        <is>
          <t>Лак электроизоляционный 318</t>
        </is>
      </c>
      <c r="E271" s="239" t="inlineStr">
        <is>
          <t>кг</t>
        </is>
      </c>
      <c r="F271" s="168" t="n">
        <v>0.008750000000000001</v>
      </c>
      <c r="G271" s="241" t="n">
        <v>35.63</v>
      </c>
      <c r="H271" s="160">
        <f>ROUND(F271*G271,2)</f>
        <v/>
      </c>
    </row>
    <row r="272" ht="25.5" customHeight="1">
      <c r="A272" s="154" t="n">
        <v>256</v>
      </c>
      <c r="B272" s="228" t="n"/>
      <c r="C272" s="239" t="inlineStr">
        <is>
          <t>01.7.15.06-0121</t>
        </is>
      </c>
      <c r="D272" s="238" t="inlineStr">
        <is>
          <t>Гвозди строительные с плоской головкой, размер 1,6х50 мм</t>
        </is>
      </c>
      <c r="E272" s="239" t="inlineStr">
        <is>
          <t>т</t>
        </is>
      </c>
      <c r="F272" s="168" t="n">
        <v>2.375e-05</v>
      </c>
      <c r="G272" s="241" t="n">
        <v>8475</v>
      </c>
      <c r="H272" s="160">
        <f>ROUND(F272*G272,2)</f>
        <v/>
      </c>
    </row>
    <row r="275">
      <c r="B275" s="117" t="inlineStr">
        <is>
          <t>Составил ______________________     Д.Ю. Нефедова</t>
        </is>
      </c>
    </row>
    <row r="276">
      <c r="B276" s="217" t="inlineStr">
        <is>
          <t xml:space="preserve">                         (подпись, инициалы, фамилия)</t>
        </is>
      </c>
    </row>
    <row r="278">
      <c r="B278" s="117" t="inlineStr">
        <is>
          <t>Проверил ______________________        А.В. Костянецкая</t>
        </is>
      </c>
    </row>
    <row r="279">
      <c r="B279" s="217" t="inlineStr">
        <is>
          <t xml:space="preserve">                        (подпись, инициалы, фамилия)</t>
        </is>
      </c>
    </row>
  </sheetData>
  <mergeCells count="16">
    <mergeCell ref="A30:E30"/>
    <mergeCell ref="A4:H4"/>
    <mergeCell ref="B9:B10"/>
    <mergeCell ref="A3:H3"/>
    <mergeCell ref="A12:E12"/>
    <mergeCell ref="C9:C10"/>
    <mergeCell ref="D9:D10"/>
    <mergeCell ref="E9:E10"/>
    <mergeCell ref="A7:H7"/>
    <mergeCell ref="A9:A10"/>
    <mergeCell ref="F9:F10"/>
    <mergeCell ref="A69:E69"/>
    <mergeCell ref="C5:H5"/>
    <mergeCell ref="A32:E32"/>
    <mergeCell ref="G9:H9"/>
    <mergeCell ref="A70:E70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  <rowBreaks count="1" manualBreakCount="1">
    <brk id="265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49"/>
  <sheetViews>
    <sheetView view="pageBreakPreview" topLeftCell="A28" workbookViewId="0">
      <selection activeCell="D42" sqref="D42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9.140625" customWidth="1" min="6" max="6"/>
    <col width="13.4257812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1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206" t="inlineStr">
        <is>
          <t>Ресурсная модель</t>
        </is>
      </c>
    </row>
    <row r="5">
      <c r="B5" s="139" t="n"/>
      <c r="C5" s="4" t="n"/>
      <c r="D5" s="4" t="n"/>
      <c r="E5" s="4" t="n"/>
    </row>
    <row r="6" ht="25.5" customHeight="1">
      <c r="B6" s="221" t="inlineStr">
        <is>
          <t>Наименование разрабатываемого показателя УНЦ — Здания ЗПС 35 кВ</t>
        </is>
      </c>
    </row>
    <row r="7">
      <c r="B7" s="232" t="inlineStr">
        <is>
          <t>Единица измерения  — 1 ед. (здание)</t>
        </is>
      </c>
    </row>
    <row r="8">
      <c r="B8" s="139" t="n"/>
      <c r="C8" s="4" t="n"/>
      <c r="D8" s="4" t="n"/>
      <c r="E8" s="4" t="n"/>
    </row>
    <row r="9" ht="51" customHeight="1">
      <c r="B9" s="239" t="inlineStr">
        <is>
          <t>Наименование</t>
        </is>
      </c>
      <c r="C9" s="239" t="inlineStr">
        <is>
          <t>Сметная стоимость в ценах на 01.01.2023
 (руб.)</t>
        </is>
      </c>
      <c r="D9" s="239" t="inlineStr">
        <is>
          <t>Удельный вес, 
(в СМР)</t>
        </is>
      </c>
      <c r="E9" s="239" t="inlineStr">
        <is>
          <t>Удельный вес, % 
(от всего по РМ)</t>
        </is>
      </c>
    </row>
    <row r="10">
      <c r="B10" s="25" t="inlineStr">
        <is>
          <t>Оплата труда рабочих</t>
        </is>
      </c>
      <c r="C10" s="146">
        <f>'Прил.5 Расчет СМР и ОБ'!J14</f>
        <v/>
      </c>
      <c r="D10" s="27">
        <f>C10/$C$23</f>
        <v/>
      </c>
      <c r="E10" s="27">
        <f>C10/$C$39</f>
        <v/>
      </c>
    </row>
    <row r="11">
      <c r="B11" s="25" t="inlineStr">
        <is>
          <t>Эксплуатация машин основных</t>
        </is>
      </c>
      <c r="C11" s="146">
        <f>'Прил.5 Расчет СМР и ОБ'!J27</f>
        <v/>
      </c>
      <c r="D11" s="27">
        <f>C11/$C$23</f>
        <v/>
      </c>
      <c r="E11" s="27">
        <f>C11/$C$39</f>
        <v/>
      </c>
    </row>
    <row r="12">
      <c r="B12" s="25" t="inlineStr">
        <is>
          <t>Эксплуатация машин прочих</t>
        </is>
      </c>
      <c r="C12" s="146">
        <f>'Прил.5 Расчет СМР и ОБ'!J56</f>
        <v/>
      </c>
      <c r="D12" s="27">
        <f>C12/$C$23</f>
        <v/>
      </c>
      <c r="E12" s="27">
        <f>C12/$C$39</f>
        <v/>
      </c>
    </row>
    <row r="13">
      <c r="B13" s="25" t="inlineStr">
        <is>
          <t>ЭКСПЛУАТАЦИЯ МАШИН, ВСЕГО:</t>
        </is>
      </c>
      <c r="C13" s="146">
        <f>C12+C11</f>
        <v/>
      </c>
      <c r="D13" s="27">
        <f>C13/$C$23</f>
        <v/>
      </c>
      <c r="E13" s="27">
        <f>C13/$C$39</f>
        <v/>
      </c>
    </row>
    <row r="14">
      <c r="B14" s="25" t="inlineStr">
        <is>
          <t>в том числе зарплата машинистов</t>
        </is>
      </c>
      <c r="C14" s="146">
        <f>'Прил.5 Расчет СМР и ОБ'!J16</f>
        <v/>
      </c>
      <c r="D14" s="27">
        <f>C14/$C$23</f>
        <v/>
      </c>
      <c r="E14" s="27">
        <f>C14/$C$39</f>
        <v/>
      </c>
    </row>
    <row r="15">
      <c r="B15" s="25" t="inlineStr">
        <is>
          <t>Материалы основные</t>
        </is>
      </c>
      <c r="C15" s="146">
        <f>'Прил.5 Расчет СМР и ОБ'!J82</f>
        <v/>
      </c>
      <c r="D15" s="27">
        <f>C15/$C$23</f>
        <v/>
      </c>
      <c r="E15" s="27">
        <f>C15/$C$39</f>
        <v/>
      </c>
    </row>
    <row r="16">
      <c r="B16" s="25" t="inlineStr">
        <is>
          <t>Материалы прочие</t>
        </is>
      </c>
      <c r="C16" s="146">
        <f>'Прил.5 Расчет СМР и ОБ'!J269</f>
        <v/>
      </c>
      <c r="D16" s="27">
        <f>C16/$C$23</f>
        <v/>
      </c>
      <c r="E16" s="27">
        <f>C16/$C$39</f>
        <v/>
      </c>
      <c r="G16" s="138" t="n"/>
    </row>
    <row r="17">
      <c r="B17" s="25" t="inlineStr">
        <is>
          <t>МАТЕРИАЛЫ, ВСЕГО:</t>
        </is>
      </c>
      <c r="C17" s="146">
        <f>C16+C15</f>
        <v/>
      </c>
      <c r="D17" s="27">
        <f>C17/$C$23</f>
        <v/>
      </c>
      <c r="E17" s="27">
        <f>C17/$C$39</f>
        <v/>
      </c>
    </row>
    <row r="18">
      <c r="B18" s="25" t="inlineStr">
        <is>
          <t>ИТОГО</t>
        </is>
      </c>
      <c r="C18" s="146">
        <f>C17+C13+C10</f>
        <v/>
      </c>
      <c r="D18" s="27" t="n"/>
      <c r="E18" s="25" t="n"/>
    </row>
    <row r="19">
      <c r="B19" s="25" t="inlineStr">
        <is>
          <t>Сметная прибыль, руб.</t>
        </is>
      </c>
      <c r="C19" s="146">
        <f>ROUND(C20*(C10+C14),2)</f>
        <v/>
      </c>
      <c r="D19" s="27">
        <f>C19/$C$23</f>
        <v/>
      </c>
      <c r="E19" s="27">
        <f>C19/$C$39</f>
        <v/>
      </c>
    </row>
    <row r="20">
      <c r="B20" s="25" t="inlineStr">
        <is>
          <t>Сметная прибыль, %</t>
        </is>
      </c>
      <c r="C20" s="29">
        <f>'Прил.5 Расчет СМР и ОБ'!D273</f>
        <v/>
      </c>
      <c r="D20" s="27" t="n"/>
      <c r="E20" s="25" t="n"/>
    </row>
    <row r="21">
      <c r="B21" s="25" t="inlineStr">
        <is>
          <t>Накладные расходы, руб.</t>
        </is>
      </c>
      <c r="C21" s="146">
        <f>ROUND(C22*(C10+C14),2)</f>
        <v/>
      </c>
      <c r="D21" s="27">
        <f>C21/$C$23</f>
        <v/>
      </c>
      <c r="E21" s="27">
        <f>C21/$C$39</f>
        <v/>
      </c>
    </row>
    <row r="22">
      <c r="B22" s="25" t="inlineStr">
        <is>
          <t>Накладные расходы, %</t>
        </is>
      </c>
      <c r="C22" s="29">
        <f>'Прил.5 Расчет СМР и ОБ'!D272</f>
        <v/>
      </c>
      <c r="D22" s="27" t="n"/>
      <c r="E22" s="25" t="n"/>
    </row>
    <row r="23">
      <c r="B23" s="25" t="inlineStr">
        <is>
          <t>ВСЕГО СМР с НР и СП</t>
        </is>
      </c>
      <c r="C23" s="146">
        <f>C18+C19+C21</f>
        <v/>
      </c>
      <c r="D23" s="27">
        <f>C23/$C$23</f>
        <v/>
      </c>
      <c r="E23" s="27">
        <f>C23/$C$39</f>
        <v/>
      </c>
    </row>
    <row r="24" ht="25.5" customHeight="1">
      <c r="B24" s="25" t="inlineStr">
        <is>
          <t>ВСЕГО стоимость оборудования, в том числе</t>
        </is>
      </c>
      <c r="C24" s="146">
        <f>'Прил.5 Расчет СМР и ОБ'!J62</f>
        <v/>
      </c>
      <c r="D24" s="27" t="n"/>
      <c r="E24" s="27">
        <f>C24/$C$39</f>
        <v/>
      </c>
    </row>
    <row r="25" ht="25.5" customHeight="1">
      <c r="B25" s="25" t="inlineStr">
        <is>
          <t>стоимость оборудования технологического</t>
        </is>
      </c>
      <c r="C25" s="146">
        <f>'Прил.5 Расчет СМР и ОБ'!J63</f>
        <v/>
      </c>
      <c r="D25" s="27" t="n"/>
      <c r="E25" s="27">
        <f>C25/$C$39</f>
        <v/>
      </c>
    </row>
    <row r="26">
      <c r="B26" s="25" t="inlineStr">
        <is>
          <t>ИТОГО (СМР + ОБОРУДОВАНИЕ)</t>
        </is>
      </c>
      <c r="C26" s="26">
        <f>C23+C24</f>
        <v/>
      </c>
      <c r="D26" s="27" t="n"/>
      <c r="E26" s="27">
        <f>C26/$C$39</f>
        <v/>
      </c>
      <c r="G26" s="137" t="n"/>
    </row>
    <row r="27" ht="33" customHeight="1">
      <c r="B27" s="25" t="inlineStr">
        <is>
          <t>ПРОЧ. ЗАТР., УЧТЕННЫЕ ПОКАЗАТЕЛЕМ,  в том числе</t>
        </is>
      </c>
      <c r="C27" s="25" t="n"/>
      <c r="D27" s="25" t="n"/>
      <c r="E27" s="25" t="n"/>
    </row>
    <row r="28" ht="25.5" customHeight="1">
      <c r="B28" s="25" t="inlineStr">
        <is>
          <t>Временные здания и сооружения - 3,9%</t>
        </is>
      </c>
      <c r="C28" s="26">
        <f>ROUND(C23*3.9%,2)</f>
        <v/>
      </c>
      <c r="D28" s="25" t="n"/>
      <c r="E28" s="27">
        <f>C28/$C$39</f>
        <v/>
      </c>
    </row>
    <row r="29" ht="38.25" customHeight="1">
      <c r="B29" s="25" t="inlineStr">
        <is>
          <t>Дополнительные затраты при производстве строительно-монтажных работ в зимнее время - 2,1%</t>
        </is>
      </c>
      <c r="C29" s="26">
        <f>ROUND((C23+C28)*2.1%,2)</f>
        <v/>
      </c>
      <c r="D29" s="25" t="n"/>
      <c r="E29" s="27">
        <f>C29/$C$39</f>
        <v/>
      </c>
    </row>
    <row r="30">
      <c r="B30" s="141" t="inlineStr">
        <is>
          <t>Пусконаладочные работы</t>
        </is>
      </c>
      <c r="C30" s="142" t="n">
        <v>518684.24</v>
      </c>
      <c r="D30" s="25" t="n"/>
      <c r="E30" s="27">
        <f>C30/$C$39</f>
        <v/>
      </c>
    </row>
    <row r="31" ht="25.5" customHeight="1">
      <c r="B31" s="25" t="inlineStr">
        <is>
          <t>Затраты по перевозке работников к месту работы и обратно</t>
        </is>
      </c>
      <c r="C31" s="26" t="n">
        <v>0</v>
      </c>
      <c r="D31" s="25" t="n"/>
      <c r="E31" s="27">
        <f>C31/$C$39</f>
        <v/>
      </c>
    </row>
    <row r="32" ht="25.5" customHeight="1">
      <c r="B32" s="25" t="inlineStr">
        <is>
          <t>Затраты, связанные с осуществлением работ вахтовым методом</t>
        </is>
      </c>
      <c r="C32" s="26">
        <f>ROUND(C26*0%,2)</f>
        <v/>
      </c>
      <c r="D32" s="25" t="n"/>
      <c r="E32" s="27">
        <f>C32/$C$39</f>
        <v/>
      </c>
    </row>
    <row r="33" ht="51" customHeight="1">
      <c r="B33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3" s="26" t="n">
        <v>0</v>
      </c>
      <c r="D33" s="25" t="n"/>
      <c r="E33" s="27">
        <f>C33/$C$39</f>
        <v/>
      </c>
    </row>
    <row r="34" ht="76.5" customHeight="1">
      <c r="B34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4" s="26">
        <f>ROUND(C26*0%,2)</f>
        <v/>
      </c>
      <c r="D34" s="25" t="n"/>
      <c r="E34" s="27">
        <f>C34/$C$39</f>
        <v/>
      </c>
    </row>
    <row r="35" ht="25.5" customHeight="1">
      <c r="B35" s="25" t="inlineStr">
        <is>
          <t>Строительный контроль и содержание службы заказчика - 2,14%</t>
        </is>
      </c>
      <c r="C35" s="26">
        <f>ROUND((C26+C31+C32+C33+C34+C28+C30+C29)*2.14%,2)</f>
        <v/>
      </c>
      <c r="D35" s="25" t="n"/>
      <c r="E35" s="27">
        <f>C35/$C$39</f>
        <v/>
      </c>
      <c r="L35" s="137" t="n"/>
    </row>
    <row r="36">
      <c r="B36" s="25" t="inlineStr">
        <is>
          <t>Авторский надзор - 0,2%</t>
        </is>
      </c>
      <c r="C36" s="26">
        <f>ROUND((C26+C31+C32+C33+C34+C28+C30+C29)*0.2%,2)</f>
        <v/>
      </c>
      <c r="D36" s="25" t="n"/>
      <c r="E36" s="27">
        <f>C36/$C$39</f>
        <v/>
      </c>
      <c r="L36" s="137" t="n"/>
    </row>
    <row r="37" ht="38.25" customHeight="1">
      <c r="B37" s="25" t="inlineStr">
        <is>
          <t>ИТОГО (СМР+ОБОРУДОВАНИЕ+ПРОЧ. ЗАТР., УЧТЕННЫЕ ПОКАЗАТЕЛЕМ)</t>
        </is>
      </c>
      <c r="C37" s="146">
        <f>C26+C31+C32+C33+C34+C28+C30+C29+C35+C36</f>
        <v/>
      </c>
      <c r="D37" s="25" t="n"/>
      <c r="E37" s="27">
        <f>C37/$C$39</f>
        <v/>
      </c>
    </row>
    <row r="38" ht="13.5" customHeight="1">
      <c r="B38" s="25" t="inlineStr">
        <is>
          <t>Непредвиденные расходы</t>
        </is>
      </c>
      <c r="C38" s="146">
        <f>ROUND(C37*3%,2)</f>
        <v/>
      </c>
      <c r="D38" s="25" t="n"/>
      <c r="E38" s="27">
        <f>C38/$C$37</f>
        <v/>
      </c>
    </row>
    <row r="39">
      <c r="B39" s="25" t="inlineStr">
        <is>
          <t>ВСЕГО:</t>
        </is>
      </c>
      <c r="C39" s="146">
        <f>C38+C37</f>
        <v/>
      </c>
      <c r="D39" s="25" t="n"/>
      <c r="E39" s="27">
        <f>C39/$C$39</f>
        <v/>
      </c>
    </row>
    <row r="40">
      <c r="B40" s="25" t="inlineStr">
        <is>
          <t>ИТОГО ПОКАЗАТЕЛЬ НА ЕД. ИЗМ.</t>
        </is>
      </c>
      <c r="C40" s="146">
        <f>C39/'Прил.5 Расчет СМР и ОБ'!E276</f>
        <v/>
      </c>
      <c r="D40" s="25" t="n"/>
      <c r="E40" s="25" t="n"/>
    </row>
    <row r="41">
      <c r="B41" s="135" t="n"/>
      <c r="C41" s="4" t="n"/>
      <c r="D41" s="4" t="n"/>
      <c r="E41" s="4" t="n"/>
    </row>
    <row r="42">
      <c r="B42" s="135" t="inlineStr">
        <is>
          <t>Составил ____________________________  Д.Ю. Нефедова</t>
        </is>
      </c>
      <c r="C42" s="4" t="n"/>
      <c r="D42" s="4" t="n"/>
      <c r="E42" s="4" t="n"/>
    </row>
    <row r="43">
      <c r="B43" s="135" t="inlineStr">
        <is>
          <t xml:space="preserve">(должность, подпись, инициалы, фамилия) </t>
        </is>
      </c>
      <c r="C43" s="4" t="n"/>
      <c r="D43" s="4" t="n"/>
      <c r="E43" s="4" t="n"/>
    </row>
    <row r="44">
      <c r="B44" s="135" t="n"/>
      <c r="C44" s="4" t="n"/>
      <c r="D44" s="4" t="n"/>
      <c r="E44" s="4" t="n"/>
    </row>
    <row r="45">
      <c r="B45" s="135" t="inlineStr">
        <is>
          <t>Проверил ____________________________ А.В. Костянецкая</t>
        </is>
      </c>
      <c r="C45" s="4" t="n"/>
      <c r="D45" s="4" t="n"/>
      <c r="E45" s="4" t="n"/>
    </row>
    <row r="46">
      <c r="B46" s="232" t="inlineStr">
        <is>
          <t>(должность, подпись, инициалы, фамилия)</t>
        </is>
      </c>
      <c r="D46" s="4" t="n"/>
      <c r="E46" s="4" t="n"/>
    </row>
    <row r="48">
      <c r="B48" s="4" t="n"/>
      <c r="C48" s="4" t="n"/>
      <c r="D48" s="4" t="n"/>
      <c r="E48" s="4" t="n"/>
    </row>
    <row r="49">
      <c r="B49" s="4" t="n"/>
      <c r="C49" s="4" t="n"/>
      <c r="D49" s="4" t="n"/>
      <c r="E49" s="4" t="n"/>
    </row>
  </sheetData>
  <mergeCells count="4">
    <mergeCell ref="B46:C46"/>
    <mergeCell ref="B7:E7"/>
    <mergeCell ref="B6:E6"/>
    <mergeCell ref="B4:E4"/>
  </mergeCells>
  <pageMargins left="0.7" right="0.7" top="0.75" bottom="0.75" header="0.3" footer="0.3"/>
  <pageSetup orientation="portrait" paperSize="9" scale="78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82"/>
  <sheetViews>
    <sheetView tabSelected="1" view="pageBreakPreview" zoomScale="70" zoomScaleSheetLayoutView="70" workbookViewId="0">
      <selection activeCell="F281" sqref="F281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3.5703125" customWidth="1" style="12" min="4" max="4"/>
    <col width="12.7109375" customWidth="1" style="12" min="5" max="5"/>
    <col width="14.5703125" customWidth="1" style="12" min="6" max="6"/>
    <col width="15.710937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13.85546875" customWidth="1" style="12" min="12" max="12"/>
  </cols>
  <sheetData>
    <row r="1">
      <c r="M1" s="12" t="n"/>
      <c r="N1" s="12" t="n"/>
    </row>
    <row r="2" ht="15.75" customHeight="1">
      <c r="H2" s="247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06" t="inlineStr">
        <is>
          <t>Расчет стоимости СМР и оборудования</t>
        </is>
      </c>
    </row>
    <row r="5" ht="12.75" customFormat="1" customHeight="1" s="4">
      <c r="A5" s="206" t="n"/>
      <c r="B5" s="206" t="n"/>
      <c r="C5" s="258" t="n"/>
      <c r="D5" s="206" t="n"/>
      <c r="E5" s="206" t="n"/>
      <c r="F5" s="206" t="n"/>
      <c r="G5" s="206" t="n"/>
      <c r="H5" s="206" t="n"/>
      <c r="I5" s="206" t="n"/>
      <c r="J5" s="206" t="n"/>
    </row>
    <row r="6" ht="12.75" customFormat="1" customHeight="1" s="4">
      <c r="A6" s="175" t="inlineStr">
        <is>
          <t>Наименование разрабатываемого показателя УНЦ</t>
        </is>
      </c>
      <c r="B6" s="176" t="n"/>
      <c r="C6" s="176" t="n"/>
      <c r="D6" s="209" t="inlineStr">
        <is>
          <t>Здание ЗПС 35 кВ</t>
        </is>
      </c>
    </row>
    <row r="7" ht="12.75" customFormat="1" customHeight="1" s="4">
      <c r="A7" s="209" t="inlineStr">
        <is>
          <t>Единица измерения  — 1 ед. (здание)</t>
        </is>
      </c>
      <c r="I7" s="221" t="n"/>
      <c r="J7" s="221" t="n"/>
    </row>
    <row r="8" ht="13.5" customFormat="1" customHeight="1" s="4">
      <c r="A8" s="209" t="n"/>
    </row>
    <row r="9" ht="27" customHeight="1">
      <c r="A9" s="239" t="inlineStr">
        <is>
          <t>№ пп.</t>
        </is>
      </c>
      <c r="B9" s="239" t="inlineStr">
        <is>
          <t>Код ресурса</t>
        </is>
      </c>
      <c r="C9" s="239" t="inlineStr">
        <is>
          <t>Наименование</t>
        </is>
      </c>
      <c r="D9" s="239" t="inlineStr">
        <is>
          <t>Ед. изм.</t>
        </is>
      </c>
      <c r="E9" s="239" t="inlineStr">
        <is>
          <t>Кол-во единиц по проектным данным</t>
        </is>
      </c>
      <c r="F9" s="239" t="inlineStr">
        <is>
          <t>Сметная стоимость в ценах на 01.01.2000 (руб.)</t>
        </is>
      </c>
      <c r="G9" s="302" t="n"/>
      <c r="H9" s="239" t="inlineStr">
        <is>
          <t>Удельный вес, %</t>
        </is>
      </c>
      <c r="I9" s="239" t="inlineStr">
        <is>
          <t>Сметная стоимость в ценах на 01.01.2023 (руб.)</t>
        </is>
      </c>
      <c r="J9" s="302" t="n"/>
      <c r="M9" s="12" t="n"/>
      <c r="N9" s="12" t="n"/>
    </row>
    <row r="10" ht="28.5" customHeight="1">
      <c r="A10" s="304" t="n"/>
      <c r="B10" s="304" t="n"/>
      <c r="C10" s="304" t="n"/>
      <c r="D10" s="304" t="n"/>
      <c r="E10" s="304" t="n"/>
      <c r="F10" s="239" t="inlineStr">
        <is>
          <t>на ед. изм.</t>
        </is>
      </c>
      <c r="G10" s="239" t="inlineStr">
        <is>
          <t>общая</t>
        </is>
      </c>
      <c r="H10" s="304" t="n"/>
      <c r="I10" s="239" t="inlineStr">
        <is>
          <t>на ед. изм.</t>
        </is>
      </c>
      <c r="J10" s="239" t="inlineStr">
        <is>
          <t>общая</t>
        </is>
      </c>
      <c r="M10" s="12" t="n"/>
      <c r="N10" s="12" t="n"/>
    </row>
    <row r="11">
      <c r="A11" s="239" t="n">
        <v>1</v>
      </c>
      <c r="B11" s="239" t="n">
        <v>2</v>
      </c>
      <c r="C11" s="239" t="n">
        <v>3</v>
      </c>
      <c r="D11" s="239" t="n">
        <v>4</v>
      </c>
      <c r="E11" s="239" t="n">
        <v>5</v>
      </c>
      <c r="F11" s="239" t="n">
        <v>6</v>
      </c>
      <c r="G11" s="239" t="n">
        <v>7</v>
      </c>
      <c r="H11" s="239" t="n">
        <v>8</v>
      </c>
      <c r="I11" s="234" t="n">
        <v>9</v>
      </c>
      <c r="J11" s="234" t="n">
        <v>10</v>
      </c>
      <c r="M11" s="12" t="n"/>
      <c r="N11" s="12" t="n"/>
    </row>
    <row r="12">
      <c r="A12" s="239" t="n"/>
      <c r="B12" s="226" t="inlineStr">
        <is>
          <t>Затраты труда рабочих-строителей</t>
        </is>
      </c>
      <c r="C12" s="301" t="n"/>
      <c r="D12" s="301" t="n"/>
      <c r="E12" s="301" t="n"/>
      <c r="F12" s="301" t="n"/>
      <c r="G12" s="301" t="n"/>
      <c r="H12" s="302" t="n"/>
      <c r="I12" s="178" t="n"/>
      <c r="J12" s="178" t="n"/>
    </row>
    <row r="13" ht="25.5" customHeight="1">
      <c r="A13" s="239" t="n">
        <v>1</v>
      </c>
      <c r="B13" s="167" t="inlineStr">
        <is>
          <t>1-3-6</t>
        </is>
      </c>
      <c r="C13" s="238" t="inlineStr">
        <is>
          <t>Затраты труда рабочих-строителей среднего разряда (3,6)</t>
        </is>
      </c>
      <c r="D13" s="239" t="inlineStr">
        <is>
          <t>чел.-ч.</t>
        </is>
      </c>
      <c r="E13" s="168">
        <f>G13/F13</f>
        <v/>
      </c>
      <c r="F13" s="32" t="n">
        <v>9.18</v>
      </c>
      <c r="G13" s="32" t="n">
        <v>28124.71</v>
      </c>
      <c r="H13" s="174">
        <f>G13/G14</f>
        <v/>
      </c>
      <c r="I13" s="32">
        <f>ФОТр.тек.!E13</f>
        <v/>
      </c>
      <c r="J13" s="32">
        <f>ROUND(I13*E13,2)</f>
        <v/>
      </c>
    </row>
    <row r="14" ht="25.5" customFormat="1" customHeight="1" s="12">
      <c r="A14" s="239" t="n"/>
      <c r="B14" s="239" t="n"/>
      <c r="C14" s="226" t="inlineStr">
        <is>
          <t>Итого по разделу "Затраты труда рабочих-строителей"</t>
        </is>
      </c>
      <c r="D14" s="239" t="inlineStr">
        <is>
          <t>чел.-ч.</t>
        </is>
      </c>
      <c r="E14" s="168">
        <f>SUM(E13:E13)</f>
        <v/>
      </c>
      <c r="F14" s="32" t="n"/>
      <c r="G14" s="32">
        <f>SUM(G13:G13)</f>
        <v/>
      </c>
      <c r="H14" s="242" t="n">
        <v>1</v>
      </c>
      <c r="I14" s="178" t="n"/>
      <c r="J14" s="32">
        <f>SUM(J13:J13)</f>
        <v/>
      </c>
    </row>
    <row r="15" ht="14.25" customFormat="1" customHeight="1" s="12">
      <c r="A15" s="239" t="n"/>
      <c r="B15" s="238" t="inlineStr">
        <is>
          <t>Затраты труда машинистов</t>
        </is>
      </c>
      <c r="C15" s="301" t="n"/>
      <c r="D15" s="301" t="n"/>
      <c r="E15" s="301" t="n"/>
      <c r="F15" s="301" t="n"/>
      <c r="G15" s="301" t="n"/>
      <c r="H15" s="302" t="n"/>
      <c r="I15" s="178" t="n"/>
      <c r="J15" s="178" t="n"/>
    </row>
    <row r="16" ht="14.25" customFormat="1" customHeight="1" s="12">
      <c r="A16" s="239" t="n">
        <v>2</v>
      </c>
      <c r="B16" s="239" t="n">
        <v>2</v>
      </c>
      <c r="C16" s="238" t="inlineStr">
        <is>
          <t>Затраты труда машинистов</t>
        </is>
      </c>
      <c r="D16" s="239" t="inlineStr">
        <is>
          <t>чел.-ч.</t>
        </is>
      </c>
      <c r="E16" s="168">
        <f>Прил.3!F31</f>
        <v/>
      </c>
      <c r="F16" s="32">
        <f>G16/E16</f>
        <v/>
      </c>
      <c r="G16" s="32">
        <f>Прил.3!H31</f>
        <v/>
      </c>
      <c r="H16" s="242" t="n">
        <v>1</v>
      </c>
      <c r="I16" s="32">
        <f>ROUND(F16*Прил.10!D11,2)</f>
        <v/>
      </c>
      <c r="J16" s="32">
        <f>ROUND(I16*E16,2)</f>
        <v/>
      </c>
    </row>
    <row r="17" ht="14.25" customFormat="1" customHeight="1" s="12">
      <c r="A17" s="239" t="n"/>
      <c r="B17" s="226" t="inlineStr">
        <is>
          <t>Машины и механизмы</t>
        </is>
      </c>
      <c r="C17" s="301" t="n"/>
      <c r="D17" s="301" t="n"/>
      <c r="E17" s="301" t="n"/>
      <c r="F17" s="301" t="n"/>
      <c r="G17" s="301" t="n"/>
      <c r="H17" s="302" t="n"/>
      <c r="I17" s="178" t="n"/>
      <c r="J17" s="178" t="n"/>
    </row>
    <row r="18" ht="14.25" customFormat="1" customHeight="1" s="12">
      <c r="A18" s="239" t="n"/>
      <c r="B18" s="238" t="inlineStr">
        <is>
          <t>Основные машины и механизмы</t>
        </is>
      </c>
      <c r="C18" s="301" t="n"/>
      <c r="D18" s="301" t="n"/>
      <c r="E18" s="301" t="n"/>
      <c r="F18" s="301" t="n"/>
      <c r="G18" s="301" t="n"/>
      <c r="H18" s="302" t="n"/>
      <c r="I18" s="178" t="n"/>
      <c r="J18" s="178" t="n"/>
    </row>
    <row r="19" ht="25.5" customFormat="1" customHeight="1" s="12">
      <c r="A19" s="239" t="n">
        <v>3</v>
      </c>
      <c r="B19" s="167" t="inlineStr">
        <is>
          <t>91.05.06-009</t>
        </is>
      </c>
      <c r="C19" s="238" t="inlineStr">
        <is>
          <t>Краны на гусеничном ходу, грузоподъемность 50-63 т</t>
        </is>
      </c>
      <c r="D19" s="239" t="inlineStr">
        <is>
          <t>маш.-ч</t>
        </is>
      </c>
      <c r="E19" s="168" t="n">
        <v>48.146</v>
      </c>
      <c r="F19" s="241" t="n">
        <v>290.01</v>
      </c>
      <c r="G19" s="32">
        <f>ROUND(E19*F19,2)</f>
        <v/>
      </c>
      <c r="H19" s="174">
        <f>G19/$G$57</f>
        <v/>
      </c>
      <c r="I19" s="32">
        <f>ROUND(F19*Прил.10!$D$12,2)</f>
        <v/>
      </c>
      <c r="J19" s="32">
        <f>ROUND(I19*E19,2)</f>
        <v/>
      </c>
    </row>
    <row r="20" ht="25.5" customFormat="1" customHeight="1" s="12">
      <c r="A20" s="239" t="n">
        <v>4</v>
      </c>
      <c r="B20" s="167" t="inlineStr">
        <is>
          <t>91.14.02-001</t>
        </is>
      </c>
      <c r="C20" s="238" t="inlineStr">
        <is>
          <t>Автомобили бортовые, грузоподъемность до 5 т</t>
        </is>
      </c>
      <c r="D20" s="239" t="inlineStr">
        <is>
          <t>маш.-ч</t>
        </is>
      </c>
      <c r="E20" s="168" t="n">
        <v>45.0511225</v>
      </c>
      <c r="F20" s="241" t="n">
        <v>65.70999999999999</v>
      </c>
      <c r="G20" s="32">
        <f>ROUND(E20*F20,2)</f>
        <v/>
      </c>
      <c r="H20" s="174">
        <f>G20/$G$57</f>
        <v/>
      </c>
      <c r="I20" s="32">
        <f>ROUND(F20*Прил.10!$D$12,2)</f>
        <v/>
      </c>
      <c r="J20" s="32">
        <f>ROUND(I20*E20,2)</f>
        <v/>
      </c>
    </row>
    <row r="21" ht="14.25" customFormat="1" customHeight="1" s="12">
      <c r="A21" s="239" t="n">
        <v>5</v>
      </c>
      <c r="B21" s="167" t="inlineStr">
        <is>
          <t>91.05.01-017</t>
        </is>
      </c>
      <c r="C21" s="238" t="inlineStr">
        <is>
          <t>Краны башенные, грузоподъемность 8 т</t>
        </is>
      </c>
      <c r="D21" s="239" t="inlineStr">
        <is>
          <t>маш.-ч</t>
        </is>
      </c>
      <c r="E21" s="168" t="n">
        <v>23.156875</v>
      </c>
      <c r="F21" s="241" t="n">
        <v>86.40000000000001</v>
      </c>
      <c r="G21" s="32">
        <f>ROUND(E21*F21,2)</f>
        <v/>
      </c>
      <c r="H21" s="174">
        <f>G21/$G$57</f>
        <v/>
      </c>
      <c r="I21" s="32">
        <f>ROUND(F21*Прил.10!$D$12,2)</f>
        <v/>
      </c>
      <c r="J21" s="32">
        <f>ROUND(I21*E21,2)</f>
        <v/>
      </c>
    </row>
    <row r="22" ht="14.25" customFormat="1" customHeight="1" s="12">
      <c r="A22" s="239" t="n">
        <v>6</v>
      </c>
      <c r="B22" s="167" t="inlineStr">
        <is>
          <t>91.05.02-005</t>
        </is>
      </c>
      <c r="C22" s="238" t="inlineStr">
        <is>
          <t>Краны козловые, грузоподъемность 32 т</t>
        </is>
      </c>
      <c r="D22" s="239" t="inlineStr">
        <is>
          <t>маш.-ч</t>
        </is>
      </c>
      <c r="E22" s="168" t="n">
        <v>14.821125</v>
      </c>
      <c r="F22" s="241" t="n">
        <v>120.24</v>
      </c>
      <c r="G22" s="32">
        <f>ROUND(E22*F22,2)</f>
        <v/>
      </c>
      <c r="H22" s="174">
        <f>G22/$G$57</f>
        <v/>
      </c>
      <c r="I22" s="32">
        <f>ROUND(F22*Прил.10!$D$12,2)</f>
        <v/>
      </c>
      <c r="J22" s="32">
        <f>ROUND(I22*E22,2)</f>
        <v/>
      </c>
    </row>
    <row r="23" ht="25.5" customFormat="1" customHeight="1" s="12">
      <c r="A23" s="239" t="n">
        <v>7</v>
      </c>
      <c r="B23" s="167" t="inlineStr">
        <is>
          <t>91.05.05-014</t>
        </is>
      </c>
      <c r="C23" s="238" t="inlineStr">
        <is>
          <t>Краны на автомобильном ходу, грузоподъемность 10 т</t>
        </is>
      </c>
      <c r="D23" s="239" t="inlineStr">
        <is>
          <t>маш.-ч</t>
        </is>
      </c>
      <c r="E23" s="168" t="n">
        <v>15.4404075</v>
      </c>
      <c r="F23" s="241" t="n">
        <v>111.99</v>
      </c>
      <c r="G23" s="32">
        <f>ROUND(E23*F23,2)</f>
        <v/>
      </c>
      <c r="H23" s="174">
        <f>G23/$G$57</f>
        <v/>
      </c>
      <c r="I23" s="32">
        <f>ROUND(F23*Прил.10!$D$12,2)</f>
        <v/>
      </c>
      <c r="J23" s="32">
        <f>ROUND(I23*E23,2)</f>
        <v/>
      </c>
    </row>
    <row r="24" ht="25.5" customFormat="1" customHeight="1" s="12">
      <c r="A24" s="239" t="n">
        <v>8</v>
      </c>
      <c r="B24" s="167" t="inlineStr">
        <is>
          <t>91.05.06-007</t>
        </is>
      </c>
      <c r="C24" s="238" t="inlineStr">
        <is>
          <t>Краны на гусеничном ходу, грузоподъемность 25 т</t>
        </is>
      </c>
      <c r="D24" s="239" t="inlineStr">
        <is>
          <t>маш.-ч</t>
        </is>
      </c>
      <c r="E24" s="168" t="n">
        <v>12.6675</v>
      </c>
      <c r="F24" s="241" t="n">
        <v>120.04</v>
      </c>
      <c r="G24" s="32">
        <f>ROUND(E24*F24,2)</f>
        <v/>
      </c>
      <c r="H24" s="174">
        <f>G24/$G$57</f>
        <v/>
      </c>
      <c r="I24" s="32">
        <f>ROUND(F24*Прил.10!$D$12,2)</f>
        <v/>
      </c>
      <c r="J24" s="32">
        <f>ROUND(I24*E24,2)</f>
        <v/>
      </c>
    </row>
    <row r="25" ht="25.5" customFormat="1" customHeight="1" s="12">
      <c r="A25" s="239" t="n">
        <v>9</v>
      </c>
      <c r="B25" s="167" t="inlineStr">
        <is>
          <t>91.06.06-042</t>
        </is>
      </c>
      <c r="C25" s="238" t="inlineStr">
        <is>
          <t>Подъемники гидравлические, высота подъема 10 м</t>
        </is>
      </c>
      <c r="D25" s="239" t="inlineStr">
        <is>
          <t>маш.-ч</t>
        </is>
      </c>
      <c r="E25" s="168" t="n">
        <v>47.84225</v>
      </c>
      <c r="F25" s="241" t="n">
        <v>29.6</v>
      </c>
      <c r="G25" s="32">
        <f>ROUND(E25*F25,2)</f>
        <v/>
      </c>
      <c r="H25" s="174">
        <f>G25/$G$57</f>
        <v/>
      </c>
      <c r="I25" s="32">
        <f>ROUND(F25*Прил.10!$D$12,2)</f>
        <v/>
      </c>
      <c r="J25" s="32">
        <f>ROUND(I25*E25,2)</f>
        <v/>
      </c>
    </row>
    <row r="26" ht="25.5" customFormat="1" customHeight="1" s="12">
      <c r="A26" s="239" t="n">
        <v>10</v>
      </c>
      <c r="B26" s="167" t="inlineStr">
        <is>
          <t>91.05.01-025</t>
        </is>
      </c>
      <c r="C26" s="238" t="inlineStr">
        <is>
          <t>Краны башенные, грузоподъемность 25-75 т</t>
        </is>
      </c>
      <c r="D26" s="239" t="inlineStr">
        <is>
          <t>маш.-ч</t>
        </is>
      </c>
      <c r="E26" s="168" t="n">
        <v>4.352</v>
      </c>
      <c r="F26" s="241" t="n">
        <v>312.21</v>
      </c>
      <c r="G26" s="32">
        <f>ROUND(E26*F26,2)</f>
        <v/>
      </c>
      <c r="H26" s="174">
        <f>G26/$G$57</f>
        <v/>
      </c>
      <c r="I26" s="32">
        <f>ROUND(F26*Прил.10!$D$12,2)</f>
        <v/>
      </c>
      <c r="J26" s="32">
        <f>ROUND(I26*E26,2)</f>
        <v/>
      </c>
    </row>
    <row r="27" ht="14.25" customFormat="1" customHeight="1" s="12">
      <c r="A27" s="239" t="n"/>
      <c r="B27" s="239" t="n"/>
      <c r="C27" s="238" t="inlineStr">
        <is>
          <t>Итого основные машины и механизмы</t>
        </is>
      </c>
      <c r="D27" s="239" t="n"/>
      <c r="E27" s="168" t="n"/>
      <c r="F27" s="32" t="n"/>
      <c r="G27" s="32">
        <f>SUM(G19:G26)</f>
        <v/>
      </c>
      <c r="H27" s="242">
        <f>G27/G57</f>
        <v/>
      </c>
      <c r="I27" s="180" t="n"/>
      <c r="J27" s="32">
        <f>SUM(J19:J26)</f>
        <v/>
      </c>
    </row>
    <row r="28" hidden="1" outlineLevel="1" ht="14.25" customFormat="1" customHeight="1" s="12">
      <c r="A28" s="239" t="n">
        <v>11</v>
      </c>
      <c r="B28" s="167" t="inlineStr">
        <is>
          <t>91.06.05-011</t>
        </is>
      </c>
      <c r="C28" s="238" t="inlineStr">
        <is>
          <t>Погрузчики, грузоподъемность 5 т</t>
        </is>
      </c>
      <c r="D28" s="239" t="inlineStr">
        <is>
          <t>маш.-ч</t>
        </is>
      </c>
      <c r="E28" s="168" t="n">
        <v>12.2316875</v>
      </c>
      <c r="F28" s="241" t="n">
        <v>89.98999999999999</v>
      </c>
      <c r="G28" s="32">
        <f>ROUND(E28*F28,2)</f>
        <v/>
      </c>
      <c r="H28" s="174">
        <f>G28/$G$57</f>
        <v/>
      </c>
      <c r="I28" s="32">
        <f>ROUND(F28*Прил.10!$D$12,2)</f>
        <v/>
      </c>
      <c r="J28" s="32">
        <f>ROUND(I28*E28,2)</f>
        <v/>
      </c>
    </row>
    <row r="29" hidden="1" outlineLevel="1" ht="25.5" customFormat="1" customHeight="1" s="12">
      <c r="A29" s="239" t="n">
        <v>12</v>
      </c>
      <c r="B29" s="167" t="inlineStr">
        <is>
          <t>91.05.06-008</t>
        </is>
      </c>
      <c r="C29" s="238" t="inlineStr">
        <is>
          <t>Краны на гусеничном ходу, грузоподъемность 40 т</t>
        </is>
      </c>
      <c r="D29" s="239" t="inlineStr">
        <is>
          <t>маш.-ч</t>
        </is>
      </c>
      <c r="E29" s="168" t="n">
        <v>5.15375</v>
      </c>
      <c r="F29" s="241" t="n">
        <v>175.56</v>
      </c>
      <c r="G29" s="32">
        <f>ROUND(E29*F29,2)</f>
        <v/>
      </c>
      <c r="H29" s="174">
        <f>G29/$G$57</f>
        <v/>
      </c>
      <c r="I29" s="32">
        <f>ROUND(F29*Прил.10!$D$12,2)</f>
        <v/>
      </c>
      <c r="J29" s="32">
        <f>ROUND(I29*E29,2)</f>
        <v/>
      </c>
    </row>
    <row r="30" hidden="1" outlineLevel="1" ht="51" customFormat="1" customHeight="1" s="12">
      <c r="A30" s="239" t="n">
        <v>13</v>
      </c>
      <c r="B30" s="167" t="inlineStr">
        <is>
          <t>91.18.01-007</t>
        </is>
      </c>
      <c r="C30" s="23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30" s="239" t="inlineStr">
        <is>
          <t>маш.-ч</t>
        </is>
      </c>
      <c r="E30" s="168" t="n">
        <v>8.645</v>
      </c>
      <c r="F30" s="241" t="n">
        <v>90</v>
      </c>
      <c r="G30" s="32">
        <f>ROUND(E30*F30,2)</f>
        <v/>
      </c>
      <c r="H30" s="174">
        <f>G30/$G$57</f>
        <v/>
      </c>
      <c r="I30" s="32">
        <f>ROUND(F30*Прил.10!$D$12,2)</f>
        <v/>
      </c>
      <c r="J30" s="32">
        <f>ROUND(I30*E30,2)</f>
        <v/>
      </c>
    </row>
    <row r="31" hidden="1" outlineLevel="1" ht="25.5" customFormat="1" customHeight="1" s="12">
      <c r="A31" s="239" t="n">
        <v>14</v>
      </c>
      <c r="B31" s="167" t="inlineStr">
        <is>
          <t>91.17.04-233</t>
        </is>
      </c>
      <c r="C31" s="238" t="inlineStr">
        <is>
          <t>Установки для сварки ручной дуговой (постоянного тока)</t>
        </is>
      </c>
      <c r="D31" s="239" t="inlineStr">
        <is>
          <t>маш.-ч</t>
        </is>
      </c>
      <c r="E31" s="168" t="n">
        <v>63.1783525</v>
      </c>
      <c r="F31" s="241" t="n">
        <v>8.1</v>
      </c>
      <c r="G31" s="32">
        <f>ROUND(E31*F31,2)</f>
        <v/>
      </c>
      <c r="H31" s="174">
        <f>G31/$G$57</f>
        <v/>
      </c>
      <c r="I31" s="32">
        <f>ROUND(F31*Прил.10!$D$12,2)</f>
        <v/>
      </c>
      <c r="J31" s="32">
        <f>ROUND(I31*E31,2)</f>
        <v/>
      </c>
    </row>
    <row r="32" hidden="1" outlineLevel="1" ht="25.5" customFormat="1" customHeight="1" s="12">
      <c r="A32" s="239" t="n">
        <v>15</v>
      </c>
      <c r="B32" s="167" t="inlineStr">
        <is>
          <t>91.17.04-171</t>
        </is>
      </c>
      <c r="C32" s="238" t="inlineStr">
        <is>
          <t>Преобразователи сварочные номинальным сварочным током 315-500 А</t>
        </is>
      </c>
      <c r="D32" s="239" t="inlineStr">
        <is>
          <t>маш.-ч</t>
        </is>
      </c>
      <c r="E32" s="168" t="n">
        <v>32.540175</v>
      </c>
      <c r="F32" s="241" t="n">
        <v>12.31</v>
      </c>
      <c r="G32" s="32">
        <f>ROUND(E32*F32,2)</f>
        <v/>
      </c>
      <c r="H32" s="174">
        <f>G32/$G$57</f>
        <v/>
      </c>
      <c r="I32" s="32">
        <f>ROUND(F32*Прил.10!$D$12,2)</f>
        <v/>
      </c>
      <c r="J32" s="32">
        <f>ROUND(I32*E32,2)</f>
        <v/>
      </c>
    </row>
    <row r="33" hidden="1" outlineLevel="1" ht="38.25" customFormat="1" customHeight="1" s="12">
      <c r="A33" s="239" t="n">
        <v>16</v>
      </c>
      <c r="B33" s="167" t="inlineStr">
        <is>
          <t>91.21.01-012</t>
        </is>
      </c>
      <c r="C33" s="238" t="inlineStr">
        <is>
          <t>Агрегаты окрасочные высокого давления для окраски поверхностей конструкций, мощность 1 кВт</t>
        </is>
      </c>
      <c r="D33" s="239" t="inlineStr">
        <is>
          <t>маш.-ч</t>
        </is>
      </c>
      <c r="E33" s="168" t="n">
        <v>27.2320125</v>
      </c>
      <c r="F33" s="241" t="n">
        <v>6.82</v>
      </c>
      <c r="G33" s="32">
        <f>ROUND(E33*F33,2)</f>
        <v/>
      </c>
      <c r="H33" s="174">
        <f>G33/$G$57</f>
        <v/>
      </c>
      <c r="I33" s="32">
        <f>ROUND(F33*Прил.10!$D$12,2)</f>
        <v/>
      </c>
      <c r="J33" s="32">
        <f>ROUND(I33*E33,2)</f>
        <v/>
      </c>
    </row>
    <row r="34" hidden="1" outlineLevel="1" ht="25.5" customFormat="1" customHeight="1" s="12">
      <c r="A34" s="239" t="n">
        <v>17</v>
      </c>
      <c r="B34" s="167" t="inlineStr">
        <is>
          <t>91.07.08-025</t>
        </is>
      </c>
      <c r="C34" s="238" t="inlineStr">
        <is>
          <t>Растворосмесители передвижные, объем барабана 250 л</t>
        </is>
      </c>
      <c r="D34" s="239" t="inlineStr">
        <is>
          <t>маш.-ч</t>
        </is>
      </c>
      <c r="E34" s="168" t="n">
        <v>8.949375</v>
      </c>
      <c r="F34" s="241" t="n">
        <v>16.31</v>
      </c>
      <c r="G34" s="32">
        <f>ROUND(E34*F34,2)</f>
        <v/>
      </c>
      <c r="H34" s="174">
        <f>G34/$G$57</f>
        <v/>
      </c>
      <c r="I34" s="32">
        <f>ROUND(F34*Прил.10!$D$12,2)</f>
        <v/>
      </c>
      <c r="J34" s="32">
        <f>ROUND(I34*E34,2)</f>
        <v/>
      </c>
    </row>
    <row r="35" hidden="1" outlineLevel="1" ht="38.25" customFormat="1" customHeight="1" s="12">
      <c r="A35" s="239" t="n">
        <v>18</v>
      </c>
      <c r="B35" s="167" t="inlineStr">
        <is>
          <t>91.06.05-057</t>
        </is>
      </c>
      <c r="C35" s="238" t="inlineStr">
        <is>
          <t>Погрузчики одноковшовые универсальные фронтальные пневмоколесные, грузоподъемность 3 т</t>
        </is>
      </c>
      <c r="D35" s="239" t="inlineStr">
        <is>
          <t>маш.-ч</t>
        </is>
      </c>
      <c r="E35" s="168" t="n">
        <v>1.36</v>
      </c>
      <c r="F35" s="241" t="n">
        <v>90.40000000000001</v>
      </c>
      <c r="G35" s="32">
        <f>ROUND(E35*F35,2)</f>
        <v/>
      </c>
      <c r="H35" s="174">
        <f>G35/$G$57</f>
        <v/>
      </c>
      <c r="I35" s="32">
        <f>ROUND(F35*Прил.10!$D$12,2)</f>
        <v/>
      </c>
      <c r="J35" s="32">
        <f>ROUND(I35*E35,2)</f>
        <v/>
      </c>
    </row>
    <row r="36" hidden="1" outlineLevel="1" ht="14.25" customFormat="1" customHeight="1" s="12">
      <c r="A36" s="239" t="n">
        <v>19</v>
      </c>
      <c r="B36" s="167" t="inlineStr">
        <is>
          <t>91.06.09-001</t>
        </is>
      </c>
      <c r="C36" s="238" t="inlineStr">
        <is>
          <t>Вышки телескопические 25 м</t>
        </is>
      </c>
      <c r="D36" s="239" t="inlineStr">
        <is>
          <t>маш.-ч</t>
        </is>
      </c>
      <c r="E36" s="168" t="n">
        <v>0.575</v>
      </c>
      <c r="F36" s="241" t="n">
        <v>142.7</v>
      </c>
      <c r="G36" s="32">
        <f>ROUND(E36*F36,2)</f>
        <v/>
      </c>
      <c r="H36" s="174">
        <f>G36/$G$57</f>
        <v/>
      </c>
      <c r="I36" s="32">
        <f>ROUND(F36*Прил.10!$D$12,2)</f>
        <v/>
      </c>
      <c r="J36" s="32">
        <f>ROUND(I36*E36,2)</f>
        <v/>
      </c>
    </row>
    <row r="37" hidden="1" outlineLevel="1" ht="14.25" customFormat="1" customHeight="1" s="12">
      <c r="A37" s="239" t="n">
        <v>20</v>
      </c>
      <c r="B37" s="167" t="inlineStr">
        <is>
          <t>91.08.04-021</t>
        </is>
      </c>
      <c r="C37" s="238" t="inlineStr">
        <is>
          <t>Котлы битумные передвижные 400 л</t>
        </is>
      </c>
      <c r="D37" s="239" t="inlineStr">
        <is>
          <t>маш.-ч</t>
        </is>
      </c>
      <c r="E37" s="168" t="n">
        <v>2.66375</v>
      </c>
      <c r="F37" s="241" t="n">
        <v>30</v>
      </c>
      <c r="G37" s="32">
        <f>ROUND(E37*F37,2)</f>
        <v/>
      </c>
      <c r="H37" s="174">
        <f>G37/$G$57</f>
        <v/>
      </c>
      <c r="I37" s="32">
        <f>ROUND(F37*Прил.10!$D$12,2)</f>
        <v/>
      </c>
      <c r="J37" s="32">
        <f>ROUND(I37*E37,2)</f>
        <v/>
      </c>
    </row>
    <row r="38" hidden="1" outlineLevel="1" ht="14.25" customFormat="1" customHeight="1" s="12">
      <c r="A38" s="239" t="n">
        <v>21</v>
      </c>
      <c r="B38" s="167" t="inlineStr">
        <is>
          <t>91.17.04-042</t>
        </is>
      </c>
      <c r="C38" s="238" t="inlineStr">
        <is>
          <t>Аппараты для газовой сварки и резки</t>
        </is>
      </c>
      <c r="D38" s="239" t="inlineStr">
        <is>
          <t>маш.-ч</t>
        </is>
      </c>
      <c r="E38" s="168" t="n">
        <v>58.1771625</v>
      </c>
      <c r="F38" s="241" t="n">
        <v>1.2</v>
      </c>
      <c r="G38" s="32">
        <f>ROUND(E38*F38,2)</f>
        <v/>
      </c>
      <c r="H38" s="174">
        <f>G38/$G$57</f>
        <v/>
      </c>
      <c r="I38" s="32">
        <f>ROUND(F38*Прил.10!$D$12,2)</f>
        <v/>
      </c>
      <c r="J38" s="32">
        <f>ROUND(I38*E38,2)</f>
        <v/>
      </c>
    </row>
    <row r="39" hidden="1" outlineLevel="1" ht="25.5" customFormat="1" customHeight="1" s="12">
      <c r="A39" s="239" t="n">
        <v>22</v>
      </c>
      <c r="B39" s="167" t="inlineStr">
        <is>
          <t>91.06.03-061</t>
        </is>
      </c>
      <c r="C39" s="238" t="inlineStr">
        <is>
          <t>Лебедки электрические тяговым усилием до 12,26 кН (1,25 т)</t>
        </is>
      </c>
      <c r="D39" s="239" t="inlineStr">
        <is>
          <t>маш.-ч</t>
        </is>
      </c>
      <c r="E39" s="168" t="n">
        <v>16.6</v>
      </c>
      <c r="F39" s="241" t="n">
        <v>3.28</v>
      </c>
      <c r="G39" s="32">
        <f>ROUND(E39*F39,2)</f>
        <v/>
      </c>
      <c r="H39" s="174">
        <f>G39/$G$57</f>
        <v/>
      </c>
      <c r="I39" s="32">
        <f>ROUND(F39*Прил.10!$D$12,2)</f>
        <v/>
      </c>
      <c r="J39" s="32">
        <f>ROUND(I39*E39,2)</f>
        <v/>
      </c>
    </row>
    <row r="40" hidden="1" outlineLevel="1" ht="25.5" customFormat="1" customHeight="1" s="12">
      <c r="A40" s="239" t="n">
        <v>23</v>
      </c>
      <c r="B40" s="167" t="inlineStr">
        <is>
          <t>91.06.03-047</t>
        </is>
      </c>
      <c r="C40" s="238" t="inlineStr">
        <is>
          <t>Лебедки ручные и рычажные тяговым усилием 31,39 кН (3,2 т)</t>
        </is>
      </c>
      <c r="D40" s="239" t="inlineStr">
        <is>
          <t>маш.-ч</t>
        </is>
      </c>
      <c r="E40" s="168" t="n">
        <v>9.473504999999999</v>
      </c>
      <c r="F40" s="241" t="n">
        <v>3.12</v>
      </c>
      <c r="G40" s="32">
        <f>ROUND(E40*F40,2)</f>
        <v/>
      </c>
      <c r="H40" s="174">
        <f>G40/$G$57</f>
        <v/>
      </c>
      <c r="I40" s="32">
        <f>ROUND(F40*Прил.10!$D$12,2)</f>
        <v/>
      </c>
      <c r="J40" s="32">
        <f>ROUND(I40*E40,2)</f>
        <v/>
      </c>
    </row>
    <row r="41" hidden="1" outlineLevel="1" ht="25.5" customFormat="1" customHeight="1" s="12">
      <c r="A41" s="239" t="n">
        <v>24</v>
      </c>
      <c r="B41" s="167" t="inlineStr">
        <is>
          <t>91.07.07-041</t>
        </is>
      </c>
      <c r="C41" s="238" t="inlineStr">
        <is>
          <t>Растворонасосы, производительность 1 м3/ч</t>
        </is>
      </c>
      <c r="D41" s="239" t="inlineStr">
        <is>
          <t>маш.-ч</t>
        </is>
      </c>
      <c r="E41" s="168" t="n">
        <v>1.6303</v>
      </c>
      <c r="F41" s="241" t="n">
        <v>14.15</v>
      </c>
      <c r="G41" s="32">
        <f>ROUND(E41*F41,2)</f>
        <v/>
      </c>
      <c r="H41" s="174">
        <f>G41/$G$57</f>
        <v/>
      </c>
      <c r="I41" s="32">
        <f>ROUND(F41*Прил.10!$D$12,2)</f>
        <v/>
      </c>
      <c r="J41" s="32">
        <f>ROUND(I41*E41,2)</f>
        <v/>
      </c>
    </row>
    <row r="42" hidden="1" outlineLevel="1" ht="38.25" customFormat="1" customHeight="1" s="12">
      <c r="A42" s="239" t="n">
        <v>25</v>
      </c>
      <c r="B42" s="167" t="inlineStr">
        <is>
          <t>91.06.06-048</t>
        </is>
      </c>
      <c r="C42" s="238" t="inlineStr">
        <is>
          <t>Подъемники одномачтовые, грузоподъемность до 500 кг, высота подъема 45 м</t>
        </is>
      </c>
      <c r="D42" s="239" t="inlineStr">
        <is>
          <t>маш.-ч</t>
        </is>
      </c>
      <c r="E42" s="168" t="n">
        <v>0.620775</v>
      </c>
      <c r="F42" s="241" t="n">
        <v>31.26</v>
      </c>
      <c r="G42" s="32">
        <f>ROUND(E42*F42,2)</f>
        <v/>
      </c>
      <c r="H42" s="174">
        <f>G42/$G$57</f>
        <v/>
      </c>
      <c r="I42" s="32">
        <f>ROUND(F42*Прил.10!$D$12,2)</f>
        <v/>
      </c>
      <c r="J42" s="32">
        <f>ROUND(I42*E42,2)</f>
        <v/>
      </c>
    </row>
    <row r="43" hidden="1" outlineLevel="1" ht="25.5" customFormat="1" customHeight="1" s="12">
      <c r="A43" s="239" t="n">
        <v>26</v>
      </c>
      <c r="B43" s="167" t="inlineStr">
        <is>
          <t>91.06.01-003</t>
        </is>
      </c>
      <c r="C43" s="238" t="inlineStr">
        <is>
          <t>Домкраты гидравлические, грузоподъемность 63-100 т</t>
        </is>
      </c>
      <c r="D43" s="239" t="inlineStr">
        <is>
          <t>маш.-ч</t>
        </is>
      </c>
      <c r="E43" s="168" t="n">
        <v>17.4855</v>
      </c>
      <c r="F43" s="241" t="n">
        <v>0.9</v>
      </c>
      <c r="G43" s="32">
        <f>ROUND(E43*F43,2)</f>
        <v/>
      </c>
      <c r="H43" s="174">
        <f>G43/$G$57</f>
        <v/>
      </c>
      <c r="I43" s="32">
        <f>ROUND(F43*Прил.10!$D$12,2)</f>
        <v/>
      </c>
      <c r="J43" s="32">
        <f>ROUND(I43*E43,2)</f>
        <v/>
      </c>
    </row>
    <row r="44" hidden="1" outlineLevel="1" ht="14.25" customFormat="1" customHeight="1" s="12">
      <c r="A44" s="239" t="n">
        <v>27</v>
      </c>
      <c r="B44" s="167" t="inlineStr">
        <is>
          <t>91.07.04-002</t>
        </is>
      </c>
      <c r="C44" s="238" t="inlineStr">
        <is>
          <t>Вибраторы поверхностные</t>
        </is>
      </c>
      <c r="D44" s="239" t="inlineStr">
        <is>
          <t>маш.-ч</t>
        </is>
      </c>
      <c r="E44" s="168" t="n">
        <v>30.2991</v>
      </c>
      <c r="F44" s="241" t="n">
        <v>0.5</v>
      </c>
      <c r="G44" s="32">
        <f>ROUND(E44*F44,2)</f>
        <v/>
      </c>
      <c r="H44" s="174">
        <f>G44/$G$57</f>
        <v/>
      </c>
      <c r="I44" s="32">
        <f>ROUND(F44*Прил.10!$D$12,2)</f>
        <v/>
      </c>
      <c r="J44" s="32">
        <f>ROUND(I44*E44,2)</f>
        <v/>
      </c>
    </row>
    <row r="45" hidden="1" outlineLevel="1" ht="14.25" customFormat="1" customHeight="1" s="12">
      <c r="A45" s="239" t="n">
        <v>28</v>
      </c>
      <c r="B45" s="167" t="inlineStr">
        <is>
          <t>91.21.07-011</t>
        </is>
      </c>
      <c r="C45" s="238" t="inlineStr">
        <is>
          <t>Машины мозаично-шлифовальные</t>
        </is>
      </c>
      <c r="D45" s="239" t="inlineStr">
        <is>
          <t>маш.-ч</t>
        </is>
      </c>
      <c r="E45" s="168" t="n">
        <v>7.78875</v>
      </c>
      <c r="F45" s="241" t="n">
        <v>1.5</v>
      </c>
      <c r="G45" s="32">
        <f>ROUND(E45*F45,2)</f>
        <v/>
      </c>
      <c r="H45" s="174">
        <f>G45/$G$57</f>
        <v/>
      </c>
      <c r="I45" s="32">
        <f>ROUND(F45*Прил.10!$D$12,2)</f>
        <v/>
      </c>
      <c r="J45" s="32">
        <f>ROUND(I45*E45,2)</f>
        <v/>
      </c>
    </row>
    <row r="46" hidden="1" outlineLevel="1" ht="14.25" customFormat="1" customHeight="1" s="12">
      <c r="A46" s="239" t="n">
        <v>29</v>
      </c>
      <c r="B46" s="167" t="inlineStr">
        <is>
          <t>91.07.04-001</t>
        </is>
      </c>
      <c r="C46" s="238" t="inlineStr">
        <is>
          <t>Вибраторы глубинные</t>
        </is>
      </c>
      <c r="D46" s="239" t="inlineStr">
        <is>
          <t>маш.-ч</t>
        </is>
      </c>
      <c r="E46" s="168" t="n">
        <v>5.9882625</v>
      </c>
      <c r="F46" s="241" t="n">
        <v>1.9</v>
      </c>
      <c r="G46" s="32">
        <f>ROUND(E46*F46,2)</f>
        <v/>
      </c>
      <c r="H46" s="174">
        <f>G46/$G$57</f>
        <v/>
      </c>
      <c r="I46" s="32">
        <f>ROUND(F46*Прил.10!$D$12,2)</f>
        <v/>
      </c>
      <c r="J46" s="32">
        <f>ROUND(I46*E46,2)</f>
        <v/>
      </c>
    </row>
    <row r="47" hidden="1" outlineLevel="1" ht="25.5" customFormat="1" customHeight="1" s="12">
      <c r="A47" s="239" t="n">
        <v>30</v>
      </c>
      <c r="B47" s="167" t="inlineStr">
        <is>
          <t>91.06.03-055</t>
        </is>
      </c>
      <c r="C47" s="238" t="inlineStr">
        <is>
          <t>Лебедки электрические тяговым усилием 19,62 кН (2 т)</t>
        </is>
      </c>
      <c r="D47" s="239" t="inlineStr">
        <is>
          <t>маш.-ч</t>
        </is>
      </c>
      <c r="E47" s="168" t="n">
        <v>1.51104</v>
      </c>
      <c r="F47" s="241" t="n">
        <v>6.66</v>
      </c>
      <c r="G47" s="32">
        <f>ROUND(E47*F47,2)</f>
        <v/>
      </c>
      <c r="H47" s="174">
        <f>G47/$G$57</f>
        <v/>
      </c>
      <c r="I47" s="32">
        <f>ROUND(F47*Прил.10!$D$12,2)</f>
        <v/>
      </c>
      <c r="J47" s="32">
        <f>ROUND(I47*E47,2)</f>
        <v/>
      </c>
    </row>
    <row r="48" hidden="1" outlineLevel="1" ht="25.5" customFormat="1" customHeight="1" s="12">
      <c r="A48" s="239" t="n">
        <v>31</v>
      </c>
      <c r="B48" s="167" t="inlineStr">
        <is>
          <t>91.08.09-023</t>
        </is>
      </c>
      <c r="C48" s="238" t="inlineStr">
        <is>
          <t>Трамбовки пневматические при работе от передвижных компрессорных станций</t>
        </is>
      </c>
      <c r="D48" s="239" t="inlineStr">
        <is>
          <t>маш.-ч</t>
        </is>
      </c>
      <c r="E48" s="168" t="n">
        <v>15.64</v>
      </c>
      <c r="F48" s="241" t="n">
        <v>0.55</v>
      </c>
      <c r="G48" s="32">
        <f>ROUND(E48*F48,2)</f>
        <v/>
      </c>
      <c r="H48" s="174">
        <f>G48/$G$57</f>
        <v/>
      </c>
      <c r="I48" s="32">
        <f>ROUND(F48*Прил.10!$D$12,2)</f>
        <v/>
      </c>
      <c r="J48" s="32">
        <f>ROUND(I48*E48,2)</f>
        <v/>
      </c>
    </row>
    <row r="49" hidden="1" outlineLevel="1" ht="25.5" customFormat="1" customHeight="1" s="12">
      <c r="A49" s="239" t="n">
        <v>32</v>
      </c>
      <c r="B49" s="167" t="inlineStr">
        <is>
          <t>91.06.03-062</t>
        </is>
      </c>
      <c r="C49" s="238" t="inlineStr">
        <is>
          <t>Лебедки электрические тяговым усилием до 31,39 кН (3,2 т)</t>
        </is>
      </c>
      <c r="D49" s="239" t="inlineStr">
        <is>
          <t>маш.-ч</t>
        </is>
      </c>
      <c r="E49" s="168" t="n">
        <v>0.36855</v>
      </c>
      <c r="F49" s="241" t="n">
        <v>6.9</v>
      </c>
      <c r="G49" s="32">
        <f>ROUND(E49*F49,2)</f>
        <v/>
      </c>
      <c r="H49" s="174">
        <f>G49/$G$57</f>
        <v/>
      </c>
      <c r="I49" s="32">
        <f>ROUND(F49*Прил.10!$D$12,2)</f>
        <v/>
      </c>
      <c r="J49" s="32">
        <f>ROUND(I49*E49,2)</f>
        <v/>
      </c>
    </row>
    <row r="50" hidden="1" outlineLevel="1" ht="25.5" customFormat="1" customHeight="1" s="12">
      <c r="A50" s="239" t="n">
        <v>33</v>
      </c>
      <c r="B50" s="167" t="inlineStr">
        <is>
          <t>91.04.01-041</t>
        </is>
      </c>
      <c r="C50" s="238" t="inlineStr">
        <is>
          <t>Молотки бурильные легкие при работе от передвижных компрессорных станций</t>
        </is>
      </c>
      <c r="D50" s="239" t="inlineStr">
        <is>
          <t>маш.-ч</t>
        </is>
      </c>
      <c r="E50" s="168" t="n">
        <v>0.825</v>
      </c>
      <c r="F50" s="241" t="n">
        <v>2.99</v>
      </c>
      <c r="G50" s="32">
        <f>ROUND(E50*F50,2)</f>
        <v/>
      </c>
      <c r="H50" s="174">
        <f>G50/$G$57</f>
        <v/>
      </c>
      <c r="I50" s="32">
        <f>ROUND(F50*Прил.10!$D$12,2)</f>
        <v/>
      </c>
      <c r="J50" s="32">
        <f>ROUND(I50*E50,2)</f>
        <v/>
      </c>
    </row>
    <row r="51" hidden="1" outlineLevel="1" ht="14.25" customFormat="1" customHeight="1" s="12">
      <c r="A51" s="239" t="n">
        <v>34</v>
      </c>
      <c r="B51" s="167" t="inlineStr">
        <is>
          <t>91.21.12-004</t>
        </is>
      </c>
      <c r="C51" s="238" t="inlineStr">
        <is>
          <t>Ножницы электрические</t>
        </is>
      </c>
      <c r="D51" s="239" t="inlineStr">
        <is>
          <t>маш.-ч</t>
        </is>
      </c>
      <c r="E51" s="168" t="n">
        <v>0.0436875</v>
      </c>
      <c r="F51" s="241" t="n">
        <v>33.59</v>
      </c>
      <c r="G51" s="32">
        <f>ROUND(E51*F51,2)</f>
        <v/>
      </c>
      <c r="H51" s="174">
        <f>G51/$G$57</f>
        <v/>
      </c>
      <c r="I51" s="32">
        <f>ROUND(F51*Прил.10!$D$12,2)</f>
        <v/>
      </c>
      <c r="J51" s="32">
        <f>ROUND(I51*E51,2)</f>
        <v/>
      </c>
    </row>
    <row r="52" hidden="1" outlineLevel="1" ht="25.5" customFormat="1" customHeight="1" s="12">
      <c r="A52" s="239" t="n">
        <v>35</v>
      </c>
      <c r="B52" s="167" t="inlineStr">
        <is>
          <t>91.21.16-012</t>
        </is>
      </c>
      <c r="C52" s="238" t="inlineStr">
        <is>
          <t>Прессы гидравлические с электроприводом</t>
        </is>
      </c>
      <c r="D52" s="239" t="inlineStr">
        <is>
          <t>маш.-ч</t>
        </is>
      </c>
      <c r="E52" s="168" t="n">
        <v>0.7125</v>
      </c>
      <c r="F52" s="241" t="n">
        <v>1.11</v>
      </c>
      <c r="G52" s="32">
        <f>ROUND(E52*F52,2)</f>
        <v/>
      </c>
      <c r="H52" s="174">
        <f>G52/$G$57</f>
        <v/>
      </c>
      <c r="I52" s="32">
        <f>ROUND(F52*Прил.10!$D$12,2)</f>
        <v/>
      </c>
      <c r="J52" s="32">
        <f>ROUND(I52*E52,2)</f>
        <v/>
      </c>
    </row>
    <row r="53" hidden="1" outlineLevel="1" ht="14.25" customFormat="1" customHeight="1" s="12">
      <c r="A53" s="239" t="n">
        <v>36</v>
      </c>
      <c r="B53" s="167" t="inlineStr">
        <is>
          <t>91.21.22-421</t>
        </is>
      </c>
      <c r="C53" s="238" t="inlineStr">
        <is>
          <t>Термосы 100 л</t>
        </is>
      </c>
      <c r="D53" s="239" t="inlineStr">
        <is>
          <t>маш.-ч</t>
        </is>
      </c>
      <c r="E53" s="168" t="n">
        <v>0.2890625</v>
      </c>
      <c r="F53" s="241" t="n">
        <v>2.7</v>
      </c>
      <c r="G53" s="32">
        <f>ROUND(E53*F53,2)</f>
        <v/>
      </c>
      <c r="H53" s="174">
        <f>G53/$G$57</f>
        <v/>
      </c>
      <c r="I53" s="32">
        <f>ROUND(F53*Прил.10!$D$12,2)</f>
        <v/>
      </c>
      <c r="J53" s="32">
        <f>ROUND(I53*E53,2)</f>
        <v/>
      </c>
    </row>
    <row r="54" hidden="1" outlineLevel="1" ht="25.5" customFormat="1" customHeight="1" s="12">
      <c r="A54" s="239" t="n">
        <v>37</v>
      </c>
      <c r="B54" s="167" t="inlineStr">
        <is>
          <t>91.06.03-060</t>
        </is>
      </c>
      <c r="C54" s="238" t="inlineStr">
        <is>
          <t>Лебедки электрические тяговым усилием до 5,79 кН (0,59 т)</t>
        </is>
      </c>
      <c r="D54" s="239" t="inlineStr">
        <is>
          <t>маш.-ч</t>
        </is>
      </c>
      <c r="E54" s="168" t="n">
        <v>0.2319</v>
      </c>
      <c r="F54" s="241" t="n">
        <v>1.7</v>
      </c>
      <c r="G54" s="32">
        <f>ROUND(E54*F54,2)</f>
        <v/>
      </c>
      <c r="H54" s="174">
        <f>G54/$G$57</f>
        <v/>
      </c>
      <c r="I54" s="32">
        <f>ROUND(F54*Прил.10!$D$12,2)</f>
        <v/>
      </c>
      <c r="J54" s="32">
        <f>ROUND(I54*E54,2)</f>
        <v/>
      </c>
    </row>
    <row r="55" hidden="1" outlineLevel="1" ht="14.25" customFormat="1" customHeight="1" s="12">
      <c r="A55" s="239" t="n">
        <v>38</v>
      </c>
      <c r="B55" s="167" t="inlineStr">
        <is>
          <t>91.21.19-031</t>
        </is>
      </c>
      <c r="C55" s="238" t="inlineStr">
        <is>
          <t>Станки сверлильные</t>
        </is>
      </c>
      <c r="D55" s="239" t="inlineStr">
        <is>
          <t>маш.-ч</t>
        </is>
      </c>
      <c r="E55" s="168" t="n">
        <v>0.105</v>
      </c>
      <c r="F55" s="241" t="n">
        <v>2.36</v>
      </c>
      <c r="G55" s="32">
        <f>ROUND(E55*F55,2)</f>
        <v/>
      </c>
      <c r="H55" s="174">
        <f>G55/$G$57</f>
        <v/>
      </c>
      <c r="I55" s="32">
        <f>ROUND(F55*Прил.10!$D$12,2)</f>
        <v/>
      </c>
      <c r="J55" s="32">
        <f>ROUND(I55*E55,2)</f>
        <v/>
      </c>
    </row>
    <row r="56" collapsed="1" ht="14.25" customFormat="1" customHeight="1" s="12">
      <c r="A56" s="239" t="n"/>
      <c r="B56" s="239" t="n"/>
      <c r="C56" s="238" t="inlineStr">
        <is>
          <t>Итого прочие машины и механизмы</t>
        </is>
      </c>
      <c r="D56" s="239" t="n"/>
      <c r="E56" s="240" t="n"/>
      <c r="F56" s="32" t="n"/>
      <c r="G56" s="180">
        <f>SUM(G28:G55)</f>
        <v/>
      </c>
      <c r="H56" s="174">
        <f>G56/G57</f>
        <v/>
      </c>
      <c r="I56" s="32" t="n"/>
      <c r="J56" s="180">
        <f>SUM(J28:J55)</f>
        <v/>
      </c>
    </row>
    <row r="57" ht="25.5" customFormat="1" customHeight="1" s="12">
      <c r="A57" s="239" t="n"/>
      <c r="B57" s="239" t="n"/>
      <c r="C57" s="226" t="inlineStr">
        <is>
          <t>Итого по разделу «Машины и механизмы»</t>
        </is>
      </c>
      <c r="D57" s="239" t="n"/>
      <c r="E57" s="240" t="n"/>
      <c r="F57" s="32" t="n"/>
      <c r="G57" s="32">
        <f>G56+G27</f>
        <v/>
      </c>
      <c r="H57" s="182" t="n">
        <v>1</v>
      </c>
      <c r="I57" s="183" t="n"/>
      <c r="J57" s="184">
        <f>J56+J27</f>
        <v/>
      </c>
    </row>
    <row r="58" ht="14.25" customFormat="1" customHeight="1" s="12">
      <c r="A58" s="239" t="n"/>
      <c r="B58" s="226" t="inlineStr">
        <is>
          <t>Оборудование</t>
        </is>
      </c>
      <c r="C58" s="301" t="n"/>
      <c r="D58" s="301" t="n"/>
      <c r="E58" s="301" t="n"/>
      <c r="F58" s="301" t="n"/>
      <c r="G58" s="301" t="n"/>
      <c r="H58" s="302" t="n"/>
      <c r="I58" s="178" t="n"/>
      <c r="J58" s="178" t="n"/>
    </row>
    <row r="59">
      <c r="A59" s="239" t="n"/>
      <c r="B59" s="238" t="inlineStr">
        <is>
          <t>Основное оборудование</t>
        </is>
      </c>
      <c r="C59" s="301" t="n"/>
      <c r="D59" s="301" t="n"/>
      <c r="E59" s="301" t="n"/>
      <c r="F59" s="301" t="n"/>
      <c r="G59" s="301" t="n"/>
      <c r="H59" s="302" t="n"/>
      <c r="I59" s="178" t="n"/>
      <c r="J59" s="178" t="n"/>
    </row>
    <row r="60">
      <c r="A60" s="239" t="n"/>
      <c r="B60" s="239" t="n"/>
      <c r="C60" s="238" t="inlineStr">
        <is>
          <t>Итого основное оборудование</t>
        </is>
      </c>
      <c r="D60" s="239" t="n"/>
      <c r="E60" s="168" t="n"/>
      <c r="F60" s="241" t="n"/>
      <c r="G60" s="32" t="n">
        <v>0</v>
      </c>
      <c r="H60" s="242" t="n">
        <v>0</v>
      </c>
      <c r="I60" s="180" t="n"/>
      <c r="J60" s="32" t="n">
        <v>0</v>
      </c>
    </row>
    <row r="61">
      <c r="A61" s="239" t="n"/>
      <c r="B61" s="239" t="n"/>
      <c r="C61" s="238" t="inlineStr">
        <is>
          <t>Итого прочее оборудование</t>
        </is>
      </c>
      <c r="D61" s="239" t="n"/>
      <c r="E61" s="168" t="n"/>
      <c r="F61" s="241" t="n"/>
      <c r="G61" s="32" t="n">
        <v>0</v>
      </c>
      <c r="H61" s="242" t="n">
        <v>0</v>
      </c>
      <c r="I61" s="180" t="n"/>
      <c r="J61" s="32" t="n">
        <v>0</v>
      </c>
    </row>
    <row r="62">
      <c r="A62" s="239" t="n"/>
      <c r="B62" s="239" t="n"/>
      <c r="C62" s="226" t="inlineStr">
        <is>
          <t>Итого по разделу «Оборудование»</t>
        </is>
      </c>
      <c r="D62" s="239" t="n"/>
      <c r="E62" s="240" t="n"/>
      <c r="F62" s="241" t="n"/>
      <c r="G62" s="32">
        <f>G61+G60</f>
        <v/>
      </c>
      <c r="H62" s="242">
        <f>H61+H60</f>
        <v/>
      </c>
      <c r="I62" s="180" t="n"/>
      <c r="J62" s="32">
        <f>J61+J60</f>
        <v/>
      </c>
    </row>
    <row r="63" ht="25.5" customHeight="1">
      <c r="A63" s="239" t="n"/>
      <c r="B63" s="239" t="n"/>
      <c r="C63" s="238" t="inlineStr">
        <is>
          <t>в том числе технологическое оборудование</t>
        </is>
      </c>
      <c r="D63" s="239" t="n"/>
      <c r="E63" s="185" t="n"/>
      <c r="F63" s="241" t="n"/>
      <c r="G63" s="32">
        <f>G62</f>
        <v/>
      </c>
      <c r="H63" s="242" t="n"/>
      <c r="I63" s="180" t="n"/>
      <c r="J63" s="32">
        <f>J62</f>
        <v/>
      </c>
    </row>
    <row r="64" ht="14.25" customFormat="1" customHeight="1" s="12">
      <c r="A64" s="239" t="n"/>
      <c r="B64" s="226" t="inlineStr">
        <is>
          <t>Материалы</t>
        </is>
      </c>
      <c r="C64" s="301" t="n"/>
      <c r="D64" s="301" t="n"/>
      <c r="E64" s="301" t="n"/>
      <c r="F64" s="301" t="n"/>
      <c r="G64" s="301" t="n"/>
      <c r="H64" s="302" t="n"/>
      <c r="I64" s="178" t="n"/>
      <c r="J64" s="178" t="n"/>
    </row>
    <row r="65" ht="14.25" customFormat="1" customHeight="1" s="12">
      <c r="A65" s="234" t="n"/>
      <c r="B65" s="233" t="inlineStr">
        <is>
          <t>Основные материалы</t>
        </is>
      </c>
      <c r="C65" s="307" t="n"/>
      <c r="D65" s="307" t="n"/>
      <c r="E65" s="307" t="n"/>
      <c r="F65" s="307" t="n"/>
      <c r="G65" s="307" t="n"/>
      <c r="H65" s="308" t="n"/>
      <c r="I65" s="186" t="n"/>
      <c r="J65" s="186" t="n"/>
    </row>
    <row r="66" ht="25.5" customFormat="1" customHeight="1" s="12">
      <c r="A66" s="239" t="n">
        <v>39</v>
      </c>
      <c r="B66" s="239" t="inlineStr">
        <is>
          <t>10.3.02.03-0011</t>
        </is>
      </c>
      <c r="C66" s="238" t="inlineStr">
        <is>
          <t>Припои оловянно-свинцовые бессурьмянистые, марка ПОС30</t>
        </is>
      </c>
      <c r="D66" s="239" t="inlineStr">
        <is>
          <t>т</t>
        </is>
      </c>
      <c r="E66" s="168" t="n">
        <v>3.07</v>
      </c>
      <c r="F66" s="241" t="n">
        <v>68050</v>
      </c>
      <c r="G66" s="32">
        <f>ROUND(E66*F66,2)</f>
        <v/>
      </c>
      <c r="H66" s="174">
        <f>G66/$G$270</f>
        <v/>
      </c>
      <c r="I66" s="32" t="n">
        <v>547122</v>
      </c>
      <c r="J66" s="32">
        <f>ROUND(I66*E66,2)</f>
        <v/>
      </c>
    </row>
    <row r="67" ht="51" customFormat="1" customHeight="1" s="12">
      <c r="A67" s="239" t="n">
        <v>40</v>
      </c>
      <c r="B67" s="239" t="inlineStr">
        <is>
          <t>64.1.02.01-0055</t>
        </is>
      </c>
      <c r="C67" s="238" t="inlineStr">
        <is>
          <t>Вентиляторы канальные в изолированном корпусе для круглых воздуховодов OSTBERG марки: IRE 500 D, производительность 3750 м3/час</t>
        </is>
      </c>
      <c r="D67" s="239" t="inlineStr">
        <is>
          <t>шт</t>
        </is>
      </c>
      <c r="E67" s="168" t="n">
        <v>5</v>
      </c>
      <c r="F67" s="241" t="n">
        <v>22535.34</v>
      </c>
      <c r="G67" s="32">
        <f>ROUND(E67*F67,2)</f>
        <v/>
      </c>
      <c r="H67" s="174">
        <f>G67/$G$270</f>
        <v/>
      </c>
      <c r="I67" s="32" t="n">
        <v>181184.13</v>
      </c>
      <c r="J67" s="32">
        <f>ROUND(I67*E67,2)</f>
        <v/>
      </c>
    </row>
    <row r="68" ht="38.25" customFormat="1" customHeight="1" s="12">
      <c r="A68" s="239" t="n">
        <v>41</v>
      </c>
      <c r="B68" s="239" t="inlineStr">
        <is>
          <t>04.1.02.05-0054</t>
        </is>
      </c>
      <c r="C68" s="238" t="inlineStr">
        <is>
          <t>Смеси бетонные тяжелого бетона (БСТ), крупность заполнителя 20 мм, класс В60 (М800)</t>
        </is>
      </c>
      <c r="D68" s="239" t="inlineStr">
        <is>
          <t>м3</t>
        </is>
      </c>
      <c r="E68" s="168" t="n">
        <v>79.675</v>
      </c>
      <c r="F68" s="241" t="n">
        <v>1363.6</v>
      </c>
      <c r="G68" s="32">
        <f>ROUND(E68*F68,2)</f>
        <v/>
      </c>
      <c r="H68" s="174">
        <f>G68/$G$270</f>
        <v/>
      </c>
      <c r="I68" s="32" t="n">
        <v>10963.34</v>
      </c>
      <c r="J68" s="32">
        <f>ROUND(I68*E68,2)</f>
        <v/>
      </c>
    </row>
    <row r="69" ht="76.5" customFormat="1" customHeight="1" s="12">
      <c r="A69" s="239" t="n">
        <v>42</v>
      </c>
      <c r="B69" s="239" t="inlineStr">
        <is>
          <t>07.2.05.05-0025</t>
        </is>
      </c>
      <c r="C69" s="238" t="inlineStr">
        <is>
          <t>Сэндвич-панель трехслойная кровельная "Металл Профиль" с наполнителем из минеральной ваты (НГ) плотностью 110кг/м3, марка МП ТСП-K, толщина: 250 мм, тип покрытия PRISMA, толщина металлических облицовок 0,5 мм</t>
        </is>
      </c>
      <c r="D69" s="239" t="inlineStr">
        <is>
          <t>м2</t>
        </is>
      </c>
      <c r="E69" s="168" t="n">
        <v>261.25</v>
      </c>
      <c r="F69" s="241" t="n">
        <v>354.97</v>
      </c>
      <c r="G69" s="32">
        <f>ROUND(E69*F69,2)</f>
        <v/>
      </c>
      <c r="H69" s="174">
        <f>G69/$G$270</f>
        <v/>
      </c>
      <c r="I69" s="32" t="n">
        <v>2853.96</v>
      </c>
      <c r="J69" s="32">
        <f>ROUND(I69*E69,2)</f>
        <v/>
      </c>
    </row>
    <row r="70" ht="14.25" customFormat="1" customHeight="1" s="12">
      <c r="A70" s="239" t="n">
        <v>43</v>
      </c>
      <c r="B70" s="239" t="inlineStr">
        <is>
          <t>14.2.02.11-0021</t>
        </is>
      </c>
      <c r="C70" s="238" t="inlineStr">
        <is>
          <t>Состав огнезащитный: «Файрекс-500»</t>
        </is>
      </c>
      <c r="D70" s="239" t="inlineStr">
        <is>
          <t>кг</t>
        </is>
      </c>
      <c r="E70" s="168" t="n">
        <v>744.48</v>
      </c>
      <c r="F70" s="241" t="n">
        <v>115.2</v>
      </c>
      <c r="G70" s="32">
        <f>ROUND(E70*F70,2)</f>
        <v/>
      </c>
      <c r="H70" s="174">
        <f>G70/$G$270</f>
        <v/>
      </c>
      <c r="I70" s="32" t="n">
        <v>926.21</v>
      </c>
      <c r="J70" s="32">
        <f>ROUND(I70*E70,2)</f>
        <v/>
      </c>
    </row>
    <row r="71" ht="38.25" customFormat="1" customHeight="1" s="12">
      <c r="A71" s="239" t="n">
        <v>44</v>
      </c>
      <c r="B71" s="239" t="inlineStr">
        <is>
          <t>04.1.02.02-0037</t>
        </is>
      </c>
      <c r="C71" s="238" t="inlineStr">
        <is>
          <t>Смеси бетонные тяжелого бетона (БСТ) для гидротехнических сооружений, класс В60 (М800)</t>
        </is>
      </c>
      <c r="D71" s="239" t="inlineStr">
        <is>
          <t>м3</t>
        </is>
      </c>
      <c r="E71" s="168" t="n">
        <v>48.2</v>
      </c>
      <c r="F71" s="241" t="n">
        <v>1491.39</v>
      </c>
      <c r="G71" s="32">
        <f>ROUND(E71*F71,2)</f>
        <v/>
      </c>
      <c r="H71" s="174">
        <f>G71/$G$270</f>
        <v/>
      </c>
      <c r="I71" s="32" t="n">
        <v>11990.78</v>
      </c>
      <c r="J71" s="32">
        <f>ROUND(I71*E71,2)</f>
        <v/>
      </c>
    </row>
    <row r="72" ht="25.5" customFormat="1" customHeight="1" s="12">
      <c r="A72" s="239" t="n">
        <v>45</v>
      </c>
      <c r="B72" s="239" t="inlineStr">
        <is>
          <t>20.4.03.07-0022</t>
        </is>
      </c>
      <c r="C72" s="238" t="inlineStr">
        <is>
          <t>Розетка щитовая для монтажа на DIN-рейку 16А 250В с защитной крышкой</t>
        </is>
      </c>
      <c r="D72" s="239" t="inlineStr">
        <is>
          <t>100 шт</t>
        </is>
      </c>
      <c r="E72" s="168" t="n">
        <v>7.5</v>
      </c>
      <c r="F72" s="241" t="n">
        <v>7851.9</v>
      </c>
      <c r="G72" s="32">
        <f>ROUND(E72*F72,2)</f>
        <v/>
      </c>
      <c r="H72" s="174">
        <f>G72/$G$270</f>
        <v/>
      </c>
      <c r="I72" s="32" t="n">
        <v>63129.28</v>
      </c>
      <c r="J72" s="32">
        <f>ROUND(I72*E72,2)</f>
        <v/>
      </c>
    </row>
    <row r="73" ht="63.75" customFormat="1" customHeight="1" s="12">
      <c r="A73" s="239" t="n">
        <v>46</v>
      </c>
      <c r="B73" s="239" t="inlineStr">
        <is>
          <t>07.2.07.12-0011</t>
        </is>
      </c>
      <c r="C73" s="238" t="inlineStr">
        <is>
          <t>Элементы конструктивные зданий и сооружений с преобладанием гнутосварных профилей и круглых труб, средняя масса сборочной единицы до 0,1 т</t>
        </is>
      </c>
      <c r="D73" s="239" t="inlineStr">
        <is>
          <t>т</t>
        </is>
      </c>
      <c r="E73" s="168" t="n">
        <v>5.04317875</v>
      </c>
      <c r="F73" s="241" t="n">
        <v>11255</v>
      </c>
      <c r="G73" s="32">
        <f>ROUND(E73*F73,2)</f>
        <v/>
      </c>
      <c r="H73" s="174">
        <f>G73/$G$270</f>
        <v/>
      </c>
      <c r="I73" s="32" t="n">
        <v>90490.2</v>
      </c>
      <c r="J73" s="32">
        <f>ROUND(I73*E73,2)</f>
        <v/>
      </c>
    </row>
    <row r="74" ht="76.5" customFormat="1" customHeight="1" s="12">
      <c r="A74" s="239" t="n">
        <v>47</v>
      </c>
      <c r="B74" s="239" t="inlineStr">
        <is>
          <t>07.2.05.05-0021</t>
        </is>
      </c>
      <c r="C74" s="238" t="inlineStr">
        <is>
          <t>Сэндвич-панель трехслойная кровельная "Металл Профиль" с наполнителем из минеральной ваты (НГ) плотностью 110кг/м3, марка МП ТСП-K, толщина: 200 мм, тип покрытия PRISMA, толщина металлических облицовок 0,5 мм</t>
        </is>
      </c>
      <c r="D74" s="239" t="inlineStr">
        <is>
          <t>м2</t>
        </is>
      </c>
      <c r="E74" s="168" t="n">
        <v>141.25</v>
      </c>
      <c r="F74" s="241" t="n">
        <v>321.4</v>
      </c>
      <c r="G74" s="32">
        <f>ROUND(E74*F74,2)</f>
        <v/>
      </c>
      <c r="H74" s="174">
        <f>G74/$G$270</f>
        <v/>
      </c>
      <c r="I74" s="32" t="n">
        <v>2584.06</v>
      </c>
      <c r="J74" s="32">
        <f>ROUND(I74*E74,2)</f>
        <v/>
      </c>
    </row>
    <row r="75" ht="38.25" customFormat="1" customHeight="1" s="12">
      <c r="A75" s="239" t="n">
        <v>48</v>
      </c>
      <c r="B75" s="239" t="inlineStr">
        <is>
          <t>08.4.03.03-0029</t>
        </is>
      </c>
      <c r="C75" s="238" t="inlineStr">
        <is>
          <t>Сталь арматурная, горячекатаная, периодического профиля, класс А-III, диаметр 6 мм</t>
        </is>
      </c>
      <c r="D75" s="239" t="inlineStr">
        <is>
          <t>т</t>
        </is>
      </c>
      <c r="E75" s="168" t="n">
        <v>4.225</v>
      </c>
      <c r="F75" s="241" t="n">
        <v>8213.719999999999</v>
      </c>
      <c r="G75" s="32">
        <f>ROUND(E75*F75,2)</f>
        <v/>
      </c>
      <c r="H75" s="174">
        <f>G75/$G$270</f>
        <v/>
      </c>
      <c r="I75" s="32" t="n">
        <v>66038.31</v>
      </c>
      <c r="J75" s="32">
        <f>ROUND(I75*E75,2)</f>
        <v/>
      </c>
    </row>
    <row r="76" ht="14.25" customFormat="1" customHeight="1" s="12">
      <c r="A76" s="239" t="n">
        <v>49</v>
      </c>
      <c r="B76" s="239" t="inlineStr">
        <is>
          <t>07.2.03.06-0101</t>
        </is>
      </c>
      <c r="C76" s="238" t="inlineStr">
        <is>
          <t>Ригели фахверка</t>
        </is>
      </c>
      <c r="D76" s="239" t="inlineStr">
        <is>
          <t>т</t>
        </is>
      </c>
      <c r="E76" s="168" t="n">
        <v>5.1754925</v>
      </c>
      <c r="F76" s="241" t="n">
        <v>6266</v>
      </c>
      <c r="G76" s="32">
        <f>ROUND(E76*F76,2)</f>
        <v/>
      </c>
      <c r="H76" s="174">
        <f>G76/$G$270</f>
        <v/>
      </c>
      <c r="I76" s="32" t="n">
        <v>50378.64</v>
      </c>
      <c r="J76" s="32">
        <f>ROUND(I76*E76,2)</f>
        <v/>
      </c>
    </row>
    <row r="77" ht="38.25" customFormat="1" customHeight="1" s="12">
      <c r="A77" s="239" t="n">
        <v>50</v>
      </c>
      <c r="B77" s="239" t="inlineStr">
        <is>
          <t>04.1.02.02-0036</t>
        </is>
      </c>
      <c r="C77" s="238" t="inlineStr">
        <is>
          <t>Смеси бетонные тяжелого бетона (БСТ) для гидротехнических сооружений, класс В55 (М700)</t>
        </is>
      </c>
      <c r="D77" s="239" t="inlineStr">
        <is>
          <t>м3</t>
        </is>
      </c>
      <c r="E77" s="168" t="n">
        <v>23.2125</v>
      </c>
      <c r="F77" s="241" t="n">
        <v>1369.23</v>
      </c>
      <c r="G77" s="32">
        <f>ROUND(E77*F77,2)</f>
        <v/>
      </c>
      <c r="H77" s="174">
        <f>G77/$G$270</f>
        <v/>
      </c>
      <c r="I77" s="32" t="n">
        <v>11008.61</v>
      </c>
      <c r="J77" s="32">
        <f>ROUND(I77*E77,2)</f>
        <v/>
      </c>
    </row>
    <row r="78" ht="25.5" customFormat="1" customHeight="1" s="12">
      <c r="A78" s="239" t="n">
        <v>51</v>
      </c>
      <c r="B78" s="239" t="inlineStr">
        <is>
          <t>07.2.03.06-0081</t>
        </is>
      </c>
      <c r="C78" s="238" t="inlineStr">
        <is>
          <t>Прогоны дополнительные и кровельные из прокатных профилей</t>
        </is>
      </c>
      <c r="D78" s="239" t="inlineStr">
        <is>
          <t>т</t>
        </is>
      </c>
      <c r="E78" s="168" t="n">
        <v>4.0311625</v>
      </c>
      <c r="F78" s="241" t="n">
        <v>7500</v>
      </c>
      <c r="G78" s="32">
        <f>ROUND(E78*F78,2)</f>
        <v/>
      </c>
      <c r="H78" s="174">
        <f>G78/$G$270</f>
        <v/>
      </c>
      <c r="I78" s="32" t="n">
        <v>60300</v>
      </c>
      <c r="J78" s="32">
        <f>ROUND(I78*E78,2)</f>
        <v/>
      </c>
    </row>
    <row r="79" ht="14.25" customFormat="1" customHeight="1" s="12">
      <c r="A79" s="239" t="n">
        <v>52</v>
      </c>
      <c r="B79" s="239" t="inlineStr">
        <is>
          <t>11.1.03.01-0001</t>
        </is>
      </c>
      <c r="C79" s="238" t="inlineStr">
        <is>
          <t>Бруски деревянные, размер 50х50 мм</t>
        </is>
      </c>
      <c r="D79" s="239" t="inlineStr">
        <is>
          <t>м3</t>
        </is>
      </c>
      <c r="E79" s="168" t="n">
        <v>15.7275</v>
      </c>
      <c r="F79" s="241" t="n">
        <v>1668</v>
      </c>
      <c r="G79" s="32">
        <f>ROUND(E79*F79,2)</f>
        <v/>
      </c>
      <c r="H79" s="174">
        <f>G79/$G$270</f>
        <v/>
      </c>
      <c r="I79" s="32" t="n">
        <v>13410.72</v>
      </c>
      <c r="J79" s="32">
        <f>ROUND(I79*E79,2)</f>
        <v/>
      </c>
    </row>
    <row r="80" ht="14.25" customFormat="1" customHeight="1" s="12">
      <c r="A80" s="239" t="n">
        <v>53</v>
      </c>
      <c r="B80" s="239" t="inlineStr">
        <is>
          <t>20.2.08.05-0015</t>
        </is>
      </c>
      <c r="C80" s="238" t="inlineStr">
        <is>
          <t>Профиль монтажный</t>
        </is>
      </c>
      <c r="D80" s="239" t="inlineStr">
        <is>
          <t>м</t>
        </is>
      </c>
      <c r="E80" s="168" t="n">
        <v>582.5</v>
      </c>
      <c r="F80" s="241" t="n">
        <v>38.42</v>
      </c>
      <c r="G80" s="32">
        <f>ROUND(E80*F80,2)</f>
        <v/>
      </c>
      <c r="H80" s="174">
        <f>G80/$G$270</f>
        <v/>
      </c>
      <c r="I80" s="32" t="n">
        <v>308.9</v>
      </c>
      <c r="J80" s="32">
        <f>ROUND(I80*E80,2)</f>
        <v/>
      </c>
    </row>
    <row r="81" ht="25.5" customFormat="1" customHeight="1" s="12">
      <c r="A81" s="239" t="n">
        <v>54</v>
      </c>
      <c r="B81" s="239" t="inlineStr">
        <is>
          <t>08.4.02.06-0002</t>
        </is>
      </c>
      <c r="C81" s="238" t="inlineStr">
        <is>
          <t>Сетка сварная из холоднотянутой проволоки 3 мм</t>
        </is>
      </c>
      <c r="D81" s="239" t="inlineStr">
        <is>
          <t>т</t>
        </is>
      </c>
      <c r="E81" s="168" t="n">
        <v>1.85005</v>
      </c>
      <c r="F81" s="241" t="n">
        <v>9800.07</v>
      </c>
      <c r="G81" s="32">
        <f>ROUND(E81*F81,2)</f>
        <v/>
      </c>
      <c r="H81" s="174">
        <f>G81/$G$270</f>
        <v/>
      </c>
      <c r="I81" s="32" t="n">
        <v>78792.56</v>
      </c>
      <c r="J81" s="32">
        <f>ROUND(I81*E81,2)</f>
        <v/>
      </c>
    </row>
    <row r="82" ht="14.25" customFormat="1" customHeight="1" s="12">
      <c r="A82" s="250" t="n"/>
      <c r="B82" s="239" t="n"/>
      <c r="C82" s="238" t="inlineStr">
        <is>
          <t>Итого основные материалы</t>
        </is>
      </c>
      <c r="D82" s="239" t="n"/>
      <c r="E82" s="168" t="n"/>
      <c r="F82" s="241" t="n"/>
      <c r="G82" s="32">
        <f>SUM(G66:G81)</f>
        <v/>
      </c>
      <c r="H82" s="174">
        <f>G82/$G$270</f>
        <v/>
      </c>
      <c r="I82" s="32" t="n"/>
      <c r="J82" s="32">
        <f>SUM(J66:J81)</f>
        <v/>
      </c>
    </row>
    <row r="83" hidden="1" outlineLevel="1" ht="38.25" customFormat="1" customHeight="1" s="12">
      <c r="A83" s="239" t="n">
        <v>55</v>
      </c>
      <c r="B83" s="239" t="inlineStr">
        <is>
          <t>63.3.01.02-1016</t>
        </is>
      </c>
      <c r="C83" s="238" t="inlineStr">
        <is>
          <t>Электрообогреватели излучающего типа, тип исполнения настенный, мощность 2 кВт</t>
        </is>
      </c>
      <c r="D83" s="239" t="inlineStr">
        <is>
          <t>шт</t>
        </is>
      </c>
      <c r="E83" s="168" t="n">
        <v>15</v>
      </c>
      <c r="F83" s="241" t="n">
        <v>1073.02</v>
      </c>
      <c r="G83" s="32">
        <f>ROUND(E83*F83,2)</f>
        <v/>
      </c>
      <c r="H83" s="174">
        <f>G83/$G$270</f>
        <v/>
      </c>
      <c r="I83" s="32" t="n">
        <v>8627.08</v>
      </c>
      <c r="J83" s="32">
        <f>ROUND(I83*E83,2)</f>
        <v/>
      </c>
    </row>
    <row r="84" hidden="1" outlineLevel="1" ht="76.5" customFormat="1" customHeight="1" s="12">
      <c r="A84" s="239" t="n">
        <v>56</v>
      </c>
      <c r="B84" s="239" t="inlineStr">
        <is>
          <t>07.2.07.12-0003</t>
        </is>
      </c>
      <c r="C84" s="238" t="inlineStr">
        <is>
          <t>Элементы конструктивные вспомогательного назначения массой не более 50 кг с преобладанием толстолистовой стали, собираемые из двух и более деталей, с отверстиями и без отверстий, соединяемые на сварке</t>
        </is>
      </c>
      <c r="D84" s="239" t="inlineStr">
        <is>
          <t>т</t>
        </is>
      </c>
      <c r="E84" s="168" t="n">
        <v>1.0675</v>
      </c>
      <c r="F84" s="241" t="n">
        <v>11255</v>
      </c>
      <c r="G84" s="32">
        <f>ROUND(E84*F84,2)</f>
        <v/>
      </c>
      <c r="H84" s="174">
        <f>G84/$G$270</f>
        <v/>
      </c>
      <c r="I84" s="32" t="n">
        <v>90490.2</v>
      </c>
      <c r="J84" s="32">
        <f>ROUND(I84*E84,2)</f>
        <v/>
      </c>
    </row>
    <row r="85" hidden="1" outlineLevel="1" ht="38.25" customFormat="1" customHeight="1" s="12">
      <c r="A85" s="239" t="n">
        <v>57</v>
      </c>
      <c r="B85" s="239" t="inlineStr">
        <is>
          <t>07.2.07.12-0031</t>
        </is>
      </c>
      <c r="C85" s="238" t="inlineStr">
        <is>
          <t>Прочие конструкции одноэтажных производственных зданий, масса сборочной единицы до 0,1 т</t>
        </is>
      </c>
      <c r="D85" s="239" t="inlineStr">
        <is>
          <t>т</t>
        </is>
      </c>
      <c r="E85" s="168" t="n">
        <v>0.8582475000000001</v>
      </c>
      <c r="F85" s="241" t="n">
        <v>12990.48</v>
      </c>
      <c r="G85" s="32">
        <f>ROUND(E85*F85,2)</f>
        <v/>
      </c>
      <c r="H85" s="174">
        <f>G85/$G$270</f>
        <v/>
      </c>
      <c r="I85" s="32" t="n">
        <v>104443.46</v>
      </c>
      <c r="J85" s="32">
        <f>ROUND(I85*E85,2)</f>
        <v/>
      </c>
    </row>
    <row r="86" hidden="1" outlineLevel="1" ht="25.5" customFormat="1" customHeight="1" s="12">
      <c r="A86" s="239" t="n">
        <v>58</v>
      </c>
      <c r="B86" s="239" t="inlineStr">
        <is>
          <t>07.2.03.06-0111</t>
        </is>
      </c>
      <c r="C86" s="238" t="inlineStr">
        <is>
          <t>Связи по колоннам и стойкам фахверка (диагональные и распорки)</t>
        </is>
      </c>
      <c r="D86" s="239" t="inlineStr">
        <is>
          <t>т</t>
        </is>
      </c>
      <c r="E86" s="168" t="n">
        <v>1.45642</v>
      </c>
      <c r="F86" s="241" t="n">
        <v>7007</v>
      </c>
      <c r="G86" s="32">
        <f>ROUND(E86*F86,2)</f>
        <v/>
      </c>
      <c r="H86" s="174">
        <f>G86/$G$270</f>
        <v/>
      </c>
      <c r="I86" s="32" t="n">
        <v>56336.28</v>
      </c>
      <c r="J86" s="32">
        <f>ROUND(I86*E86,2)</f>
        <v/>
      </c>
    </row>
    <row r="87" hidden="1" outlineLevel="1" ht="25.5" customFormat="1" customHeight="1" s="12">
      <c r="A87" s="239" t="n">
        <v>59</v>
      </c>
      <c r="B87" s="239" t="inlineStr">
        <is>
          <t>07.1.01.03-0022</t>
        </is>
      </c>
      <c r="C87" s="238" t="inlineStr">
        <is>
          <t>Двери стальные утепленные двупольные 2ДСУ 2.02.4</t>
        </is>
      </c>
      <c r="D87" s="239" t="inlineStr">
        <is>
          <t>шт</t>
        </is>
      </c>
      <c r="E87" s="168" t="n">
        <v>2.5</v>
      </c>
      <c r="F87" s="241" t="n">
        <v>3739.42</v>
      </c>
      <c r="G87" s="32">
        <f>ROUND(E87*F87,2)</f>
        <v/>
      </c>
      <c r="H87" s="174">
        <f>G87/$G$270</f>
        <v/>
      </c>
      <c r="I87" s="32" t="n">
        <v>30064.94</v>
      </c>
      <c r="J87" s="32">
        <f>ROUND(I87*E87,2)</f>
        <v/>
      </c>
    </row>
    <row r="88" hidden="1" outlineLevel="1" ht="25.5" customFormat="1" customHeight="1" s="12">
      <c r="A88" s="239" t="n">
        <v>60</v>
      </c>
      <c r="B88" s="239" t="inlineStr">
        <is>
          <t>07.2.07.13-0061</t>
        </is>
      </c>
      <c r="C88" s="238" t="inlineStr">
        <is>
          <t>Конструкции стальные нащельников и деталей обрамления</t>
        </is>
      </c>
      <c r="D88" s="239" t="inlineStr">
        <is>
          <t>т</t>
        </is>
      </c>
      <c r="E88" s="168" t="n">
        <v>0.74199375</v>
      </c>
      <c r="F88" s="241" t="n">
        <v>10898.65</v>
      </c>
      <c r="G88" s="32">
        <f>ROUND(E88*F88,2)</f>
        <v/>
      </c>
      <c r="H88" s="174">
        <f>G88/$G$270</f>
        <v/>
      </c>
      <c r="I88" s="32" t="n">
        <v>87625.14999999999</v>
      </c>
      <c r="J88" s="32">
        <f>ROUND(I88*E88,2)</f>
        <v/>
      </c>
    </row>
    <row r="89" hidden="1" outlineLevel="1" ht="38.25" customFormat="1" customHeight="1" s="12">
      <c r="A89" s="239" t="n">
        <v>61</v>
      </c>
      <c r="B89" s="239" t="inlineStr">
        <is>
          <t>19.2.03.01-1006</t>
        </is>
      </c>
      <c r="C89" s="238" t="inlineStr">
        <is>
          <t>Решетка жалюзийная наружная из алюминия круглого сечения марки: IGC 315 (SYSTEMAIR), диаметром 315 мм</t>
        </is>
      </c>
      <c r="D89" s="239" t="inlineStr">
        <is>
          <t>шт</t>
        </is>
      </c>
      <c r="E89" s="168" t="n">
        <v>5</v>
      </c>
      <c r="F89" s="241" t="n">
        <v>1335.01</v>
      </c>
      <c r="G89" s="32">
        <f>ROUND(E89*F89,2)</f>
        <v/>
      </c>
      <c r="H89" s="174">
        <f>G89/$G$270</f>
        <v/>
      </c>
      <c r="I89" s="32" t="n">
        <v>10733.48</v>
      </c>
      <c r="J89" s="32">
        <f>ROUND(I89*E89,2)</f>
        <v/>
      </c>
    </row>
    <row r="90" hidden="1" outlineLevel="1" ht="14.25" customFormat="1" customHeight="1" s="12">
      <c r="A90" s="239" t="n">
        <v>62</v>
      </c>
      <c r="B90" s="239" t="inlineStr">
        <is>
          <t>20.2.08.02-0032</t>
        </is>
      </c>
      <c r="C90" s="238" t="inlineStr">
        <is>
          <t>Прижим НЛ-ПРц</t>
        </is>
      </c>
      <c r="D90" s="239" t="inlineStr">
        <is>
          <t>100 шт</t>
        </is>
      </c>
      <c r="E90" s="168" t="n">
        <v>37.5</v>
      </c>
      <c r="F90" s="241" t="n">
        <v>166.01</v>
      </c>
      <c r="G90" s="32">
        <f>ROUND(E90*F90,2)</f>
        <v/>
      </c>
      <c r="H90" s="174">
        <f>G90/$G$270</f>
        <v/>
      </c>
      <c r="I90" s="32" t="n">
        <v>1334.72</v>
      </c>
      <c r="J90" s="32">
        <f>ROUND(I90*E90,2)</f>
        <v/>
      </c>
    </row>
    <row r="91" hidden="1" outlineLevel="1" ht="14.25" customFormat="1" customHeight="1" s="12">
      <c r="A91" s="239" t="n">
        <v>63</v>
      </c>
      <c r="B91" s="239" t="inlineStr">
        <is>
          <t>20.5.02.06-0039</t>
        </is>
      </c>
      <c r="C91" s="238" t="inlineStr">
        <is>
          <t>Коробка разветвительная У-409</t>
        </is>
      </c>
      <c r="D91" s="239" t="inlineStr">
        <is>
          <t>10 шт</t>
        </is>
      </c>
      <c r="E91" s="168" t="n">
        <v>16.25</v>
      </c>
      <c r="F91" s="241" t="n">
        <v>345.3</v>
      </c>
      <c r="G91" s="32">
        <f>ROUND(E91*F91,2)</f>
        <v/>
      </c>
      <c r="H91" s="174">
        <f>G91/$G$270</f>
        <v/>
      </c>
      <c r="I91" s="32" t="n">
        <v>2776.21</v>
      </c>
      <c r="J91" s="32">
        <f>ROUND(I91*E91,2)</f>
        <v/>
      </c>
    </row>
    <row r="92" hidden="1" outlineLevel="1" ht="25.5" customFormat="1" customHeight="1" s="12">
      <c r="A92" s="239" t="n">
        <v>64</v>
      </c>
      <c r="B92" s="239" t="inlineStr">
        <is>
          <t>01.6.01.01-0002</t>
        </is>
      </c>
      <c r="C92" s="238" t="inlineStr">
        <is>
          <t>Лист гипсоволокнистый влагостойкий ГВЛВ, толщина 12,5 мм</t>
        </is>
      </c>
      <c r="D92" s="239" t="inlineStr">
        <is>
          <t>м2</t>
        </is>
      </c>
      <c r="E92" s="168" t="n">
        <v>204.16625</v>
      </c>
      <c r="F92" s="241" t="n">
        <v>27.29</v>
      </c>
      <c r="G92" s="32">
        <f>ROUND(E92*F92,2)</f>
        <v/>
      </c>
      <c r="H92" s="174">
        <f>G92/$G$270</f>
        <v/>
      </c>
      <c r="I92" s="32" t="n">
        <v>219.41</v>
      </c>
      <c r="J92" s="32">
        <f>ROUND(I92*E92,2)</f>
        <v/>
      </c>
    </row>
    <row r="93" hidden="1" outlineLevel="1" ht="25.5" customFormat="1" customHeight="1" s="12">
      <c r="A93" s="239" t="n">
        <v>65</v>
      </c>
      <c r="B93" s="239" t="inlineStr">
        <is>
          <t>20.4.03.07-0018</t>
        </is>
      </c>
      <c r="C93" s="238" t="inlineStr">
        <is>
          <t>Розетка штепсельная малогабаритная для скрытой проводки РШ-П-20-С-01-10/220У4</t>
        </is>
      </c>
      <c r="D93" s="239" t="inlineStr">
        <is>
          <t>100 шт</t>
        </is>
      </c>
      <c r="E93" s="168" t="n">
        <v>7.5</v>
      </c>
      <c r="F93" s="241" t="n">
        <v>560</v>
      </c>
      <c r="G93" s="32">
        <f>ROUND(E93*F93,2)</f>
        <v/>
      </c>
      <c r="H93" s="174">
        <f>G93/$G$270</f>
        <v/>
      </c>
      <c r="I93" s="32" t="n">
        <v>4502.4</v>
      </c>
      <c r="J93" s="32">
        <f>ROUND(I93*E93,2)</f>
        <v/>
      </c>
    </row>
    <row r="94" hidden="1" outlineLevel="1" ht="25.5" customFormat="1" customHeight="1" s="12">
      <c r="A94" s="239" t="n">
        <v>66</v>
      </c>
      <c r="B94" s="239" t="inlineStr">
        <is>
          <t>08.4.03.04-0001</t>
        </is>
      </c>
      <c r="C94" s="238" t="inlineStr">
        <is>
          <t>Сталь арматурная, горячекатаная, класс А-I, А-II, А-III</t>
        </is>
      </c>
      <c r="D94" s="239" t="inlineStr">
        <is>
          <t>т</t>
        </is>
      </c>
      <c r="E94" s="168" t="n">
        <v>0.71875</v>
      </c>
      <c r="F94" s="241" t="n">
        <v>5650</v>
      </c>
      <c r="G94" s="32">
        <f>ROUND(E94*F94,2)</f>
        <v/>
      </c>
      <c r="H94" s="174">
        <f>G94/$G$270</f>
        <v/>
      </c>
      <c r="I94" s="32" t="n">
        <v>45426</v>
      </c>
      <c r="J94" s="32">
        <f>ROUND(I94*E94,2)</f>
        <v/>
      </c>
    </row>
    <row r="95" hidden="1" outlineLevel="1" ht="14.25" customFormat="1" customHeight="1" s="12">
      <c r="A95" s="239" t="n">
        <v>67</v>
      </c>
      <c r="B95" s="239" t="inlineStr">
        <is>
          <t>25.2.02.08-0003</t>
        </is>
      </c>
      <c r="C95" s="238" t="inlineStr">
        <is>
          <t>Узел крепления: кронштейна окрашенный</t>
        </is>
      </c>
      <c r="D95" s="239" t="inlineStr">
        <is>
          <t>шт</t>
        </is>
      </c>
      <c r="E95" s="168" t="n">
        <v>31.25</v>
      </c>
      <c r="F95" s="241" t="n">
        <v>128.79</v>
      </c>
      <c r="G95" s="32">
        <f>ROUND(E95*F95,2)</f>
        <v/>
      </c>
      <c r="H95" s="174">
        <f>G95/$G$270</f>
        <v/>
      </c>
      <c r="I95" s="32" t="n">
        <v>1035.47</v>
      </c>
      <c r="J95" s="32">
        <f>ROUND(I95*E95,2)</f>
        <v/>
      </c>
    </row>
    <row r="96" hidden="1" outlineLevel="1" ht="63.75" customFormat="1" customHeight="1" s="12">
      <c r="A96" s="239" t="n">
        <v>68</v>
      </c>
      <c r="B96" s="239" t="inlineStr">
        <is>
          <t>19.1.06.02-0044</t>
        </is>
      </c>
      <c r="C96" s="238" t="inlineStr">
        <is>
          <t>Узлы прохода вытяжных вентиляционных шахт с утепленным клапаном, с площадкой под исполнительный механизм и кольцом для сбора конденсата УП5-14, диаметр патрубка 400 мм</t>
        </is>
      </c>
      <c r="D96" s="239" t="inlineStr">
        <is>
          <t>шт</t>
        </is>
      </c>
      <c r="E96" s="168" t="n">
        <v>2.5</v>
      </c>
      <c r="F96" s="241" t="n">
        <v>1542.85</v>
      </c>
      <c r="G96" s="32">
        <f>ROUND(E96*F96,2)</f>
        <v/>
      </c>
      <c r="H96" s="174">
        <f>G96/$G$270</f>
        <v/>
      </c>
      <c r="I96" s="32" t="n">
        <v>12404.51</v>
      </c>
      <c r="J96" s="32">
        <f>ROUND(I96*E96,2)</f>
        <v/>
      </c>
    </row>
    <row r="97" hidden="1" outlineLevel="1" ht="14.25" customFormat="1" customHeight="1" s="12">
      <c r="A97" s="239" t="n">
        <v>69</v>
      </c>
      <c r="B97" s="239" t="inlineStr">
        <is>
          <t>08.4.02.06-0001</t>
        </is>
      </c>
      <c r="C97" s="238" t="inlineStr">
        <is>
          <t>Сетка из проволоки холоднотянутой</t>
        </is>
      </c>
      <c r="D97" s="239" t="inlineStr">
        <is>
          <t>т</t>
        </is>
      </c>
      <c r="E97" s="168" t="n">
        <v>0.4025</v>
      </c>
      <c r="F97" s="241" t="n">
        <v>8800</v>
      </c>
      <c r="G97" s="32">
        <f>ROUND(E97*F97,2)</f>
        <v/>
      </c>
      <c r="H97" s="174">
        <f>G97/$G$270</f>
        <v/>
      </c>
      <c r="I97" s="32" t="n">
        <v>70752</v>
      </c>
      <c r="J97" s="32">
        <f>ROUND(I97*E97,2)</f>
        <v/>
      </c>
    </row>
    <row r="98" hidden="1" outlineLevel="1" ht="14.25" customFormat="1" customHeight="1" s="12">
      <c r="A98" s="239" t="n">
        <v>70</v>
      </c>
      <c r="B98" s="239" t="inlineStr">
        <is>
          <t>20.5.02.06-0037</t>
        </is>
      </c>
      <c r="C98" s="238" t="inlineStr">
        <is>
          <t>Коробки ответвительные У198 УХЛЗ</t>
        </is>
      </c>
      <c r="D98" s="239" t="inlineStr">
        <is>
          <t>10 шт</t>
        </is>
      </c>
      <c r="E98" s="168" t="n">
        <v>31.25</v>
      </c>
      <c r="F98" s="241" t="n">
        <v>104.3</v>
      </c>
      <c r="G98" s="32">
        <f>ROUND(E98*F98,2)</f>
        <v/>
      </c>
      <c r="H98" s="174">
        <f>G98/$G$270</f>
        <v/>
      </c>
      <c r="I98" s="32" t="n">
        <v>838.5700000000001</v>
      </c>
      <c r="J98" s="32">
        <f>ROUND(I98*E98,2)</f>
        <v/>
      </c>
    </row>
    <row r="99" hidden="1" outlineLevel="1" ht="25.5" customFormat="1" customHeight="1" s="12">
      <c r="A99" s="239" t="n">
        <v>71</v>
      </c>
      <c r="B99" s="239" t="inlineStr">
        <is>
          <t>02.2.05.04-1567</t>
        </is>
      </c>
      <c r="C99" s="238" t="inlineStr">
        <is>
          <t>Щебень М 400, фракция 5(3)-10 мм, группа 2</t>
        </is>
      </c>
      <c r="D99" s="239" t="inlineStr">
        <is>
          <t>м3</t>
        </is>
      </c>
      <c r="E99" s="168" t="n">
        <v>22.1</v>
      </c>
      <c r="F99" s="241" t="n">
        <v>131.08</v>
      </c>
      <c r="G99" s="32">
        <f>ROUND(E99*F99,2)</f>
        <v/>
      </c>
      <c r="H99" s="174">
        <f>G99/$G$270</f>
        <v/>
      </c>
      <c r="I99" s="32" t="n">
        <v>1053.88</v>
      </c>
      <c r="J99" s="32">
        <f>ROUND(I99*E99,2)</f>
        <v/>
      </c>
    </row>
    <row r="100" hidden="1" outlineLevel="1" ht="51" customFormat="1" customHeight="1" s="12">
      <c r="A100" s="239" t="n">
        <v>72</v>
      </c>
      <c r="B100" s="239" t="inlineStr">
        <is>
          <t>07.2.07.12-0004</t>
        </is>
      </c>
      <c r="C100" s="238" t="inlineStr">
        <is>
          <t>Элементы конструктивные вспомогательного назначения с преобладанием профильного проката без отверстий и сборосварочных операций</t>
        </is>
      </c>
      <c r="D100" s="239" t="inlineStr">
        <is>
          <t>т</t>
        </is>
      </c>
      <c r="E100" s="168" t="n">
        <v>0.35</v>
      </c>
      <c r="F100" s="241" t="n">
        <v>7980</v>
      </c>
      <c r="G100" s="32">
        <f>ROUND(E100*F100,2)</f>
        <v/>
      </c>
      <c r="H100" s="174">
        <f>G100/$G$270</f>
        <v/>
      </c>
      <c r="I100" s="32" t="n">
        <v>64159.2</v>
      </c>
      <c r="J100" s="32">
        <f>ROUND(I100*E100,2)</f>
        <v/>
      </c>
    </row>
    <row r="101" hidden="1" outlineLevel="1" ht="25.5" customFormat="1" customHeight="1" s="12">
      <c r="A101" s="239" t="n">
        <v>73</v>
      </c>
      <c r="B101" s="239" t="inlineStr">
        <is>
          <t>04.1.02.05-0006</t>
        </is>
      </c>
      <c r="C101" s="238" t="inlineStr">
        <is>
          <t>Смеси бетонные тяжелого бетона (БСТ), класс В15 (М200)</t>
        </is>
      </c>
      <c r="D101" s="239" t="inlineStr">
        <is>
          <t>м3</t>
        </is>
      </c>
      <c r="E101" s="168" t="n">
        <v>4.5725</v>
      </c>
      <c r="F101" s="241" t="n">
        <v>592.76</v>
      </c>
      <c r="G101" s="32">
        <f>ROUND(E101*F101,2)</f>
        <v/>
      </c>
      <c r="H101" s="174">
        <f>G101/$G$270</f>
        <v/>
      </c>
      <c r="I101" s="32" t="n">
        <v>4765.79</v>
      </c>
      <c r="J101" s="32">
        <f>ROUND(I101*E101,2)</f>
        <v/>
      </c>
    </row>
    <row r="102" hidden="1" outlineLevel="1" ht="25.5" customFormat="1" customHeight="1" s="12">
      <c r="A102" s="239" t="n">
        <v>74</v>
      </c>
      <c r="B102" s="239" t="inlineStr">
        <is>
          <t>08.3.05.05-0053</t>
        </is>
      </c>
      <c r="C102" s="238" t="inlineStr">
        <is>
          <t>Сталь листовая оцинкованная, толщина 0,7 мм</t>
        </is>
      </c>
      <c r="D102" s="239" t="inlineStr">
        <is>
          <t>т</t>
        </is>
      </c>
      <c r="E102" s="168" t="n">
        <v>0.1881</v>
      </c>
      <c r="F102" s="241" t="n">
        <v>11200</v>
      </c>
      <c r="G102" s="32">
        <f>ROUND(E102*F102,2)</f>
        <v/>
      </c>
      <c r="H102" s="174">
        <f>G102/$G$270</f>
        <v/>
      </c>
      <c r="I102" s="32" t="n">
        <v>90048</v>
      </c>
      <c r="J102" s="32">
        <f>ROUND(I102*E102,2)</f>
        <v/>
      </c>
    </row>
    <row r="103" hidden="1" outlineLevel="1" ht="38.25" customFormat="1" customHeight="1" s="12">
      <c r="A103" s="239" t="n">
        <v>75</v>
      </c>
      <c r="B103" s="239" t="inlineStr">
        <is>
          <t>08.4.03.03-0032</t>
        </is>
      </c>
      <c r="C103" s="238" t="inlineStr">
        <is>
          <t>Сталь арматурная, горячекатаная, периодического профиля, класс А-III, диаметр 12 мм</t>
        </is>
      </c>
      <c r="D103" s="239" t="inlineStr">
        <is>
          <t>т</t>
        </is>
      </c>
      <c r="E103" s="168" t="n">
        <v>0.25</v>
      </c>
      <c r="F103" s="241" t="n">
        <v>7997.23</v>
      </c>
      <c r="G103" s="32">
        <f>ROUND(E103*F103,2)</f>
        <v/>
      </c>
      <c r="H103" s="174">
        <f>G103/$G$270</f>
        <v/>
      </c>
      <c r="I103" s="32" t="n">
        <v>64297.73</v>
      </c>
      <c r="J103" s="32">
        <f>ROUND(I103*E103,2)</f>
        <v/>
      </c>
    </row>
    <row r="104" hidden="1" outlineLevel="1" ht="38.25" customFormat="1" customHeight="1" s="12">
      <c r="A104" s="239" t="n">
        <v>76</v>
      </c>
      <c r="B104" s="239" t="inlineStr">
        <is>
          <t>12.2.05.09-0043</t>
        </is>
      </c>
      <c r="C104" s="238" t="inlineStr">
        <is>
          <t>Плиты теплоизоляционные из экструзионного вспененного полистирола ПЕНОПЛЭКС-35</t>
        </is>
      </c>
      <c r="D104" s="239" t="inlineStr">
        <is>
          <t>м3</t>
        </is>
      </c>
      <c r="E104" s="168" t="n">
        <v>1.57625</v>
      </c>
      <c r="F104" s="241" t="n">
        <v>1208.43</v>
      </c>
      <c r="G104" s="32">
        <f>ROUND(E104*F104,2)</f>
        <v/>
      </c>
      <c r="H104" s="174">
        <f>G104/$G$270</f>
        <v/>
      </c>
      <c r="I104" s="32" t="n">
        <v>9715.780000000001</v>
      </c>
      <c r="J104" s="32">
        <f>ROUND(I104*E104,2)</f>
        <v/>
      </c>
    </row>
    <row r="105" hidden="1" outlineLevel="1" ht="14.25" customFormat="1" customHeight="1" s="12">
      <c r="A105" s="239" t="n">
        <v>77</v>
      </c>
      <c r="B105" s="239" t="inlineStr">
        <is>
          <t>14.2.01.05-0003</t>
        </is>
      </c>
      <c r="C105" s="238" t="inlineStr">
        <is>
          <t>Композиция цинконаполненная</t>
        </is>
      </c>
      <c r="D105" s="239" t="inlineStr">
        <is>
          <t>кг</t>
        </is>
      </c>
      <c r="E105" s="168" t="n">
        <v>16.5025</v>
      </c>
      <c r="F105" s="241" t="n">
        <v>114.42</v>
      </c>
      <c r="G105" s="32">
        <f>ROUND(E105*F105,2)</f>
        <v/>
      </c>
      <c r="H105" s="174">
        <f>G105/$G$270</f>
        <v/>
      </c>
      <c r="I105" s="32" t="n">
        <v>919.9400000000001</v>
      </c>
      <c r="J105" s="32">
        <f>ROUND(I105*E105,2)</f>
        <v/>
      </c>
    </row>
    <row r="106" hidden="1" outlineLevel="1" ht="14.25" customFormat="1" customHeight="1" s="12">
      <c r="A106" s="239" t="n">
        <v>78</v>
      </c>
      <c r="B106" s="239" t="inlineStr">
        <is>
          <t>01.7.15.03-0042</t>
        </is>
      </c>
      <c r="C106" s="238" t="inlineStr">
        <is>
          <t>Болты с гайками и шайбами строительные</t>
        </is>
      </c>
      <c r="D106" s="239" t="inlineStr">
        <is>
          <t>кг</t>
        </is>
      </c>
      <c r="E106" s="168" t="n">
        <v>204.80575</v>
      </c>
      <c r="F106" s="241" t="n">
        <v>9.039999999999999</v>
      </c>
      <c r="G106" s="32">
        <f>ROUND(E106*F106,2)</f>
        <v/>
      </c>
      <c r="H106" s="174">
        <f>G106/$G$270</f>
        <v/>
      </c>
      <c r="I106" s="32" t="n">
        <v>72.68000000000001</v>
      </c>
      <c r="J106" s="32">
        <f>ROUND(I106*E106,2)</f>
        <v/>
      </c>
    </row>
    <row r="107" hidden="1" outlineLevel="1" ht="25.5" customFormat="1" customHeight="1" s="12">
      <c r="A107" s="239" t="n">
        <v>79</v>
      </c>
      <c r="B107" s="239" t="inlineStr">
        <is>
          <t>08.3.07.01-0052</t>
        </is>
      </c>
      <c r="C107" s="238" t="inlineStr">
        <is>
          <t>Прокат полосовой, горячекатаный, марка стали Ст3сп, размер 50х5 мм</t>
        </is>
      </c>
      <c r="D107" s="239" t="inlineStr">
        <is>
          <t>т</t>
        </is>
      </c>
      <c r="E107" s="168" t="n">
        <v>0.2695</v>
      </c>
      <c r="F107" s="241" t="n">
        <v>6726.18</v>
      </c>
      <c r="G107" s="32">
        <f>ROUND(E107*F107,2)</f>
        <v/>
      </c>
      <c r="H107" s="174">
        <f>G107/$G$270</f>
        <v/>
      </c>
      <c r="I107" s="32" t="n">
        <v>54078.49</v>
      </c>
      <c r="J107" s="32">
        <f>ROUND(I107*E107,2)</f>
        <v/>
      </c>
    </row>
    <row r="108" hidden="1" outlineLevel="1" ht="25.5" customFormat="1" customHeight="1" s="12">
      <c r="A108" s="239" t="n">
        <v>80</v>
      </c>
      <c r="B108" s="239" t="inlineStr">
        <is>
          <t>Прайс из СД ОП</t>
        </is>
      </c>
      <c r="C108" s="238" t="inlineStr">
        <is>
          <t>Электрический обогреватель Noirot  MeLodie Evolution N=2,0кВт</t>
        </is>
      </c>
      <c r="D108" s="239" t="inlineStr">
        <is>
          <t>шт</t>
        </is>
      </c>
      <c r="E108" s="168" t="n">
        <v>2.5</v>
      </c>
      <c r="F108" s="241" t="n">
        <v>709.51</v>
      </c>
      <c r="G108" s="32">
        <f>ROUND(E108*F108,2)</f>
        <v/>
      </c>
      <c r="H108" s="174">
        <f>G108/$G$270</f>
        <v/>
      </c>
      <c r="I108" s="32" t="n">
        <v>5704.46</v>
      </c>
      <c r="J108" s="32">
        <f>ROUND(I108*E108,2)</f>
        <v/>
      </c>
    </row>
    <row r="109" hidden="1" outlineLevel="1" ht="14.25" customFormat="1" customHeight="1" s="12">
      <c r="A109" s="239" t="n">
        <v>81</v>
      </c>
      <c r="B109" s="239" t="inlineStr">
        <is>
          <t>07.2.05.06-0011</t>
        </is>
      </c>
      <c r="C109" s="238" t="inlineStr">
        <is>
          <t>Каркас перегородки с дверью ПГД 1.52.4</t>
        </is>
      </c>
      <c r="D109" s="239" t="inlineStr">
        <is>
          <t>шт</t>
        </is>
      </c>
      <c r="E109" s="168" t="n">
        <v>1.25</v>
      </c>
      <c r="F109" s="241" t="n">
        <v>1415.31</v>
      </c>
      <c r="G109" s="32">
        <f>ROUND(E109*F109,2)</f>
        <v/>
      </c>
      <c r="H109" s="174">
        <f>G109/$G$270</f>
        <v/>
      </c>
      <c r="I109" s="32" t="n">
        <v>11379.09</v>
      </c>
      <c r="J109" s="32">
        <f>ROUND(I109*E109,2)</f>
        <v/>
      </c>
    </row>
    <row r="110" hidden="1" outlineLevel="1" ht="25.5" customFormat="1" customHeight="1" s="12">
      <c r="A110" s="239" t="n">
        <v>82</v>
      </c>
      <c r="B110" s="239" t="inlineStr">
        <is>
          <t>05.2.03.03-0031</t>
        </is>
      </c>
      <c r="C110" s="238" t="inlineStr">
        <is>
          <t>Камни бортовые БР 100.20.8, бетон В22,5 (М300), объем 0,016 м3</t>
        </is>
      </c>
      <c r="D110" s="239" t="inlineStr">
        <is>
          <t>шт</t>
        </is>
      </c>
      <c r="E110" s="168" t="n">
        <v>77.5</v>
      </c>
      <c r="F110" s="241" t="n">
        <v>22.36</v>
      </c>
      <c r="G110" s="32">
        <f>ROUND(E110*F110,2)</f>
        <v/>
      </c>
      <c r="H110" s="174">
        <f>G110/$G$270</f>
        <v/>
      </c>
      <c r="I110" s="32" t="n">
        <v>179.77</v>
      </c>
      <c r="J110" s="32">
        <f>ROUND(I110*E110,2)</f>
        <v/>
      </c>
    </row>
    <row r="111" hidden="1" outlineLevel="1" ht="25.5" customFormat="1" customHeight="1" s="12">
      <c r="A111" s="239" t="n">
        <v>83</v>
      </c>
      <c r="B111" s="239" t="inlineStr">
        <is>
          <t>62.1.02.16-0005</t>
        </is>
      </c>
      <c r="C111" s="238" t="inlineStr">
        <is>
          <t>Щитки осветительные, 6 отходящих линий с автоматическими выключателями</t>
        </is>
      </c>
      <c r="D111" s="239" t="inlineStr">
        <is>
          <t>шт</t>
        </is>
      </c>
      <c r="E111" s="168" t="n">
        <v>1.25</v>
      </c>
      <c r="F111" s="241" t="n">
        <v>1325.49</v>
      </c>
      <c r="G111" s="32">
        <f>ROUND(E111*F111,2)</f>
        <v/>
      </c>
      <c r="H111" s="174">
        <f>G111/$G$270</f>
        <v/>
      </c>
      <c r="I111" s="32" t="n">
        <v>10656.94</v>
      </c>
      <c r="J111" s="32">
        <f>ROUND(I111*E111,2)</f>
        <v/>
      </c>
    </row>
    <row r="112" hidden="1" outlineLevel="1" ht="25.5" customFormat="1" customHeight="1" s="12">
      <c r="A112" s="239" t="n">
        <v>84</v>
      </c>
      <c r="B112" s="239" t="inlineStr">
        <is>
          <t>21.1.06.09-0055</t>
        </is>
      </c>
      <c r="C112" s="238" t="inlineStr">
        <is>
          <t>Кабель силовой с медными жилами ВВГ 3х2,5-660</t>
        </is>
      </c>
      <c r="D112" s="239" t="inlineStr">
        <is>
          <t>1000 м</t>
        </is>
      </c>
      <c r="E112" s="168" t="n">
        <v>0.337875</v>
      </c>
      <c r="F112" s="241" t="n">
        <v>4883.86</v>
      </c>
      <c r="G112" s="32">
        <f>ROUND(E112*F112,2)</f>
        <v/>
      </c>
      <c r="H112" s="174">
        <f>G112/$G$270</f>
        <v/>
      </c>
      <c r="I112" s="32" t="n">
        <v>39266.23</v>
      </c>
      <c r="J112" s="32">
        <f>ROUND(I112*E112,2)</f>
        <v/>
      </c>
    </row>
    <row r="113" hidden="1" outlineLevel="1" ht="25.5" customFormat="1" customHeight="1" s="12">
      <c r="A113" s="239" t="n">
        <v>85</v>
      </c>
      <c r="B113" s="239" t="inlineStr">
        <is>
          <t>08.4.01.01-0022</t>
        </is>
      </c>
      <c r="C113" s="238" t="inlineStr">
        <is>
          <t>Детали анкерные с резьбой из прямых или гнутых круглых стержней</t>
        </is>
      </c>
      <c r="D113" s="239" t="inlineStr">
        <is>
          <t>т</t>
        </is>
      </c>
      <c r="E113" s="168" t="n">
        <v>0.1625</v>
      </c>
      <c r="F113" s="241" t="n">
        <v>10100</v>
      </c>
      <c r="G113" s="32">
        <f>ROUND(E113*F113,2)</f>
        <v/>
      </c>
      <c r="H113" s="174">
        <f>G113/$G$270</f>
        <v/>
      </c>
      <c r="I113" s="32" t="n">
        <v>81204</v>
      </c>
      <c r="J113" s="32">
        <f>ROUND(I113*E113,2)</f>
        <v/>
      </c>
    </row>
    <row r="114" hidden="1" outlineLevel="1" ht="14.25" customFormat="1" customHeight="1" s="12">
      <c r="A114" s="239" t="n">
        <v>86</v>
      </c>
      <c r="B114" s="239" t="inlineStr">
        <is>
          <t>Прайс из СД ОП</t>
        </is>
      </c>
      <c r="C114" s="238" t="inlineStr">
        <is>
          <t>Электропривод ASO-R04F Polar Bear</t>
        </is>
      </c>
      <c r="D114" s="239" t="inlineStr">
        <is>
          <t>шт.</t>
        </is>
      </c>
      <c r="E114" s="168" t="n">
        <v>5</v>
      </c>
      <c r="F114" s="241" t="n">
        <v>322.92</v>
      </c>
      <c r="G114" s="32">
        <f>ROUND(E114*F114,2)</f>
        <v/>
      </c>
      <c r="H114" s="174">
        <f>G114/$G$270</f>
        <v/>
      </c>
      <c r="I114" s="32" t="n">
        <v>2596.28</v>
      </c>
      <c r="J114" s="32">
        <f>ROUND(I114*E114,2)</f>
        <v/>
      </c>
    </row>
    <row r="115" hidden="1" outlineLevel="1" ht="14.25" customFormat="1" customHeight="1" s="12">
      <c r="A115" s="239" t="n">
        <v>87</v>
      </c>
      <c r="B115" s="239" t="inlineStr">
        <is>
          <t>62.1.02.16-0012</t>
        </is>
      </c>
      <c r="C115" s="238" t="inlineStr">
        <is>
          <t>Щитки осветительные: ОЩВ-12А УХЛ4</t>
        </is>
      </c>
      <c r="D115" s="239" t="inlineStr">
        <is>
          <t>шт</t>
        </is>
      </c>
      <c r="E115" s="168" t="n">
        <v>1.25</v>
      </c>
      <c r="F115" s="241" t="n">
        <v>1213.77</v>
      </c>
      <c r="G115" s="32">
        <f>ROUND(E115*F115,2)</f>
        <v/>
      </c>
      <c r="H115" s="174">
        <f>G115/$G$270</f>
        <v/>
      </c>
      <c r="I115" s="32" t="n">
        <v>9758.709999999999</v>
      </c>
      <c r="J115" s="32">
        <f>ROUND(I115*E115,2)</f>
        <v/>
      </c>
    </row>
    <row r="116" hidden="1" outlineLevel="1" ht="14.25" customFormat="1" customHeight="1" s="12">
      <c r="A116" s="239" t="n">
        <v>88</v>
      </c>
      <c r="B116" s="239" t="inlineStr">
        <is>
          <t>14.4.01.01-0003</t>
        </is>
      </c>
      <c r="C116" s="238" t="inlineStr">
        <is>
          <t>Грунтовка ГФ-021</t>
        </is>
      </c>
      <c r="D116" s="239" t="inlineStr">
        <is>
          <t>т</t>
        </is>
      </c>
      <c r="E116" s="168" t="n">
        <v>0.09525625</v>
      </c>
      <c r="F116" s="241" t="n">
        <v>15620</v>
      </c>
      <c r="G116" s="32">
        <f>ROUND(E116*F116,2)</f>
        <v/>
      </c>
      <c r="H116" s="174">
        <f>G116/$G$270</f>
        <v/>
      </c>
      <c r="I116" s="32" t="n">
        <v>125584.8</v>
      </c>
      <c r="J116" s="32">
        <f>ROUND(I116*E116,2)</f>
        <v/>
      </c>
    </row>
    <row r="117" hidden="1" outlineLevel="1" ht="76.5" customFormat="1" customHeight="1" s="12">
      <c r="A117" s="239" t="n">
        <v>89</v>
      </c>
      <c r="B117" s="239" t="inlineStr">
        <is>
          <t>08.4.01.02-0013</t>
        </is>
      </c>
      <c r="C117" s="238" t="inlineStr">
        <is>
      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      </is>
      </c>
      <c r="D117" s="239" t="inlineStr">
        <is>
          <t>т</t>
        </is>
      </c>
      <c r="E117" s="168" t="n">
        <v>0.1875</v>
      </c>
      <c r="F117" s="241" t="n">
        <v>6800</v>
      </c>
      <c r="G117" s="32">
        <f>ROUND(E117*F117,2)</f>
        <v/>
      </c>
      <c r="H117" s="174">
        <f>G117/$G$270</f>
        <v/>
      </c>
      <c r="I117" s="32" t="n">
        <v>54672</v>
      </c>
      <c r="J117" s="32">
        <f>ROUND(I117*E117,2)</f>
        <v/>
      </c>
    </row>
    <row r="118" hidden="1" outlineLevel="1" ht="25.5" customFormat="1" customHeight="1" s="12">
      <c r="A118" s="239" t="n">
        <v>90</v>
      </c>
      <c r="B118" s="239" t="inlineStr">
        <is>
          <t>19.1.01.03-0074</t>
        </is>
      </c>
      <c r="C118" s="238" t="inlineStr">
        <is>
          <t>Воздуховоды из оцинкованной стали, толщина 0,6 мм, диаметр до 450 мм</t>
        </is>
      </c>
      <c r="D118" s="239" t="inlineStr">
        <is>
          <t>м2</t>
        </is>
      </c>
      <c r="E118" s="168" t="n">
        <v>15</v>
      </c>
      <c r="F118" s="241" t="n">
        <v>84.05</v>
      </c>
      <c r="G118" s="32">
        <f>ROUND(E118*F118,2)</f>
        <v/>
      </c>
      <c r="H118" s="174">
        <f>G118/$G$270</f>
        <v/>
      </c>
      <c r="I118" s="32" t="n">
        <v>675.76</v>
      </c>
      <c r="J118" s="32">
        <f>ROUND(I118*E118,2)</f>
        <v/>
      </c>
    </row>
    <row r="119" hidden="1" outlineLevel="1" ht="25.5" customFormat="1" customHeight="1" s="12">
      <c r="A119" s="239" t="n">
        <v>91</v>
      </c>
      <c r="B119" s="239" t="inlineStr">
        <is>
          <t>19.3.01.06-0051</t>
        </is>
      </c>
      <c r="C119" s="238" t="inlineStr">
        <is>
          <t>Клапаны воздушные под ручной или электропривод ВК, размер 150х150 мм</t>
        </is>
      </c>
      <c r="D119" s="239" t="inlineStr">
        <is>
          <t>шт</t>
        </is>
      </c>
      <c r="E119" s="168" t="n">
        <v>5</v>
      </c>
      <c r="F119" s="241" t="n">
        <v>248.09</v>
      </c>
      <c r="G119" s="32">
        <f>ROUND(E119*F119,2)</f>
        <v/>
      </c>
      <c r="H119" s="174">
        <f>G119/$G$270</f>
        <v/>
      </c>
      <c r="I119" s="32" t="n">
        <v>1994.64</v>
      </c>
      <c r="J119" s="32">
        <f>ROUND(I119*E119,2)</f>
        <v/>
      </c>
    </row>
    <row r="120" hidden="1" outlineLevel="1" ht="51" customFormat="1" customHeight="1" s="12">
      <c r="A120" s="239" t="n">
        <v>92</v>
      </c>
      <c r="B120" s="239" t="inlineStr">
        <is>
          <t>18.2.07.01-0005</t>
        </is>
      </c>
      <c r="C120" s="238" t="inlineStr">
        <is>
          <t>Узлы трубопроводов укрупненные монтажные из стальных водогазопроводных оцинкованных труб диаметром 20 мм</t>
        </is>
      </c>
      <c r="D120" s="239" t="inlineStr">
        <is>
          <t>м</t>
        </is>
      </c>
      <c r="E120" s="168" t="n">
        <v>37.5</v>
      </c>
      <c r="F120" s="241" t="n">
        <v>32.75</v>
      </c>
      <c r="G120" s="32">
        <f>ROUND(E120*F120,2)</f>
        <v/>
      </c>
      <c r="H120" s="174">
        <f>G120/$G$270</f>
        <v/>
      </c>
      <c r="I120" s="32" t="n">
        <v>263.31</v>
      </c>
      <c r="J120" s="32">
        <f>ROUND(I120*E120,2)</f>
        <v/>
      </c>
    </row>
    <row r="121" hidden="1" outlineLevel="1" ht="14.25" customFormat="1" customHeight="1" s="12">
      <c r="A121" s="239" t="n">
        <v>93</v>
      </c>
      <c r="B121" s="239" t="inlineStr">
        <is>
          <t>12.2.05.11-0023</t>
        </is>
      </c>
      <c r="C121" s="238" t="inlineStr">
        <is>
          <t>Плиты или маты теплоизоляционные</t>
        </is>
      </c>
      <c r="D121" s="239" t="inlineStr">
        <is>
          <t>м3</t>
        </is>
      </c>
      <c r="E121" s="168" t="n">
        <v>2.25</v>
      </c>
      <c r="F121" s="241" t="n">
        <v>542.4</v>
      </c>
      <c r="G121" s="32">
        <f>ROUND(E121*F121,2)</f>
        <v/>
      </c>
      <c r="H121" s="174">
        <f>G121/$G$270</f>
        <v/>
      </c>
      <c r="I121" s="32" t="n">
        <v>4360.9</v>
      </c>
      <c r="J121" s="32">
        <f>ROUND(I121*E121,2)</f>
        <v/>
      </c>
    </row>
    <row r="122" hidden="1" outlineLevel="1" ht="38.25" customFormat="1" customHeight="1" s="12">
      <c r="A122" s="239" t="n">
        <v>94</v>
      </c>
      <c r="B122" s="239" t="inlineStr">
        <is>
          <t>01.7.07.04-0005</t>
        </is>
      </c>
      <c r="C122" s="238" t="inlineStr">
        <is>
          <t>Дисперсия поливинилацетатная гомополимерная грубодисперсная непластифицированная Д50Н</t>
        </is>
      </c>
      <c r="D122" s="239" t="inlineStr">
        <is>
          <t>кг</t>
        </is>
      </c>
      <c r="E122" s="168" t="n">
        <v>66.7734375</v>
      </c>
      <c r="F122" s="241" t="n">
        <v>16.6</v>
      </c>
      <c r="G122" s="32">
        <f>ROUND(E122*F122,2)</f>
        <v/>
      </c>
      <c r="H122" s="174">
        <f>G122/$G$270</f>
        <v/>
      </c>
      <c r="I122" s="32" t="n">
        <v>133.46</v>
      </c>
      <c r="J122" s="32">
        <f>ROUND(I122*E122,2)</f>
        <v/>
      </c>
    </row>
    <row r="123" hidden="1" outlineLevel="1" ht="51" customFormat="1" customHeight="1" s="12">
      <c r="A123" s="239" t="n">
        <v>95</v>
      </c>
      <c r="B123" s="239" t="inlineStr">
        <is>
          <t>62.1.02.16-0004</t>
        </is>
      </c>
      <c r="C123" s="238" t="inlineStr">
        <is>
          <t>Щитки осветительные групповые, номинальный ток на вводе 50-100 А, на отходящих линиях 10-25 А, степень защиты IP30, размер 210х285х100 мм</t>
        </is>
      </c>
      <c r="D123" s="239" t="inlineStr">
        <is>
          <t>шт</t>
        </is>
      </c>
      <c r="E123" s="168" t="n">
        <v>1.25</v>
      </c>
      <c r="F123" s="241" t="n">
        <v>878.51</v>
      </c>
      <c r="G123" s="32">
        <f>ROUND(E123*F123,2)</f>
        <v/>
      </c>
      <c r="H123" s="174">
        <f>G123/$G$270</f>
        <v/>
      </c>
      <c r="I123" s="32" t="n">
        <v>7063.22</v>
      </c>
      <c r="J123" s="32">
        <f>ROUND(I123*E123,2)</f>
        <v/>
      </c>
    </row>
    <row r="124" hidden="1" outlineLevel="1" ht="25.5" customFormat="1" customHeight="1" s="12">
      <c r="A124" s="239" t="n">
        <v>96</v>
      </c>
      <c r="B124" s="239" t="inlineStr">
        <is>
          <t>Прайс из СД ОП</t>
        </is>
      </c>
      <c r="C124" s="238" t="inlineStr">
        <is>
          <t>Электрический обогреватель Noirot Sport E-Pro N=0,75кВт</t>
        </is>
      </c>
      <c r="D124" s="239" t="inlineStr">
        <is>
          <t>шт</t>
        </is>
      </c>
      <c r="E124" s="168" t="n">
        <v>2.5</v>
      </c>
      <c r="F124" s="241" t="n">
        <v>404.94</v>
      </c>
      <c r="G124" s="32">
        <f>ROUND(E124*F124,2)</f>
        <v/>
      </c>
      <c r="H124" s="174">
        <f>G124/$G$270</f>
        <v/>
      </c>
      <c r="I124" s="32" t="n">
        <v>3255.72</v>
      </c>
      <c r="J124" s="32">
        <f>ROUND(I124*E124,2)</f>
        <v/>
      </c>
    </row>
    <row r="125" hidden="1" outlineLevel="1" ht="25.5" customFormat="1" customHeight="1" s="12">
      <c r="A125" s="239" t="n">
        <v>97</v>
      </c>
      <c r="B125" s="239" t="inlineStr">
        <is>
          <t>06.2.05.03-1000</t>
        </is>
      </c>
      <c r="C125" s="238" t="inlineStr">
        <is>
          <t>Плитка керамогранитная, размер 300х300х8 мм</t>
        </is>
      </c>
      <c r="D125" s="239" t="inlineStr">
        <is>
          <t>м2</t>
        </is>
      </c>
      <c r="E125" s="168" t="n">
        <v>19.125</v>
      </c>
      <c r="F125" s="241" t="n">
        <v>47.83</v>
      </c>
      <c r="G125" s="32">
        <f>ROUND(E125*F125,2)</f>
        <v/>
      </c>
      <c r="H125" s="174">
        <f>G125/$G$270</f>
        <v/>
      </c>
      <c r="I125" s="32" t="n">
        <v>384.55</v>
      </c>
      <c r="J125" s="32">
        <f>ROUND(I125*E125,2)</f>
        <v/>
      </c>
    </row>
    <row r="126" hidden="1" outlineLevel="1" ht="14.25" customFormat="1" customHeight="1" s="12">
      <c r="A126" s="239" t="n">
        <v>98</v>
      </c>
      <c r="B126" s="239" t="inlineStr">
        <is>
          <t>21.1.08.03-0347</t>
        </is>
      </c>
      <c r="C126" s="238" t="inlineStr">
        <is>
          <t>Кабель контрольный КВВГ 4х1,5</t>
        </is>
      </c>
      <c r="D126" s="239" t="inlineStr">
        <is>
          <t>1000 м</t>
        </is>
      </c>
      <c r="E126" s="168" t="n">
        <v>0.108375</v>
      </c>
      <c r="F126" s="241" t="n">
        <v>8308.84</v>
      </c>
      <c r="G126" s="32">
        <f>ROUND(E126*F126,2)</f>
        <v/>
      </c>
      <c r="H126" s="174">
        <f>G126/$G$270</f>
        <v/>
      </c>
      <c r="I126" s="32" t="n">
        <v>66803.07000000001</v>
      </c>
      <c r="J126" s="32">
        <f>ROUND(I126*E126,2)</f>
        <v/>
      </c>
    </row>
    <row r="127" hidden="1" outlineLevel="1" ht="25.5" customFormat="1" customHeight="1" s="12">
      <c r="A127" s="239" t="n">
        <v>99</v>
      </c>
      <c r="B127" s="239" t="inlineStr">
        <is>
          <t>14.4.02.09-0301</t>
        </is>
      </c>
      <c r="C127" s="238" t="inlineStr">
        <is>
          <t>Композиция антикоррозионная цинкнаполненная</t>
        </is>
      </c>
      <c r="D127" s="239" t="inlineStr">
        <is>
          <t>кг</t>
        </is>
      </c>
      <c r="E127" s="168" t="n">
        <v>3.1625</v>
      </c>
      <c r="F127" s="241" t="n">
        <v>238.48</v>
      </c>
      <c r="G127" s="32">
        <f>ROUND(E127*F127,2)</f>
        <v/>
      </c>
      <c r="H127" s="174">
        <f>G127/$G$270</f>
        <v/>
      </c>
      <c r="I127" s="32" t="n">
        <v>1917.38</v>
      </c>
      <c r="J127" s="32">
        <f>ROUND(I127*E127,2)</f>
        <v/>
      </c>
    </row>
    <row r="128" hidden="1" outlineLevel="1" ht="14.25" customFormat="1" customHeight="1" s="12">
      <c r="A128" s="239" t="n">
        <v>100</v>
      </c>
      <c r="B128" s="239" t="inlineStr">
        <is>
          <t>01.3.01.01-0001</t>
        </is>
      </c>
      <c r="C128" s="238" t="inlineStr">
        <is>
          <t>Бензин авиационный Б-70</t>
        </is>
      </c>
      <c r="D128" s="239" t="inlineStr">
        <is>
          <t>т</t>
        </is>
      </c>
      <c r="E128" s="168" t="n">
        <v>0.15</v>
      </c>
      <c r="F128" s="241" t="n">
        <v>4488.4</v>
      </c>
      <c r="G128" s="32">
        <f>ROUND(E128*F128,2)</f>
        <v/>
      </c>
      <c r="H128" s="174">
        <f>G128/$G$270</f>
        <v/>
      </c>
      <c r="I128" s="32" t="n">
        <v>36086.74</v>
      </c>
      <c r="J128" s="32">
        <f>ROUND(I128*E128,2)</f>
        <v/>
      </c>
    </row>
    <row r="129" hidden="1" outlineLevel="1" ht="14.25" customFormat="1" customHeight="1" s="12">
      <c r="A129" s="239" t="n">
        <v>101</v>
      </c>
      <c r="B129" s="239" t="inlineStr">
        <is>
          <t>01.7.11.07-0032</t>
        </is>
      </c>
      <c r="C129" s="238" t="inlineStr">
        <is>
          <t>Электроды сварочные Э42, диаметр 4 мм</t>
        </is>
      </c>
      <c r="D129" s="239" t="inlineStr">
        <is>
          <t>т</t>
        </is>
      </c>
      <c r="E129" s="168" t="n">
        <v>0.06299250000000001</v>
      </c>
      <c r="F129" s="241" t="n">
        <v>10315.01</v>
      </c>
      <c r="G129" s="32">
        <f>ROUND(E129*F129,2)</f>
        <v/>
      </c>
      <c r="H129" s="174">
        <f>G129/$G$270</f>
        <v/>
      </c>
      <c r="I129" s="32" t="n">
        <v>82932.67999999999</v>
      </c>
      <c r="J129" s="32">
        <f>ROUND(I129*E129,2)</f>
        <v/>
      </c>
    </row>
    <row r="130" hidden="1" outlineLevel="1" ht="51" customFormat="1" customHeight="1" s="12">
      <c r="A130" s="239" t="n">
        <v>102</v>
      </c>
      <c r="B130" s="239" t="inlineStr">
        <is>
          <t>20.2.07.06-0009</t>
        </is>
      </c>
      <c r="C130" s="238" t="inlineStr">
        <is>
          <t>Лоток кабельный проволочный, размер 200х50 мм, горячеоцинкованный (прим. Лоток прямой перфорированный ЛМ 200х65ХЛ1, горячеоцинкованный)</t>
        </is>
      </c>
      <c r="D130" s="239" t="inlineStr">
        <is>
          <t>м</t>
        </is>
      </c>
      <c r="E130" s="168" t="n">
        <v>18.75</v>
      </c>
      <c r="F130" s="241" t="n">
        <v>34.53</v>
      </c>
      <c r="G130" s="32">
        <f>ROUND(E130*F130,2)</f>
        <v/>
      </c>
      <c r="H130" s="174">
        <f>G130/$G$270</f>
        <v/>
      </c>
      <c r="I130" s="32" t="n">
        <v>277.62</v>
      </c>
      <c r="J130" s="32">
        <f>ROUND(I130*E130,2)</f>
        <v/>
      </c>
    </row>
    <row r="131" hidden="1" outlineLevel="1" ht="14.25" customFormat="1" customHeight="1" s="12">
      <c r="A131" s="239" t="n">
        <v>103</v>
      </c>
      <c r="B131" s="239" t="inlineStr">
        <is>
          <t>08.3.03.04-0012</t>
        </is>
      </c>
      <c r="C131" s="238" t="inlineStr">
        <is>
          <t>Проволока светлая, диаметр 1,1 мм</t>
        </is>
      </c>
      <c r="D131" s="239" t="inlineStr">
        <is>
          <t>т</t>
        </is>
      </c>
      <c r="E131" s="168" t="n">
        <v>0.061635</v>
      </c>
      <c r="F131" s="241" t="n">
        <v>10200</v>
      </c>
      <c r="G131" s="32">
        <f>ROUND(E131*F131,2)</f>
        <v/>
      </c>
      <c r="H131" s="174">
        <f>G131/$G$270</f>
        <v/>
      </c>
      <c r="I131" s="32" t="n">
        <v>82008</v>
      </c>
      <c r="J131" s="32">
        <f>ROUND(I131*E131,2)</f>
        <v/>
      </c>
    </row>
    <row r="132" hidden="1" outlineLevel="1" ht="14.25" customFormat="1" customHeight="1" s="12">
      <c r="A132" s="239" t="n">
        <v>104</v>
      </c>
      <c r="B132" s="239" t="inlineStr">
        <is>
          <t>14.4.02.09-0302</t>
        </is>
      </c>
      <c r="C132" s="238" t="inlineStr">
        <is>
          <t>Краска БТ-177</t>
        </is>
      </c>
      <c r="D132" s="239" t="inlineStr">
        <is>
          <t>т</t>
        </is>
      </c>
      <c r="E132" s="168" t="n">
        <v>0.029025</v>
      </c>
      <c r="F132" s="241" t="n">
        <v>21205</v>
      </c>
      <c r="G132" s="32">
        <f>ROUND(E132*F132,2)</f>
        <v/>
      </c>
      <c r="H132" s="174">
        <f>G132/$G$270</f>
        <v/>
      </c>
      <c r="I132" s="32" t="n">
        <v>170488.2</v>
      </c>
      <c r="J132" s="32">
        <f>ROUND(I132*E132,2)</f>
        <v/>
      </c>
    </row>
    <row r="133" hidden="1" outlineLevel="1" ht="25.5" customFormat="1" customHeight="1" s="12">
      <c r="A133" s="239" t="n">
        <v>105</v>
      </c>
      <c r="B133" s="239" t="inlineStr">
        <is>
          <t>21.1.06.09-0058</t>
        </is>
      </c>
      <c r="C133" s="238" t="inlineStr">
        <is>
          <t>Кабель силовой с медными жилами ВВГ 3х4-660</t>
        </is>
      </c>
      <c r="D133" s="239" t="inlineStr">
        <is>
          <t>1000 м</t>
        </is>
      </c>
      <c r="E133" s="168" t="n">
        <v>0.082875</v>
      </c>
      <c r="F133" s="241" t="n">
        <v>7189.06</v>
      </c>
      <c r="G133" s="32">
        <f>ROUND(E133*F133,2)</f>
        <v/>
      </c>
      <c r="H133" s="174">
        <f>G133/$G$270</f>
        <v/>
      </c>
      <c r="I133" s="32" t="n">
        <v>57800.04</v>
      </c>
      <c r="J133" s="32">
        <f>ROUND(I133*E133,2)</f>
        <v/>
      </c>
    </row>
    <row r="134" hidden="1" outlineLevel="1" ht="14.25" customFormat="1" customHeight="1" s="12">
      <c r="A134" s="239" t="n">
        <v>106</v>
      </c>
      <c r="B134" s="239" t="inlineStr">
        <is>
          <t>14.4.02.04-0143</t>
        </is>
      </c>
      <c r="C134" s="238" t="inlineStr">
        <is>
          <t>Краска масляная земляная МА-0115, охра</t>
        </is>
      </c>
      <c r="D134" s="239" t="inlineStr">
        <is>
          <t>т</t>
        </is>
      </c>
      <c r="E134" s="168" t="n">
        <v>0.03815625</v>
      </c>
      <c r="F134" s="241" t="n">
        <v>15584</v>
      </c>
      <c r="G134" s="32">
        <f>ROUND(E134*F134,2)</f>
        <v/>
      </c>
      <c r="H134" s="174">
        <f>G134/$G$270</f>
        <v/>
      </c>
      <c r="I134" s="32" t="n">
        <v>125295.36</v>
      </c>
      <c r="J134" s="32">
        <f>ROUND(I134*E134,2)</f>
        <v/>
      </c>
    </row>
    <row r="135" hidden="1" outlineLevel="1" ht="25.5" customFormat="1" customHeight="1" s="12">
      <c r="A135" s="239" t="n">
        <v>107</v>
      </c>
      <c r="B135" s="239" t="inlineStr">
        <is>
          <t>19.1.04.01-0032</t>
        </is>
      </c>
      <c r="C135" s="238" t="inlineStr">
        <is>
          <t>Дефлекторы вытяжные цилиндрические, тип ЦАГИ № 4, диаметр патрубка 400 мм</t>
        </is>
      </c>
      <c r="D135" s="239" t="inlineStr">
        <is>
          <t>шт</t>
        </is>
      </c>
      <c r="E135" s="168" t="n">
        <v>2.5</v>
      </c>
      <c r="F135" s="241" t="n">
        <v>210.2</v>
      </c>
      <c r="G135" s="32">
        <f>ROUND(E135*F135,2)</f>
        <v/>
      </c>
      <c r="H135" s="174">
        <f>G135/$G$270</f>
        <v/>
      </c>
      <c r="I135" s="32" t="n">
        <v>1690.01</v>
      </c>
      <c r="J135" s="32">
        <f>ROUND(I135*E135,2)</f>
        <v/>
      </c>
    </row>
    <row r="136" hidden="1" outlineLevel="1" ht="51" customFormat="1" customHeight="1" s="12">
      <c r="A136" s="239" t="n">
        <v>108</v>
      </c>
      <c r="B136" s="239" t="inlineStr">
        <is>
          <t>07.2.06.03-0195</t>
        </is>
      </c>
      <c r="C136" s="238" t="inlineStr">
        <is>
          <t>Профиль стоечный, стальной, оцинкованный, для монтажа гипсовых перегородок, длина 3 м, сечение 50х50х0,6 мм</t>
        </is>
      </c>
      <c r="D136" s="239" t="inlineStr">
        <is>
          <t>м</t>
        </is>
      </c>
      <c r="E136" s="168" t="n">
        <v>75.72499999999999</v>
      </c>
      <c r="F136" s="241" t="n">
        <v>6.86</v>
      </c>
      <c r="G136" s="32">
        <f>ROUND(E136*F136,2)</f>
        <v/>
      </c>
      <c r="H136" s="174">
        <f>G136/$G$270</f>
        <v/>
      </c>
      <c r="I136" s="32" t="n">
        <v>55.15</v>
      </c>
      <c r="J136" s="32">
        <f>ROUND(I136*E136,2)</f>
        <v/>
      </c>
    </row>
    <row r="137" hidden="1" outlineLevel="1" ht="25.5" customFormat="1" customHeight="1" s="12">
      <c r="A137" s="239" t="n">
        <v>109</v>
      </c>
      <c r="B137" s="239" t="inlineStr">
        <is>
          <t>20.4.01.01-0031</t>
        </is>
      </c>
      <c r="C137" s="238" t="inlineStr">
        <is>
          <t>Выключатель одноклавишный для открытой проводки</t>
        </is>
      </c>
      <c r="D137" s="239" t="inlineStr">
        <is>
          <t>10 шт</t>
        </is>
      </c>
      <c r="E137" s="168" t="n">
        <v>7.5</v>
      </c>
      <c r="F137" s="241" t="n">
        <v>68</v>
      </c>
      <c r="G137" s="32">
        <f>ROUND(E137*F137,2)</f>
        <v/>
      </c>
      <c r="H137" s="174">
        <f>G137/$G$270</f>
        <v/>
      </c>
      <c r="I137" s="32" t="n">
        <v>546.72</v>
      </c>
      <c r="J137" s="32">
        <f>ROUND(I137*E137,2)</f>
        <v/>
      </c>
    </row>
    <row r="138" hidden="1" outlineLevel="1" ht="14.25" customFormat="1" customHeight="1" s="12">
      <c r="A138" s="239" t="n">
        <v>110</v>
      </c>
      <c r="B138" s="239" t="inlineStr">
        <is>
          <t>Прайс из СД ОП</t>
        </is>
      </c>
      <c r="C138" s="238" t="inlineStr">
        <is>
          <t>Электропиводом Belimo LM 230-S</t>
        </is>
      </c>
      <c r="D138" s="239" t="inlineStr">
        <is>
          <t>шт</t>
        </is>
      </c>
      <c r="E138" s="168" t="n">
        <v>2.5</v>
      </c>
      <c r="F138" s="241" t="n">
        <v>200.93</v>
      </c>
      <c r="G138" s="32">
        <f>ROUND(E138*F138,2)</f>
        <v/>
      </c>
      <c r="H138" s="174">
        <f>G138/$G$270</f>
        <v/>
      </c>
      <c r="I138" s="32" t="n">
        <v>1615.48</v>
      </c>
      <c r="J138" s="32">
        <f>ROUND(I138*E138,2)</f>
        <v/>
      </c>
    </row>
    <row r="139" hidden="1" outlineLevel="1" ht="25.5" customFormat="1" customHeight="1" s="12">
      <c r="A139" s="239" t="n">
        <v>111</v>
      </c>
      <c r="B139" s="239" t="inlineStr">
        <is>
          <t>21.1.06.09-0061</t>
        </is>
      </c>
      <c r="C139" s="238" t="inlineStr">
        <is>
          <t>Кабель силовой с медными жилами ВВГ 3х10-660</t>
        </is>
      </c>
      <c r="D139" s="239" t="inlineStr">
        <is>
          <t>1000 м</t>
        </is>
      </c>
      <c r="E139" s="168" t="n">
        <v>0.031875</v>
      </c>
      <c r="F139" s="241" t="n">
        <v>14966.85</v>
      </c>
      <c r="G139" s="32">
        <f>ROUND(E139*F139,2)</f>
        <v/>
      </c>
      <c r="H139" s="174">
        <f>G139/$G$270</f>
        <v/>
      </c>
      <c r="I139" s="32" t="n">
        <v>120333.47</v>
      </c>
      <c r="J139" s="32">
        <f>ROUND(I139*E139,2)</f>
        <v/>
      </c>
    </row>
    <row r="140" hidden="1" outlineLevel="1" ht="14.25" customFormat="1" customHeight="1" s="12">
      <c r="A140" s="239" t="n">
        <v>112</v>
      </c>
      <c r="B140" s="239" t="inlineStr">
        <is>
          <t>01.7.07.12-0024</t>
        </is>
      </c>
      <c r="C140" s="238" t="inlineStr">
        <is>
          <t>Пленка полиэтиленовая, толщина 0,15 мм</t>
        </is>
      </c>
      <c r="D140" s="239" t="inlineStr">
        <is>
          <t>м2</t>
        </is>
      </c>
      <c r="E140" s="168" t="n">
        <v>131.0375</v>
      </c>
      <c r="F140" s="241" t="n">
        <v>3.62</v>
      </c>
      <c r="G140" s="32">
        <f>ROUND(E140*F140,2)</f>
        <v/>
      </c>
      <c r="H140" s="174">
        <f>G140/$G$270</f>
        <v/>
      </c>
      <c r="I140" s="32" t="n">
        <v>29.1</v>
      </c>
      <c r="J140" s="32">
        <f>ROUND(I140*E140,2)</f>
        <v/>
      </c>
    </row>
    <row r="141" hidden="1" outlineLevel="1" ht="25.5" customFormat="1" customHeight="1" s="12">
      <c r="A141" s="239" t="n">
        <v>113</v>
      </c>
      <c r="B141" s="239" t="inlineStr">
        <is>
          <t>01.7.11.07-0034</t>
        </is>
      </c>
      <c r="C141" s="238" t="inlineStr">
        <is>
          <t>Электроды сварочные Э42А, диаметр 4 мм</t>
        </is>
      </c>
      <c r="D141" s="239" t="inlineStr">
        <is>
          <t>кг</t>
        </is>
      </c>
      <c r="E141" s="168" t="n">
        <v>44.4541</v>
      </c>
      <c r="F141" s="241" t="n">
        <v>10.57</v>
      </c>
      <c r="G141" s="32">
        <f>ROUND(E141*F141,2)</f>
        <v/>
      </c>
      <c r="H141" s="174">
        <f>G141/$G$270</f>
        <v/>
      </c>
      <c r="I141" s="32" t="n">
        <v>84.98</v>
      </c>
      <c r="J141" s="32">
        <f>ROUND(I141*E141,2)</f>
        <v/>
      </c>
    </row>
    <row r="142" hidden="1" outlineLevel="1" ht="25.5" customFormat="1" customHeight="1" s="12">
      <c r="A142" s="239" t="n">
        <v>114</v>
      </c>
      <c r="B142" s="239" t="inlineStr">
        <is>
          <t>08.3.04.02-0092</t>
        </is>
      </c>
      <c r="C142" s="238" t="inlineStr">
        <is>
          <t>Круг стальной горячекатаный, марка стали ВСт3пс5-1, диаметр 10 мм</t>
        </is>
      </c>
      <c r="D142" s="239" t="inlineStr">
        <is>
          <t>т</t>
        </is>
      </c>
      <c r="E142" s="168" t="n">
        <v>0.08400000000000001</v>
      </c>
      <c r="F142" s="241" t="n">
        <v>5230.01</v>
      </c>
      <c r="G142" s="32">
        <f>ROUND(E142*F142,2)</f>
        <v/>
      </c>
      <c r="H142" s="174">
        <f>G142/$G$270</f>
        <v/>
      </c>
      <c r="I142" s="32" t="n">
        <v>42049.28</v>
      </c>
      <c r="J142" s="32">
        <f>ROUND(I142*E142,2)</f>
        <v/>
      </c>
    </row>
    <row r="143" hidden="1" outlineLevel="1" ht="25.5" customFormat="1" customHeight="1" s="12">
      <c r="A143" s="239" t="n">
        <v>115</v>
      </c>
      <c r="B143" s="239" t="inlineStr">
        <is>
          <t>14.2.01.05-0001</t>
        </is>
      </c>
      <c r="C143" s="238" t="inlineStr">
        <is>
          <t>Композиция на основе термопластичных полимеров</t>
        </is>
      </c>
      <c r="D143" s="239" t="inlineStr">
        <is>
          <t>кг</t>
        </is>
      </c>
      <c r="E143" s="168" t="n">
        <v>7.84875</v>
      </c>
      <c r="F143" s="241" t="n">
        <v>54.99</v>
      </c>
      <c r="G143" s="32">
        <f>ROUND(E143*F143,2)</f>
        <v/>
      </c>
      <c r="H143" s="174">
        <f>G143/$G$270</f>
        <v/>
      </c>
      <c r="I143" s="32" t="n">
        <v>442.12</v>
      </c>
      <c r="J143" s="32">
        <f>ROUND(I143*E143,2)</f>
        <v/>
      </c>
    </row>
    <row r="144" hidden="1" outlineLevel="1" ht="25.5" customFormat="1" customHeight="1" s="12">
      <c r="A144" s="239" t="n">
        <v>116</v>
      </c>
      <c r="B144" s="239" t="inlineStr">
        <is>
          <t>21.1.06.09-0071</t>
        </is>
      </c>
      <c r="C144" s="238" t="inlineStr">
        <is>
          <t>Кабель силовой с медными жилами ВВГ 4х10-660</t>
        </is>
      </c>
      <c r="D144" s="239" t="inlineStr">
        <is>
          <t>1000 м</t>
        </is>
      </c>
      <c r="E144" s="168" t="n">
        <v>0.019125</v>
      </c>
      <c r="F144" s="241" t="n">
        <v>20780.7</v>
      </c>
      <c r="G144" s="32">
        <f>ROUND(E144*F144,2)</f>
        <v/>
      </c>
      <c r="H144" s="174">
        <f>G144/$G$270</f>
        <v/>
      </c>
      <c r="I144" s="32" t="n">
        <v>167076.83</v>
      </c>
      <c r="J144" s="32">
        <f>ROUND(I144*E144,2)</f>
        <v/>
      </c>
    </row>
    <row r="145" hidden="1" outlineLevel="1" ht="14.25" customFormat="1" customHeight="1" s="12">
      <c r="A145" s="239" t="n">
        <v>117</v>
      </c>
      <c r="B145" s="239" t="inlineStr">
        <is>
          <t>20.2.08.07-0033</t>
        </is>
      </c>
      <c r="C145" s="238" t="inlineStr">
        <is>
          <t>Скоба У1078</t>
        </is>
      </c>
      <c r="D145" s="239" t="inlineStr">
        <is>
          <t>100 шт</t>
        </is>
      </c>
      <c r="E145" s="168" t="n">
        <v>0.64075</v>
      </c>
      <c r="F145" s="241" t="n">
        <v>617</v>
      </c>
      <c r="G145" s="32">
        <f>ROUND(E145*F145,2)</f>
        <v/>
      </c>
      <c r="H145" s="174">
        <f>G145/$G$270</f>
        <v/>
      </c>
      <c r="I145" s="32" t="n">
        <v>4960.68</v>
      </c>
      <c r="J145" s="32">
        <f>ROUND(I145*E145,2)</f>
        <v/>
      </c>
    </row>
    <row r="146" hidden="1" outlineLevel="1" ht="25.5" customFormat="1" customHeight="1" s="12">
      <c r="A146" s="239" t="n">
        <v>118</v>
      </c>
      <c r="B146" s="239" t="inlineStr">
        <is>
          <t>21.1.06.09-0074</t>
        </is>
      </c>
      <c r="C146" s="238" t="inlineStr">
        <is>
          <t>Кабель силовой с медными жилами ВВГ 5х2,5-660</t>
        </is>
      </c>
      <c r="D146" s="239" t="inlineStr">
        <is>
          <t>1000 м</t>
        </is>
      </c>
      <c r="E146" s="168" t="n">
        <v>0.044625</v>
      </c>
      <c r="F146" s="241" t="n">
        <v>8697.610000000001</v>
      </c>
      <c r="G146" s="32">
        <f>ROUND(E146*F146,2)</f>
        <v/>
      </c>
      <c r="H146" s="174">
        <f>G146/$G$270</f>
        <v/>
      </c>
      <c r="I146" s="32" t="n">
        <v>69928.78</v>
      </c>
      <c r="J146" s="32">
        <f>ROUND(I146*E146,2)</f>
        <v/>
      </c>
    </row>
    <row r="147" hidden="1" outlineLevel="1" ht="38.25" customFormat="1" customHeight="1" s="12">
      <c r="A147" s="239" t="n">
        <v>119</v>
      </c>
      <c r="B147" s="239" t="inlineStr">
        <is>
          <t>11.1.03.05-0081</t>
        </is>
      </c>
      <c r="C147" s="238" t="inlineStr">
        <is>
          <t>Доска необрезная, хвойных пород, длина 4-6,5 м, все ширины, толщина 32-40 мм, сорт III</t>
        </is>
      </c>
      <c r="D147" s="239" t="inlineStr">
        <is>
          <t>м3</t>
        </is>
      </c>
      <c r="E147" s="168" t="n">
        <v>0.45</v>
      </c>
      <c r="F147" s="241" t="n">
        <v>832.7</v>
      </c>
      <c r="G147" s="32">
        <f>ROUND(E147*F147,2)</f>
        <v/>
      </c>
      <c r="H147" s="174">
        <f>G147/$G$270</f>
        <v/>
      </c>
      <c r="I147" s="32" t="n">
        <v>6694.91</v>
      </c>
      <c r="J147" s="32">
        <f>ROUND(I147*E147,2)</f>
        <v/>
      </c>
    </row>
    <row r="148" hidden="1" outlineLevel="1" ht="14.25" customFormat="1" customHeight="1" s="12">
      <c r="A148" s="239" t="n">
        <v>120</v>
      </c>
      <c r="B148" s="239" t="inlineStr">
        <is>
          <t>08.3.11.01-0091</t>
        </is>
      </c>
      <c r="C148" s="238" t="inlineStr">
        <is>
          <t>Швеллеры № 40, марка стали Ст0</t>
        </is>
      </c>
      <c r="D148" s="239" t="inlineStr">
        <is>
          <t>т</t>
        </is>
      </c>
      <c r="E148" s="168" t="n">
        <v>0.074605</v>
      </c>
      <c r="F148" s="241" t="n">
        <v>4920</v>
      </c>
      <c r="G148" s="32">
        <f>ROUND(E148*F148,2)</f>
        <v/>
      </c>
      <c r="H148" s="174">
        <f>G148/$G$270</f>
        <v/>
      </c>
      <c r="I148" s="32" t="n">
        <v>39556.8</v>
      </c>
      <c r="J148" s="32">
        <f>ROUND(I148*E148,2)</f>
        <v/>
      </c>
    </row>
    <row r="149" hidden="1" outlineLevel="1" ht="38.25" customFormat="1" customHeight="1" s="12">
      <c r="A149" s="239" t="n">
        <v>121</v>
      </c>
      <c r="B149" s="239" t="inlineStr">
        <is>
          <t>62.1.02.22-0111</t>
        </is>
      </c>
      <c r="C149" s="238" t="inlineStr">
        <is>
          <t>Ящики распределительные постоянного тока, тип ЯРВ-100 А, с трехполюсными рубильниками и предохранителями</t>
        </is>
      </c>
      <c r="D149" s="239" t="inlineStr">
        <is>
          <t>шт</t>
        </is>
      </c>
      <c r="E149" s="168" t="n">
        <v>1.25</v>
      </c>
      <c r="F149" s="241" t="n">
        <v>280.92</v>
      </c>
      <c r="G149" s="32">
        <f>ROUND(E149*F149,2)</f>
        <v/>
      </c>
      <c r="H149" s="174">
        <f>G149/$G$270</f>
        <v/>
      </c>
      <c r="I149" s="32" t="n">
        <v>2258.6</v>
      </c>
      <c r="J149" s="32">
        <f>ROUND(I149*E149,2)</f>
        <v/>
      </c>
    </row>
    <row r="150" hidden="1" outlineLevel="1" ht="25.5" customFormat="1" customHeight="1" s="12">
      <c r="A150" s="239" t="n">
        <v>122</v>
      </c>
      <c r="B150" s="239" t="inlineStr">
        <is>
          <t>08.4.03.02-0002</t>
        </is>
      </c>
      <c r="C150" s="238" t="inlineStr">
        <is>
          <t>Сталь арматурная, горячекатаная, гладкая, класс А-I, диаметр 8 мм</t>
        </is>
      </c>
      <c r="D150" s="239" t="inlineStr">
        <is>
          <t>т</t>
        </is>
      </c>
      <c r="E150" s="168" t="n">
        <v>0.05</v>
      </c>
      <c r="F150" s="241" t="n">
        <v>6780</v>
      </c>
      <c r="G150" s="32">
        <f>ROUND(E150*F150,2)</f>
        <v/>
      </c>
      <c r="H150" s="174">
        <f>G150/$G$270</f>
        <v/>
      </c>
      <c r="I150" s="32" t="n">
        <v>54511.2</v>
      </c>
      <c r="J150" s="32">
        <f>ROUND(I150*E150,2)</f>
        <v/>
      </c>
    </row>
    <row r="151" hidden="1" outlineLevel="1" ht="51" customFormat="1" customHeight="1" s="12">
      <c r="A151" s="239" t="n">
        <v>123</v>
      </c>
      <c r="B151" s="239" t="inlineStr">
        <is>
          <t>20.3.03.03-0036</t>
        </is>
      </c>
      <c r="C151" s="238" t="inlineStr">
        <is>
          <t>Светильники с лампами накаливания, потолочно-настенные, с металлическим основанием, с молочным рассеивателем, мощность лампы 60 Вт, НПО22-100</t>
        </is>
      </c>
      <c r="D151" s="239" t="inlineStr">
        <is>
          <t>шт</t>
        </is>
      </c>
      <c r="E151" s="168" t="n">
        <v>15</v>
      </c>
      <c r="F151" s="241" t="n">
        <v>20.83</v>
      </c>
      <c r="G151" s="32">
        <f>ROUND(E151*F151,2)</f>
        <v/>
      </c>
      <c r="H151" s="174">
        <f>G151/$G$270</f>
        <v/>
      </c>
      <c r="I151" s="32" t="n">
        <v>167.47</v>
      </c>
      <c r="J151" s="32">
        <f>ROUND(I151*E151,2)</f>
        <v/>
      </c>
    </row>
    <row r="152" hidden="1" outlineLevel="1" ht="25.5" customFormat="1" customHeight="1" s="12">
      <c r="A152" s="239" t="n">
        <v>124</v>
      </c>
      <c r="B152" s="239" t="inlineStr">
        <is>
          <t>01.2.01.02-0021</t>
        </is>
      </c>
      <c r="C152" s="238" t="inlineStr">
        <is>
          <t>Битумы нефтяные модифицированные для кровельных мастик БНМ-55/60</t>
        </is>
      </c>
      <c r="D152" s="239" t="inlineStr">
        <is>
          <t>т</t>
        </is>
      </c>
      <c r="E152" s="168" t="n">
        <v>0.195</v>
      </c>
      <c r="F152" s="241" t="n">
        <v>1596</v>
      </c>
      <c r="G152" s="32">
        <f>ROUND(E152*F152,2)</f>
        <v/>
      </c>
      <c r="H152" s="174">
        <f>G152/$G$270</f>
        <v/>
      </c>
      <c r="I152" s="32" t="n">
        <v>12831.84</v>
      </c>
      <c r="J152" s="32">
        <f>ROUND(I152*E152,2)</f>
        <v/>
      </c>
    </row>
    <row r="153" hidden="1" outlineLevel="1" ht="14.25" customFormat="1" customHeight="1" s="12">
      <c r="A153" s="239" t="n">
        <v>125</v>
      </c>
      <c r="B153" s="239" t="inlineStr">
        <is>
          <t>20.2.03.23-0004</t>
        </is>
      </c>
      <c r="C153" s="238" t="inlineStr">
        <is>
          <t>Стойка кабельная К-1153</t>
        </is>
      </c>
      <c r="D153" s="239" t="inlineStr">
        <is>
          <t>1000 шт</t>
        </is>
      </c>
      <c r="E153" s="168" t="n">
        <v>0.0125</v>
      </c>
      <c r="F153" s="241" t="n">
        <v>24628.79</v>
      </c>
      <c r="G153" s="32">
        <f>ROUND(E153*F153,2)</f>
        <v/>
      </c>
      <c r="H153" s="174">
        <f>G153/$G$270</f>
        <v/>
      </c>
      <c r="I153" s="32" t="n">
        <v>198015.47</v>
      </c>
      <c r="J153" s="32">
        <f>ROUND(I153*E153,2)</f>
        <v/>
      </c>
    </row>
    <row r="154" hidden="1" outlineLevel="1" ht="14.25" customFormat="1" customHeight="1" s="12">
      <c r="A154" s="239" t="n">
        <v>126</v>
      </c>
      <c r="B154" s="239" t="inlineStr">
        <is>
          <t>01.7.11.07-0054</t>
        </is>
      </c>
      <c r="C154" s="238" t="inlineStr">
        <is>
          <t>Электроды сварочные Э42, диаметр 6 мм</t>
        </is>
      </c>
      <c r="D154" s="239" t="inlineStr">
        <is>
          <t>т</t>
        </is>
      </c>
      <c r="E154" s="168" t="n">
        <v>0.03174</v>
      </c>
      <c r="F154" s="241" t="n">
        <v>9424</v>
      </c>
      <c r="G154" s="32">
        <f>ROUND(E154*F154,2)</f>
        <v/>
      </c>
      <c r="H154" s="174">
        <f>G154/$G$270</f>
        <v/>
      </c>
      <c r="I154" s="32" t="n">
        <v>75768.96000000001</v>
      </c>
      <c r="J154" s="32">
        <f>ROUND(I154*E154,2)</f>
        <v/>
      </c>
    </row>
    <row r="155" hidden="1" outlineLevel="1" ht="25.5" customFormat="1" customHeight="1" s="12">
      <c r="A155" s="239" t="n">
        <v>127</v>
      </c>
      <c r="B155" s="239" t="inlineStr">
        <is>
          <t>21.1.06.09-0049</t>
        </is>
      </c>
      <c r="C155" s="238" t="inlineStr">
        <is>
          <t>Кабель силовой с медными жилами ВВГ 2х4-660</t>
        </is>
      </c>
      <c r="D155" s="239" t="inlineStr">
        <is>
          <t>1000 м</t>
        </is>
      </c>
      <c r="E155" s="168" t="n">
        <v>0.057375</v>
      </c>
      <c r="F155" s="241" t="n">
        <v>5192.35</v>
      </c>
      <c r="G155" s="32">
        <f>ROUND(E155*F155,2)</f>
        <v/>
      </c>
      <c r="H155" s="174">
        <f>G155/$G$270</f>
        <v/>
      </c>
      <c r="I155" s="32" t="n">
        <v>41746.49</v>
      </c>
      <c r="J155" s="32">
        <f>ROUND(I155*E155,2)</f>
        <v/>
      </c>
    </row>
    <row r="156" hidden="1" outlineLevel="1" ht="25.5" customFormat="1" customHeight="1" s="12">
      <c r="A156" s="239" t="n">
        <v>128</v>
      </c>
      <c r="B156" s="239" t="inlineStr">
        <is>
          <t>20.2.03.13-0008</t>
        </is>
      </c>
      <c r="C156" s="238" t="inlineStr">
        <is>
          <t>Полка кабельная К-1163ц из оцинкованной стали</t>
        </is>
      </c>
      <c r="D156" s="239" t="inlineStr">
        <is>
          <t>1000 шт</t>
        </is>
      </c>
      <c r="E156" s="168" t="n">
        <v>0.025</v>
      </c>
      <c r="F156" s="241" t="n">
        <v>11607.15</v>
      </c>
      <c r="G156" s="32">
        <f>ROUND(E156*F156,2)</f>
        <v/>
      </c>
      <c r="H156" s="174">
        <f>G156/$G$270</f>
        <v/>
      </c>
      <c r="I156" s="32" t="n">
        <v>93321.49000000001</v>
      </c>
      <c r="J156" s="32">
        <f>ROUND(I156*E156,2)</f>
        <v/>
      </c>
    </row>
    <row r="157" hidden="1" outlineLevel="1" ht="25.5" customFormat="1" customHeight="1" s="12">
      <c r="A157" s="239" t="n">
        <v>129</v>
      </c>
      <c r="B157" s="239" t="inlineStr">
        <is>
          <t>21.1.06.09-0051</t>
        </is>
      </c>
      <c r="C157" s="238" t="inlineStr">
        <is>
          <t>Кабель силовой с медными жилами ВВГ 2х10-660</t>
        </is>
      </c>
      <c r="D157" s="239" t="inlineStr">
        <is>
          <t>1000 м</t>
        </is>
      </c>
      <c r="E157" s="168" t="n">
        <v>0.0255</v>
      </c>
      <c r="F157" s="241" t="n">
        <v>11275.14</v>
      </c>
      <c r="G157" s="32">
        <f>ROUND(E157*F157,2)</f>
        <v/>
      </c>
      <c r="H157" s="174">
        <f>G157/$G$270</f>
        <v/>
      </c>
      <c r="I157" s="32" t="n">
        <v>90652.13</v>
      </c>
      <c r="J157" s="32">
        <f>ROUND(I157*E157,2)</f>
        <v/>
      </c>
    </row>
    <row r="158" hidden="1" outlineLevel="1" ht="25.5" customFormat="1" customHeight="1" s="12">
      <c r="A158" s="239" t="n">
        <v>130</v>
      </c>
      <c r="B158" s="239" t="inlineStr">
        <is>
          <t>01.7.04.04-0011</t>
        </is>
      </c>
      <c r="C158" s="238" t="inlineStr">
        <is>
          <t>Замок врезной, типа ЗВ4, с цилиндровым механизмом</t>
        </is>
      </c>
      <c r="D158" s="239" t="inlineStr">
        <is>
          <t>компл</t>
        </is>
      </c>
      <c r="E158" s="168" t="n">
        <v>3.75</v>
      </c>
      <c r="F158" s="241" t="n">
        <v>75.7</v>
      </c>
      <c r="G158" s="32">
        <f>ROUND(E158*F158,2)</f>
        <v/>
      </c>
      <c r="H158" s="174">
        <f>G158/$G$270</f>
        <v/>
      </c>
      <c r="I158" s="32" t="n">
        <v>608.63</v>
      </c>
      <c r="J158" s="32">
        <f>ROUND(I158*E158,2)</f>
        <v/>
      </c>
    </row>
    <row r="159" hidden="1" outlineLevel="1" ht="25.5" customFormat="1" customHeight="1" s="12">
      <c r="A159" s="239" t="n">
        <v>131</v>
      </c>
      <c r="B159" s="239" t="inlineStr">
        <is>
          <t>19.1.01.03-0075</t>
        </is>
      </c>
      <c r="C159" s="238" t="inlineStr">
        <is>
          <t>Воздуховоды из оцинкованной стали, толщина 0,7 мм, диаметр до 800 мм</t>
        </is>
      </c>
      <c r="D159" s="239" t="inlineStr">
        <is>
          <t>м2</t>
        </is>
      </c>
      <c r="E159" s="168" t="n">
        <v>3.15</v>
      </c>
      <c r="F159" s="241" t="n">
        <v>84.25</v>
      </c>
      <c r="G159" s="32">
        <f>ROUND(E159*F159,2)</f>
        <v/>
      </c>
      <c r="H159" s="174">
        <f>G159/$G$270</f>
        <v/>
      </c>
      <c r="I159" s="32" t="n">
        <v>677.37</v>
      </c>
      <c r="J159" s="32">
        <f>ROUND(I159*E159,2)</f>
        <v/>
      </c>
    </row>
    <row r="160" hidden="1" outlineLevel="1" ht="14.25" customFormat="1" customHeight="1" s="12">
      <c r="A160" s="239" t="n">
        <v>132</v>
      </c>
      <c r="B160" s="239" t="inlineStr">
        <is>
          <t>01.3.02.09-0022</t>
        </is>
      </c>
      <c r="C160" s="238" t="inlineStr">
        <is>
          <t>Пропан-бутан смесь техническая</t>
        </is>
      </c>
      <c r="D160" s="239" t="inlineStr">
        <is>
          <t>кг</t>
        </is>
      </c>
      <c r="E160" s="168" t="n">
        <v>42.7393125</v>
      </c>
      <c r="F160" s="241" t="n">
        <v>6.09</v>
      </c>
      <c r="G160" s="32">
        <f>ROUND(E160*F160,2)</f>
        <v/>
      </c>
      <c r="H160" s="174">
        <f>G160/$G$270</f>
        <v/>
      </c>
      <c r="I160" s="32" t="n">
        <v>48.96</v>
      </c>
      <c r="J160" s="32">
        <f>ROUND(I160*E160,2)</f>
        <v/>
      </c>
    </row>
    <row r="161" hidden="1" outlineLevel="1" ht="25.5" customFormat="1" customHeight="1" s="12">
      <c r="A161" s="239" t="n">
        <v>133</v>
      </c>
      <c r="B161" s="239" t="inlineStr">
        <is>
          <t>04.3.01.07-0012</t>
        </is>
      </c>
      <c r="C161" s="238" t="inlineStr">
        <is>
          <t>Раствор готовый отделочный тяжелый, известковый, состав 1:2,5</t>
        </is>
      </c>
      <c r="D161" s="239" t="inlineStr">
        <is>
          <t>м3</t>
        </is>
      </c>
      <c r="E161" s="168" t="n">
        <v>0.4795</v>
      </c>
      <c r="F161" s="241" t="n">
        <v>510.4</v>
      </c>
      <c r="G161" s="32">
        <f>ROUND(E161*F161,2)</f>
        <v/>
      </c>
      <c r="H161" s="174">
        <f>G161/$G$270</f>
        <v/>
      </c>
      <c r="I161" s="32" t="n">
        <v>4103.62</v>
      </c>
      <c r="J161" s="32">
        <f>ROUND(I161*E161,2)</f>
        <v/>
      </c>
    </row>
    <row r="162" hidden="1" outlineLevel="1" ht="14.25" customFormat="1" customHeight="1" s="12">
      <c r="A162" s="239" t="n">
        <v>134</v>
      </c>
      <c r="B162" s="239" t="inlineStr">
        <is>
          <t>08.1.02.11-0013</t>
        </is>
      </c>
      <c r="C162" s="238" t="inlineStr">
        <is>
          <t>Поковки оцинкованные, масса 2,825 кг</t>
        </is>
      </c>
      <c r="D162" s="239" t="inlineStr">
        <is>
          <t>т</t>
        </is>
      </c>
      <c r="E162" s="168" t="n">
        <v>0.02926</v>
      </c>
      <c r="F162" s="241" t="n">
        <v>7977</v>
      </c>
      <c r="G162" s="32">
        <f>ROUND(E162*F162,2)</f>
        <v/>
      </c>
      <c r="H162" s="174">
        <f>G162/$G$270</f>
        <v/>
      </c>
      <c r="I162" s="32" t="n">
        <v>64135.08</v>
      </c>
      <c r="J162" s="32">
        <f>ROUND(I162*E162,2)</f>
        <v/>
      </c>
    </row>
    <row r="163" hidden="1" outlineLevel="1" ht="25.5" customFormat="1" customHeight="1" s="12">
      <c r="A163" s="239" t="n">
        <v>135</v>
      </c>
      <c r="B163" s="239" t="inlineStr">
        <is>
          <t>20.4.01.01-0032</t>
        </is>
      </c>
      <c r="C163" s="238" t="inlineStr">
        <is>
          <t>Выключатель одноклавишный для открытой проводки брызгозащищенный</t>
        </is>
      </c>
      <c r="D163" s="239" t="inlineStr">
        <is>
          <t>10 шт</t>
        </is>
      </c>
      <c r="E163" s="168" t="n">
        <v>2.5</v>
      </c>
      <c r="F163" s="241" t="n">
        <v>93.09999999999999</v>
      </c>
      <c r="G163" s="32">
        <f>ROUND(E163*F163,2)</f>
        <v/>
      </c>
      <c r="H163" s="174">
        <f>G163/$G$270</f>
        <v/>
      </c>
      <c r="I163" s="32" t="n">
        <v>748.52</v>
      </c>
      <c r="J163" s="32">
        <f>ROUND(I163*E163,2)</f>
        <v/>
      </c>
    </row>
    <row r="164" hidden="1" outlineLevel="1" ht="51" customFormat="1" customHeight="1" s="12">
      <c r="A164" s="239" t="n">
        <v>136</v>
      </c>
      <c r="B164" s="239" t="inlineStr">
        <is>
          <t>14.5.11.03-0003</t>
        </is>
      </c>
      <c r="C164" s="238" t="inlineStr">
        <is>
          <t>Смесь сухая шпатлевочная на основе гипса с полимерными добавками, крупность заполнителя не более 0,2 мм, прочность на изгиб не более 1,0 МПа</t>
        </is>
      </c>
      <c r="D164" s="239" t="inlineStr">
        <is>
          <t>кг</t>
        </is>
      </c>
      <c r="E164" s="168" t="n">
        <v>76.3075</v>
      </c>
      <c r="F164" s="241" t="n">
        <v>2.94</v>
      </c>
      <c r="G164" s="32">
        <f>ROUND(E164*F164,2)</f>
        <v/>
      </c>
      <c r="H164" s="174">
        <f>G164/$G$270</f>
        <v/>
      </c>
      <c r="I164" s="32" t="n">
        <v>23.64</v>
      </c>
      <c r="J164" s="32">
        <f>ROUND(I164*E164,2)</f>
        <v/>
      </c>
    </row>
    <row r="165" hidden="1" outlineLevel="1" ht="14.25" customFormat="1" customHeight="1" s="12">
      <c r="A165" s="239" t="n">
        <v>137</v>
      </c>
      <c r="B165" s="239" t="inlineStr">
        <is>
          <t>01.7.15.07-0014</t>
        </is>
      </c>
      <c r="C165" s="238" t="inlineStr">
        <is>
          <t>Дюбели распорные полипропиленовые</t>
        </is>
      </c>
      <c r="D165" s="239" t="inlineStr">
        <is>
          <t>100 шт</t>
        </is>
      </c>
      <c r="E165" s="168" t="n">
        <v>2.608</v>
      </c>
      <c r="F165" s="241" t="n">
        <v>86</v>
      </c>
      <c r="G165" s="32">
        <f>ROUND(E165*F165,2)</f>
        <v/>
      </c>
      <c r="H165" s="174">
        <f>G165/$G$270</f>
        <v/>
      </c>
      <c r="I165" s="32" t="n">
        <v>691.4400000000001</v>
      </c>
      <c r="J165" s="32">
        <f>ROUND(I165*E165,2)</f>
        <v/>
      </c>
    </row>
    <row r="166" hidden="1" outlineLevel="1" ht="25.5" customFormat="1" customHeight="1" s="12">
      <c r="A166" s="239" t="n">
        <v>138</v>
      </c>
      <c r="B166" s="239" t="inlineStr">
        <is>
          <t>14.5.01.05-0001</t>
        </is>
      </c>
      <c r="C166" s="238" t="inlineStr">
        <is>
          <t>Герметик пенополиуретановый (пена монтажная)</t>
        </is>
      </c>
      <c r="D166" s="239" t="inlineStr">
        <is>
          <t>л</t>
        </is>
      </c>
      <c r="E166" s="168" t="n">
        <v>2.5</v>
      </c>
      <c r="F166" s="241" t="n">
        <v>89.33</v>
      </c>
      <c r="G166" s="32">
        <f>ROUND(E166*F166,2)</f>
        <v/>
      </c>
      <c r="H166" s="174">
        <f>G166/$G$270</f>
        <v/>
      </c>
      <c r="I166" s="32" t="n">
        <v>718.21</v>
      </c>
      <c r="J166" s="32">
        <f>ROUND(I166*E166,2)</f>
        <v/>
      </c>
    </row>
    <row r="167" hidden="1" outlineLevel="1" ht="25.5" customFormat="1" customHeight="1" s="12">
      <c r="A167" s="239" t="n">
        <v>139</v>
      </c>
      <c r="B167" s="239" t="inlineStr">
        <is>
          <t>24.3.01.06-0001</t>
        </is>
      </c>
      <c r="C167" s="238" t="inlineStr">
        <is>
          <t>Трубы гофрированные ПВХ с протяжкой, номинальный внутренний диаметр 32 мм</t>
        </is>
      </c>
      <c r="D167" s="239" t="inlineStr">
        <is>
          <t>м</t>
        </is>
      </c>
      <c r="E167" s="168" t="n">
        <v>87.5</v>
      </c>
      <c r="F167" s="241" t="n">
        <v>2.49</v>
      </c>
      <c r="G167" s="32">
        <f>ROUND(E167*F167,2)</f>
        <v/>
      </c>
      <c r="H167" s="174">
        <f>G167/$G$270</f>
        <v/>
      </c>
      <c r="I167" s="32" t="n">
        <v>20.02</v>
      </c>
      <c r="J167" s="32">
        <f>ROUND(I167*E167,2)</f>
        <v/>
      </c>
    </row>
    <row r="168" hidden="1" outlineLevel="1" ht="14.25" customFormat="1" customHeight="1" s="12">
      <c r="A168" s="239" t="n">
        <v>140</v>
      </c>
      <c r="B168" s="239" t="inlineStr">
        <is>
          <t>20.2.08.07-0001</t>
        </is>
      </c>
      <c r="C168" s="238" t="inlineStr">
        <is>
          <t>Скоба КС-161</t>
        </is>
      </c>
      <c r="D168" s="239" t="inlineStr">
        <is>
          <t>шт</t>
        </is>
      </c>
      <c r="E168" s="168" t="n">
        <v>25</v>
      </c>
      <c r="F168" s="241" t="n">
        <v>8.460000000000001</v>
      </c>
      <c r="G168" s="32">
        <f>ROUND(E168*F168,2)</f>
        <v/>
      </c>
      <c r="H168" s="174">
        <f>G168/$G$270</f>
        <v/>
      </c>
      <c r="I168" s="32" t="n">
        <v>68.02</v>
      </c>
      <c r="J168" s="32">
        <f>ROUND(I168*E168,2)</f>
        <v/>
      </c>
    </row>
    <row r="169" hidden="1" outlineLevel="1" ht="14.25" customFormat="1" customHeight="1" s="12">
      <c r="A169" s="239" t="n">
        <v>141</v>
      </c>
      <c r="B169" s="239" t="inlineStr">
        <is>
          <t>01.3.02.08-0001</t>
        </is>
      </c>
      <c r="C169" s="238" t="inlineStr">
        <is>
          <t>Кислород газообразный технический</t>
        </is>
      </c>
      <c r="D169" s="239" t="inlineStr">
        <is>
          <t>м3</t>
        </is>
      </c>
      <c r="E169" s="168" t="n">
        <v>29.002875</v>
      </c>
      <c r="F169" s="241" t="n">
        <v>6.22</v>
      </c>
      <c r="G169" s="32">
        <f>ROUND(E169*F169,2)</f>
        <v/>
      </c>
      <c r="H169" s="174">
        <f>G169/$G$270</f>
        <v/>
      </c>
      <c r="I169" s="32" t="n">
        <v>50.01</v>
      </c>
      <c r="J169" s="32">
        <f>ROUND(I169*E169,2)</f>
        <v/>
      </c>
    </row>
    <row r="170" hidden="1" outlineLevel="1" ht="51" customFormat="1" customHeight="1" s="12">
      <c r="A170" s="239" t="n">
        <v>142</v>
      </c>
      <c r="B170" s="239" t="inlineStr">
        <is>
          <t>07.2.06.03-0112</t>
        </is>
      </c>
      <c r="C170" s="238" t="inlineStr">
        <is>
          <t>Профиль направляющий, стальной, оцинкованный, для монтажа гипсовых перегородок и подвесных потолков, длина 3 м, сечение 50х40х0,6 мм</t>
        </is>
      </c>
      <c r="D170" s="239" t="inlineStr">
        <is>
          <t>м</t>
        </is>
      </c>
      <c r="E170" s="168" t="n">
        <v>25.92125</v>
      </c>
      <c r="F170" s="241" t="n">
        <v>6.16</v>
      </c>
      <c r="G170" s="32">
        <f>ROUND(E170*F170,2)</f>
        <v/>
      </c>
      <c r="H170" s="174">
        <f>G170/$G$270</f>
        <v/>
      </c>
      <c r="I170" s="32" t="n">
        <v>49.53</v>
      </c>
      <c r="J170" s="32">
        <f>ROUND(I170*E170,2)</f>
        <v/>
      </c>
    </row>
    <row r="171" hidden="1" outlineLevel="1" ht="25.5" customFormat="1" customHeight="1" s="12">
      <c r="A171" s="239" t="n">
        <v>143</v>
      </c>
      <c r="B171" s="239" t="inlineStr">
        <is>
          <t>07.2.07.04-0007</t>
        </is>
      </c>
      <c r="C171" s="238" t="inlineStr">
        <is>
          <t>Конструкции стальные индивидуальные решетчатые сварные, масса до 0,1 т</t>
        </is>
      </c>
      <c r="D171" s="239" t="inlineStr">
        <is>
          <t>т</t>
        </is>
      </c>
      <c r="E171" s="168" t="n">
        <v>0.01375</v>
      </c>
      <c r="F171" s="241" t="n">
        <v>11500</v>
      </c>
      <c r="G171" s="32">
        <f>ROUND(E171*F171,2)</f>
        <v/>
      </c>
      <c r="H171" s="174">
        <f>G171/$G$270</f>
        <v/>
      </c>
      <c r="I171" s="32" t="n">
        <v>92460</v>
      </c>
      <c r="J171" s="32">
        <f>ROUND(I171*E171,2)</f>
        <v/>
      </c>
    </row>
    <row r="172" hidden="1" outlineLevel="1" ht="25.5" customFormat="1" customHeight="1" s="12">
      <c r="A172" s="239" t="n">
        <v>144</v>
      </c>
      <c r="B172" s="239" t="inlineStr">
        <is>
          <t>04.3.01.06-0001</t>
        </is>
      </c>
      <c r="C172" s="238" t="inlineStr">
        <is>
          <t>Раствор декоративный (с каменной крошкой)</t>
        </is>
      </c>
      <c r="D172" s="239" t="inlineStr">
        <is>
          <t>м3</t>
        </is>
      </c>
      <c r="E172" s="168" t="n">
        <v>0.2754</v>
      </c>
      <c r="F172" s="241" t="n">
        <v>572</v>
      </c>
      <c r="G172" s="32">
        <f>ROUND(E172*F172,2)</f>
        <v/>
      </c>
      <c r="H172" s="174">
        <f>G172/$G$270</f>
        <v/>
      </c>
      <c r="I172" s="32" t="n">
        <v>4598.88</v>
      </c>
      <c r="J172" s="32">
        <f>ROUND(I172*E172,2)</f>
        <v/>
      </c>
    </row>
    <row r="173" hidden="1" outlineLevel="1" ht="63.75" customFormat="1" customHeight="1" s="12">
      <c r="A173" s="239" t="n">
        <v>145</v>
      </c>
      <c r="B173" s="239" t="inlineStr">
        <is>
          <t>23.5.02.02-0034</t>
        </is>
      </c>
      <c r="C173" s="238" t="inlineStr">
        <is>
          <t>Трубы стальные электросварные прямошовные со снятой фаской из стали марок БСт2кп-БСт4кп и БСт2пс-БСт4пс, наружный диаметр 57 мм, толщина стенки 3,5 мм</t>
        </is>
      </c>
      <c r="D173" s="239" t="inlineStr">
        <is>
          <t>м</t>
        </is>
      </c>
      <c r="E173" s="168" t="n">
        <v>4.375</v>
      </c>
      <c r="F173" s="241" t="n">
        <v>35.7</v>
      </c>
      <c r="G173" s="32">
        <f>ROUND(E173*F173,2)</f>
        <v/>
      </c>
      <c r="H173" s="174">
        <f>G173/$G$270</f>
        <v/>
      </c>
      <c r="I173" s="32" t="n">
        <v>287.03</v>
      </c>
      <c r="J173" s="32">
        <f>ROUND(I173*E173,2)</f>
        <v/>
      </c>
    </row>
    <row r="174" hidden="1" outlineLevel="1" ht="38.25" customFormat="1" customHeight="1" s="12">
      <c r="A174" s="239" t="n">
        <v>146</v>
      </c>
      <c r="B174" s="239" t="inlineStr">
        <is>
          <t>08.3.08.02-0011</t>
        </is>
      </c>
      <c r="C174" s="238" t="inlineStr">
        <is>
          <t>Уголок горячекатаный, марка стали Ст6сп, ширина полок 180-200 мм, толщина 11-30 мм</t>
        </is>
      </c>
      <c r="D174" s="239" t="inlineStr">
        <is>
          <t>т</t>
        </is>
      </c>
      <c r="E174" s="168" t="n">
        <v>0.0245</v>
      </c>
      <c r="F174" s="241" t="n">
        <v>6102</v>
      </c>
      <c r="G174" s="32">
        <f>ROUND(E174*F174,2)</f>
        <v/>
      </c>
      <c r="H174" s="174">
        <f>G174/$G$270</f>
        <v/>
      </c>
      <c r="I174" s="32" t="n">
        <v>49060.08</v>
      </c>
      <c r="J174" s="32">
        <f>ROUND(I174*E174,2)</f>
        <v/>
      </c>
    </row>
    <row r="175" hidden="1" outlineLevel="1" ht="14.25" customFormat="1" customHeight="1" s="12">
      <c r="A175" s="239" t="n">
        <v>147</v>
      </c>
      <c r="B175" s="239" t="inlineStr">
        <is>
          <t>01.7.20.08-0071</t>
        </is>
      </c>
      <c r="C175" s="238" t="inlineStr">
        <is>
          <t>Канат пеньковый пропитанный</t>
        </is>
      </c>
      <c r="D175" s="239" t="inlineStr">
        <is>
          <t>т</t>
        </is>
      </c>
      <c r="E175" s="168" t="n">
        <v>0.0038625</v>
      </c>
      <c r="F175" s="241" t="n">
        <v>37900</v>
      </c>
      <c r="G175" s="32">
        <f>ROUND(E175*F175,2)</f>
        <v/>
      </c>
      <c r="H175" s="174">
        <f>G175/$G$270</f>
        <v/>
      </c>
      <c r="I175" s="32" t="n">
        <v>304716</v>
      </c>
      <c r="J175" s="32">
        <f>ROUND(I175*E175,2)</f>
        <v/>
      </c>
    </row>
    <row r="176" hidden="1" outlineLevel="1" ht="14.25" customFormat="1" customHeight="1" s="12">
      <c r="A176" s="239" t="n">
        <v>148</v>
      </c>
      <c r="B176" s="239" t="inlineStr">
        <is>
          <t>01.3.01.03-0002</t>
        </is>
      </c>
      <c r="C176" s="238" t="inlineStr">
        <is>
          <t>Керосин для технических целей</t>
        </is>
      </c>
      <c r="D176" s="239" t="inlineStr">
        <is>
          <t>т</t>
        </is>
      </c>
      <c r="E176" s="168" t="n">
        <v>0.055625</v>
      </c>
      <c r="F176" s="241" t="n">
        <v>2606.9</v>
      </c>
      <c r="G176" s="32">
        <f>ROUND(E176*F176,2)</f>
        <v/>
      </c>
      <c r="H176" s="174">
        <f>G176/$G$270</f>
        <v/>
      </c>
      <c r="I176" s="32" t="n">
        <v>20959.48</v>
      </c>
      <c r="J176" s="32">
        <f>ROUND(I176*E176,2)</f>
        <v/>
      </c>
    </row>
    <row r="177" hidden="1" outlineLevel="1" ht="14.25" customFormat="1" customHeight="1" s="12">
      <c r="A177" s="239" t="n">
        <v>149</v>
      </c>
      <c r="B177" s="239" t="inlineStr">
        <is>
          <t>14.5.09.02-0002</t>
        </is>
      </c>
      <c r="C177" s="238" t="inlineStr">
        <is>
          <t>Ксилол нефтяной, марка А</t>
        </is>
      </c>
      <c r="D177" s="239" t="inlineStr">
        <is>
          <t>т</t>
        </is>
      </c>
      <c r="E177" s="168" t="n">
        <v>0.01811</v>
      </c>
      <c r="F177" s="241" t="n">
        <v>7640</v>
      </c>
      <c r="G177" s="32">
        <f>ROUND(E177*F177,2)</f>
        <v/>
      </c>
      <c r="H177" s="174">
        <f>G177/$G$270</f>
        <v/>
      </c>
      <c r="I177" s="32" t="n">
        <v>61425.6</v>
      </c>
      <c r="J177" s="32">
        <f>ROUND(I177*E177,2)</f>
        <v/>
      </c>
    </row>
    <row r="178" hidden="1" outlineLevel="1" ht="14.25" customFormat="1" customHeight="1" s="12">
      <c r="A178" s="239" t="n">
        <v>150</v>
      </c>
      <c r="B178" s="239" t="inlineStr">
        <is>
          <t>02.3.01.07-0002</t>
        </is>
      </c>
      <c r="C178" s="238" t="inlineStr">
        <is>
          <t>Песок кварцевый</t>
        </is>
      </c>
      <c r="D178" s="239" t="inlineStr">
        <is>
          <t>т</t>
        </is>
      </c>
      <c r="E178" s="168" t="n">
        <v>0.5125075</v>
      </c>
      <c r="F178" s="241" t="n">
        <v>257</v>
      </c>
      <c r="G178" s="32">
        <f>ROUND(E178*F178,2)</f>
        <v/>
      </c>
      <c r="H178" s="174">
        <f>G178/$G$270</f>
        <v/>
      </c>
      <c r="I178" s="32" t="n">
        <v>2066.28</v>
      </c>
      <c r="J178" s="32">
        <f>ROUND(I178*E178,2)</f>
        <v/>
      </c>
    </row>
    <row r="179" hidden="1" outlineLevel="1" ht="14.25" customFormat="1" customHeight="1" s="12">
      <c r="A179" s="239" t="n">
        <v>151</v>
      </c>
      <c r="B179" s="239" t="inlineStr">
        <is>
          <t>20.1.02.14-0001</t>
        </is>
      </c>
      <c r="C179" s="238" t="inlineStr">
        <is>
          <t>Серьга</t>
        </is>
      </c>
      <c r="D179" s="239" t="inlineStr">
        <is>
          <t>шт</t>
        </is>
      </c>
      <c r="E179" s="168" t="n">
        <v>11.25</v>
      </c>
      <c r="F179" s="241" t="n">
        <v>10.54</v>
      </c>
      <c r="G179" s="32">
        <f>ROUND(E179*F179,2)</f>
        <v/>
      </c>
      <c r="H179" s="174">
        <f>G179/$G$270</f>
        <v/>
      </c>
      <c r="I179" s="32" t="n">
        <v>84.73999999999999</v>
      </c>
      <c r="J179" s="32">
        <f>ROUND(I179*E179,2)</f>
        <v/>
      </c>
    </row>
    <row r="180" hidden="1" outlineLevel="1" ht="25.5" customFormat="1" customHeight="1" s="12">
      <c r="A180" s="239" t="n">
        <v>152</v>
      </c>
      <c r="B180" s="239" t="inlineStr">
        <is>
          <t>21.1.06.09-0068</t>
        </is>
      </c>
      <c r="C180" s="238" t="inlineStr">
        <is>
          <t>Кабель силовой с медными жилами ВВГ 4х2,5-660</t>
        </is>
      </c>
      <c r="D180" s="239" t="inlineStr">
        <is>
          <t>1000 м</t>
        </is>
      </c>
      <c r="E180" s="168" t="n">
        <v>0.019125</v>
      </c>
      <c r="F180" s="241" t="n">
        <v>6130.25</v>
      </c>
      <c r="G180" s="32">
        <f>ROUND(E180*F180,2)</f>
        <v/>
      </c>
      <c r="H180" s="174">
        <f>G180/$G$270</f>
        <v/>
      </c>
      <c r="I180" s="32" t="n">
        <v>49287.21</v>
      </c>
      <c r="J180" s="32">
        <f>ROUND(I180*E180,2)</f>
        <v/>
      </c>
    </row>
    <row r="181" hidden="1" outlineLevel="1" ht="25.5" customFormat="1" customHeight="1" s="12">
      <c r="A181" s="239" t="n">
        <v>153</v>
      </c>
      <c r="B181" s="239" t="inlineStr">
        <is>
          <t>21.1.06.09-0076</t>
        </is>
      </c>
      <c r="C181" s="238" t="inlineStr">
        <is>
          <t>Кабель силовой с медными жилами ВВГ 5х6-660</t>
        </is>
      </c>
      <c r="D181" s="239" t="inlineStr">
        <is>
          <t>1000 м</t>
        </is>
      </c>
      <c r="E181" s="168" t="n">
        <v>0.006375</v>
      </c>
      <c r="F181" s="241" t="n">
        <v>18248.37</v>
      </c>
      <c r="G181" s="32">
        <f>ROUND(E181*F181,2)</f>
        <v/>
      </c>
      <c r="H181" s="174">
        <f>G181/$G$270</f>
        <v/>
      </c>
      <c r="I181" s="32" t="n">
        <v>146716.89</v>
      </c>
      <c r="J181" s="32">
        <f>ROUND(I181*E181,2)</f>
        <v/>
      </c>
    </row>
    <row r="182" hidden="1" outlineLevel="1" ht="38.25" customFormat="1" customHeight="1" s="12">
      <c r="A182" s="239" t="n">
        <v>154</v>
      </c>
      <c r="B182" s="239" t="inlineStr">
        <is>
          <t>11.1.03.03-0012</t>
        </is>
      </c>
      <c r="C182" s="238" t="inlineStr">
        <is>
          <t>Брусья необрезные, хвойных пород, длина 4-6,5 м, все ширины, толщина 100, 125 мм, сорт IV</t>
        </is>
      </c>
      <c r="D182" s="239" t="inlineStr">
        <is>
          <t>м3</t>
        </is>
      </c>
      <c r="E182" s="168" t="n">
        <v>0.13175</v>
      </c>
      <c r="F182" s="241" t="n">
        <v>880.01</v>
      </c>
      <c r="G182" s="32">
        <f>ROUND(E182*F182,2)</f>
        <v/>
      </c>
      <c r="H182" s="174">
        <f>G182/$G$270</f>
        <v/>
      </c>
      <c r="I182" s="32" t="n">
        <v>7075.28</v>
      </c>
      <c r="J182" s="32">
        <f>ROUND(I182*E182,2)</f>
        <v/>
      </c>
    </row>
    <row r="183" hidden="1" outlineLevel="1" ht="25.5" customFormat="1" customHeight="1" s="12">
      <c r="A183" s="239" t="n">
        <v>155</v>
      </c>
      <c r="B183" s="239" t="inlineStr">
        <is>
          <t>01.7.19.04-0031</t>
        </is>
      </c>
      <c r="C183" s="238" t="inlineStr">
        <is>
          <t>Прокладки резиновые (пластина техническая прессованная)</t>
        </is>
      </c>
      <c r="D183" s="239" t="inlineStr">
        <is>
          <t>кг</t>
        </is>
      </c>
      <c r="E183" s="168" t="n">
        <v>4.654665</v>
      </c>
      <c r="F183" s="241" t="n">
        <v>23.09</v>
      </c>
      <c r="G183" s="32">
        <f>ROUND(E183*F183,2)</f>
        <v/>
      </c>
      <c r="H183" s="174">
        <f>G183/$G$270</f>
        <v/>
      </c>
      <c r="I183" s="32" t="n">
        <v>185.64</v>
      </c>
      <c r="J183" s="32">
        <f>ROUND(I183*E183,2)</f>
        <v/>
      </c>
    </row>
    <row r="184" hidden="1" outlineLevel="1" ht="14.25" customFormat="1" customHeight="1" s="12">
      <c r="A184" s="239" t="n">
        <v>156</v>
      </c>
      <c r="B184" s="239" t="inlineStr">
        <is>
          <t>14.5.09.07-0029</t>
        </is>
      </c>
      <c r="C184" s="238" t="inlineStr">
        <is>
          <t>Растворитель марки: Р-4</t>
        </is>
      </c>
      <c r="D184" s="239" t="inlineStr">
        <is>
          <t>т</t>
        </is>
      </c>
      <c r="E184" s="168" t="n">
        <v>0.01132</v>
      </c>
      <c r="F184" s="241" t="n">
        <v>9420</v>
      </c>
      <c r="G184" s="32">
        <f>ROUND(E184*F184,2)</f>
        <v/>
      </c>
      <c r="H184" s="174">
        <f>G184/$G$270</f>
        <v/>
      </c>
      <c r="I184" s="32" t="n">
        <v>75736.8</v>
      </c>
      <c r="J184" s="32">
        <f>ROUND(I184*E184,2)</f>
        <v/>
      </c>
    </row>
    <row r="185" hidden="1" outlineLevel="1" ht="38.25" customFormat="1" customHeight="1" s="12">
      <c r="A185" s="239" t="n">
        <v>157</v>
      </c>
      <c r="B185" s="239" t="inlineStr">
        <is>
          <t>11.1.03.01-0079</t>
        </is>
      </c>
      <c r="C185" s="238" t="inlineStr">
        <is>
          <t>Бруски обрезные, хвойных пород, длина 4-6,5 м, ширина 75-150 мм, толщина 40-75 мм, сорт III</t>
        </is>
      </c>
      <c r="D185" s="239" t="inlineStr">
        <is>
          <t>м3</t>
        </is>
      </c>
      <c r="E185" s="168" t="n">
        <v>0.08125</v>
      </c>
      <c r="F185" s="241" t="n">
        <v>1287</v>
      </c>
      <c r="G185" s="32">
        <f>ROUND(E185*F185,2)</f>
        <v/>
      </c>
      <c r="H185" s="174">
        <f>G185/$G$270</f>
        <v/>
      </c>
      <c r="I185" s="32" t="n">
        <v>10347.48</v>
      </c>
      <c r="J185" s="32">
        <f>ROUND(I185*E185,2)</f>
        <v/>
      </c>
    </row>
    <row r="186" hidden="1" outlineLevel="1" ht="38.25" customFormat="1" customHeight="1" s="12">
      <c r="A186" s="239" t="n">
        <v>158</v>
      </c>
      <c r="B186" s="239" t="inlineStr">
        <is>
          <t>14.4.01.02-0012</t>
        </is>
      </c>
      <c r="C186" s="238" t="inlineStr">
        <is>
          <t>Грунтовка укрепляющая, глубокого проникновения, быстросохнущая, паропроницаемая</t>
        </is>
      </c>
      <c r="D186" s="239" t="inlineStr">
        <is>
          <t>кг</t>
        </is>
      </c>
      <c r="E186" s="168" t="n">
        <v>7.86375</v>
      </c>
      <c r="F186" s="241" t="n">
        <v>13.08</v>
      </c>
      <c r="G186" s="32">
        <f>ROUND(E186*F186,2)</f>
        <v/>
      </c>
      <c r="H186" s="174">
        <f>G186/$G$270</f>
        <v/>
      </c>
      <c r="I186" s="32" t="n">
        <v>105.16</v>
      </c>
      <c r="J186" s="32">
        <f>ROUND(I186*E186,2)</f>
        <v/>
      </c>
    </row>
    <row r="187" hidden="1" outlineLevel="1" ht="14.25" customFormat="1" customHeight="1" s="12">
      <c r="A187" s="239" t="n">
        <v>159</v>
      </c>
      <c r="B187" s="239" t="inlineStr">
        <is>
          <t>01.7.15.06-0111</t>
        </is>
      </c>
      <c r="C187" s="238" t="inlineStr">
        <is>
          <t>Гвозди строительные</t>
        </is>
      </c>
      <c r="D187" s="239" t="inlineStr">
        <is>
          <t>т</t>
        </is>
      </c>
      <c r="E187" s="168" t="n">
        <v>0.00851375</v>
      </c>
      <c r="F187" s="241" t="n">
        <v>11978</v>
      </c>
      <c r="G187" s="32">
        <f>ROUND(E187*F187,2)</f>
        <v/>
      </c>
      <c r="H187" s="174">
        <f>G187/$G$270</f>
        <v/>
      </c>
      <c r="I187" s="32" t="n">
        <v>96303.12</v>
      </c>
      <c r="J187" s="32">
        <f>ROUND(I187*E187,2)</f>
        <v/>
      </c>
    </row>
    <row r="188" hidden="1" outlineLevel="1" ht="25.5" customFormat="1" customHeight="1" s="12">
      <c r="A188" s="239" t="n">
        <v>160</v>
      </c>
      <c r="B188" s="239" t="inlineStr">
        <is>
          <t>19.2.03.07-0005</t>
        </is>
      </c>
      <c r="C188" s="238" t="inlineStr">
        <is>
          <t>Решетки вентиляционные, пластмассовые, размер 190х240 мм</t>
        </is>
      </c>
      <c r="D188" s="239" t="inlineStr">
        <is>
          <t>шт</t>
        </is>
      </c>
      <c r="E188" s="168" t="n">
        <v>10</v>
      </c>
      <c r="F188" s="241" t="n">
        <v>8.970000000000001</v>
      </c>
      <c r="G188" s="32">
        <f>ROUND(E188*F188,2)</f>
        <v/>
      </c>
      <c r="H188" s="174">
        <f>G188/$G$270</f>
        <v/>
      </c>
      <c r="I188" s="32" t="n">
        <v>72.12</v>
      </c>
      <c r="J188" s="32">
        <f>ROUND(I188*E188,2)</f>
        <v/>
      </c>
    </row>
    <row r="189" hidden="1" outlineLevel="1" ht="25.5" customFormat="1" customHeight="1" s="12">
      <c r="A189" s="239" t="n">
        <v>161</v>
      </c>
      <c r="B189" s="239" t="inlineStr">
        <is>
          <t>01.2.01.02-0041</t>
        </is>
      </c>
      <c r="C189" s="238" t="inlineStr">
        <is>
          <t>Битумы нефтяные строительные кровельные БНК-45/190, БНК-40/180</t>
        </is>
      </c>
      <c r="D189" s="239" t="inlineStr">
        <is>
          <t>т</t>
        </is>
      </c>
      <c r="E189" s="168" t="n">
        <v>0.058125</v>
      </c>
      <c r="F189" s="241" t="n">
        <v>1530</v>
      </c>
      <c r="G189" s="32">
        <f>ROUND(E189*F189,2)</f>
        <v/>
      </c>
      <c r="H189" s="174">
        <f>G189/$G$270</f>
        <v/>
      </c>
      <c r="I189" s="32" t="n">
        <v>12301.2</v>
      </c>
      <c r="J189" s="32">
        <f>ROUND(I189*E189,2)</f>
        <v/>
      </c>
    </row>
    <row r="190" hidden="1" outlineLevel="1" ht="14.25" customFormat="1" customHeight="1" s="12">
      <c r="A190" s="239" t="n">
        <v>162</v>
      </c>
      <c r="B190" s="239" t="inlineStr">
        <is>
          <t>11.2.13.04-0012</t>
        </is>
      </c>
      <c r="C190" s="238" t="inlineStr">
        <is>
          <t>Щиты из досок, толщина 40 мм</t>
        </is>
      </c>
      <c r="D190" s="239" t="inlineStr">
        <is>
          <t>м2</t>
        </is>
      </c>
      <c r="E190" s="168" t="n">
        <v>1.5345</v>
      </c>
      <c r="F190" s="241" t="n">
        <v>57.63</v>
      </c>
      <c r="G190" s="32">
        <f>ROUND(E190*F190,2)</f>
        <v/>
      </c>
      <c r="H190" s="174">
        <f>G190/$G$270</f>
        <v/>
      </c>
      <c r="I190" s="32" t="n">
        <v>463.35</v>
      </c>
      <c r="J190" s="32">
        <f>ROUND(I190*E190,2)</f>
        <v/>
      </c>
    </row>
    <row r="191" hidden="1" outlineLevel="1" ht="63.75" customFormat="1" customHeight="1" s="12">
      <c r="A191" s="239" t="n">
        <v>163</v>
      </c>
      <c r="B191" s="239" t="inlineStr">
        <is>
          <t>07.2.07.12-0011</t>
        </is>
      </c>
      <c r="C191" s="238" t="inlineStr">
        <is>
          <t>Элементы конструктивные зданий и сооружений с преобладанием гнутосварных профилей и круглых труб, средняя масса сборочной единицы до 0,1 т</t>
        </is>
      </c>
      <c r="D191" s="239" t="inlineStr">
        <is>
          <t>т</t>
        </is>
      </c>
      <c r="E191" s="168" t="n">
        <v>0.0078025</v>
      </c>
      <c r="F191" s="241" t="n">
        <v>11255</v>
      </c>
      <c r="G191" s="32">
        <f>ROUND(E191*F191,2)</f>
        <v/>
      </c>
      <c r="H191" s="174">
        <f>G191/$G$270</f>
        <v/>
      </c>
      <c r="I191" s="32" t="n">
        <v>90490.2</v>
      </c>
      <c r="J191" s="32">
        <f>ROUND(I191*E191,2)</f>
        <v/>
      </c>
    </row>
    <row r="192" hidden="1" outlineLevel="1" ht="25.5" customFormat="1" customHeight="1" s="12">
      <c r="A192" s="239" t="n">
        <v>164</v>
      </c>
      <c r="B192" s="239" t="inlineStr">
        <is>
          <t>21.1.06.09-0048</t>
        </is>
      </c>
      <c r="C192" s="238" t="inlineStr">
        <is>
          <t>Кабель силовой с медными жилами ВВГ 2х2,5-660</t>
        </is>
      </c>
      <c r="D192" s="239" t="inlineStr">
        <is>
          <t>1000 м</t>
        </is>
      </c>
      <c r="E192" s="168" t="n">
        <v>0.0255</v>
      </c>
      <c r="F192" s="241" t="n">
        <v>3306.38</v>
      </c>
      <c r="G192" s="32">
        <f>ROUND(E192*F192,2)</f>
        <v/>
      </c>
      <c r="H192" s="174">
        <f>G192/$G$270</f>
        <v/>
      </c>
      <c r="I192" s="32" t="n">
        <v>26583.3</v>
      </c>
      <c r="J192" s="32">
        <f>ROUND(I192*E192,2)</f>
        <v/>
      </c>
    </row>
    <row r="193" hidden="1" outlineLevel="1" ht="25.5" customFormat="1" customHeight="1" s="12">
      <c r="A193" s="239" t="n">
        <v>165</v>
      </c>
      <c r="B193" s="239" t="inlineStr">
        <is>
          <t>08.3.03.05-0002</t>
        </is>
      </c>
      <c r="C193" s="238" t="inlineStr">
        <is>
          <t>Проволока канатная оцинкованная, диаметр 3 мм</t>
        </is>
      </c>
      <c r="D193" s="239" t="inlineStr">
        <is>
          <t>т</t>
        </is>
      </c>
      <c r="E193" s="168" t="n">
        <v>0.01018875</v>
      </c>
      <c r="F193" s="241" t="n">
        <v>8190</v>
      </c>
      <c r="G193" s="32">
        <f>ROUND(E193*F193,2)</f>
        <v/>
      </c>
      <c r="H193" s="174">
        <f>G193/$G$270</f>
        <v/>
      </c>
      <c r="I193" s="32" t="n">
        <v>65847.60000000001</v>
      </c>
      <c r="J193" s="32">
        <f>ROUND(I193*E193,2)</f>
        <v/>
      </c>
    </row>
    <row r="194" hidden="1" outlineLevel="1" ht="14.25" customFormat="1" customHeight="1" s="12">
      <c r="A194" s="239" t="n">
        <v>166</v>
      </c>
      <c r="B194" s="239" t="inlineStr">
        <is>
          <t>21.1.08.03-0655</t>
        </is>
      </c>
      <c r="C194" s="238" t="inlineStr">
        <is>
          <t>Кабель контрольный КВВГЭ 4х1,5</t>
        </is>
      </c>
      <c r="D194" s="239" t="inlineStr">
        <is>
          <t>1000 м</t>
        </is>
      </c>
      <c r="E194" s="168" t="n">
        <v>0.006375</v>
      </c>
      <c r="F194" s="241" t="n">
        <v>12447.89</v>
      </c>
      <c r="G194" s="32">
        <f>ROUND(E194*F194,2)</f>
        <v/>
      </c>
      <c r="H194" s="174">
        <f>G194/$G$270</f>
        <v/>
      </c>
      <c r="I194" s="32" t="n">
        <v>100081.04</v>
      </c>
      <c r="J194" s="32">
        <f>ROUND(I194*E194,2)</f>
        <v/>
      </c>
    </row>
    <row r="195" hidden="1" outlineLevel="1" ht="14.25" customFormat="1" customHeight="1" s="12">
      <c r="A195" s="239" t="n">
        <v>167</v>
      </c>
      <c r="B195" s="239" t="inlineStr">
        <is>
          <t>01.1.02.03-0002</t>
        </is>
      </c>
      <c r="C195" s="238" t="inlineStr">
        <is>
          <t>Волокно асбестовое П-3-50</t>
        </is>
      </c>
      <c r="D195" s="239" t="inlineStr">
        <is>
          <t>т</t>
        </is>
      </c>
      <c r="E195" s="168" t="n">
        <v>0.0065625</v>
      </c>
      <c r="F195" s="241" t="n">
        <v>12034</v>
      </c>
      <c r="G195" s="32">
        <f>ROUND(E195*F195,2)</f>
        <v/>
      </c>
      <c r="H195" s="174">
        <f>G195/$G$270</f>
        <v/>
      </c>
      <c r="I195" s="32" t="n">
        <v>96753.36</v>
      </c>
      <c r="J195" s="32">
        <f>ROUND(I195*E195,2)</f>
        <v/>
      </c>
    </row>
    <row r="196" hidden="1" outlineLevel="1" ht="25.5" customFormat="1" customHeight="1" s="12">
      <c r="A196" s="239" t="n">
        <v>168</v>
      </c>
      <c r="B196" s="239" t="inlineStr">
        <is>
          <t>20.2.03.13-0006</t>
        </is>
      </c>
      <c r="C196" s="238" t="inlineStr">
        <is>
          <t>Полка кабельная К-1161ц из оцинкованной стали</t>
        </is>
      </c>
      <c r="D196" s="239" t="inlineStr">
        <is>
          <t>1000 шт</t>
        </is>
      </c>
      <c r="E196" s="168" t="n">
        <v>0.0125</v>
      </c>
      <c r="F196" s="241" t="n">
        <v>6190.47</v>
      </c>
      <c r="G196" s="32">
        <f>ROUND(E196*F196,2)</f>
        <v/>
      </c>
      <c r="H196" s="174">
        <f>G196/$G$270</f>
        <v/>
      </c>
      <c r="I196" s="32" t="n">
        <v>49771.38</v>
      </c>
      <c r="J196" s="32">
        <f>ROUND(I196*E196,2)</f>
        <v/>
      </c>
    </row>
    <row r="197" hidden="1" outlineLevel="1" ht="14.25" customFormat="1" customHeight="1" s="12">
      <c r="A197" s="239" t="n">
        <v>169</v>
      </c>
      <c r="B197" s="239" t="inlineStr">
        <is>
          <t>01.7.06.07-0001</t>
        </is>
      </c>
      <c r="C197" s="238" t="inlineStr">
        <is>
          <t>Лента К226</t>
        </is>
      </c>
      <c r="D197" s="239" t="inlineStr">
        <is>
          <t>100 м</t>
        </is>
      </c>
      <c r="E197" s="168" t="n">
        <v>0.6413</v>
      </c>
      <c r="F197" s="241" t="n">
        <v>120</v>
      </c>
      <c r="G197" s="32">
        <f>ROUND(E197*F197,2)</f>
        <v/>
      </c>
      <c r="H197" s="174">
        <f>G197/$G$270</f>
        <v/>
      </c>
      <c r="I197" s="32" t="n">
        <v>964.8</v>
      </c>
      <c r="J197" s="32">
        <f>ROUND(I197*E197,2)</f>
        <v/>
      </c>
    </row>
    <row r="198" hidden="1" outlineLevel="1" ht="14.25" customFormat="1" customHeight="1" s="12">
      <c r="A198" s="239" t="n">
        <v>170</v>
      </c>
      <c r="B198" s="239" t="inlineStr">
        <is>
          <t>20.2.08.02-0001</t>
        </is>
      </c>
      <c r="C198" s="238" t="inlineStr">
        <is>
          <t>Держатель для крепления лотков НЛ-Дц</t>
        </is>
      </c>
      <c r="D198" s="239" t="inlineStr">
        <is>
          <t>шт</t>
        </is>
      </c>
      <c r="E198" s="168" t="n">
        <v>12.5</v>
      </c>
      <c r="F198" s="241" t="n">
        <v>6</v>
      </c>
      <c r="G198" s="32">
        <f>ROUND(E198*F198,2)</f>
        <v/>
      </c>
      <c r="H198" s="174">
        <f>G198/$G$270</f>
        <v/>
      </c>
      <c r="I198" s="32" t="n">
        <v>48.24</v>
      </c>
      <c r="J198" s="32">
        <f>ROUND(I198*E198,2)</f>
        <v/>
      </c>
    </row>
    <row r="199" hidden="1" outlineLevel="1" ht="25.5" customFormat="1" customHeight="1" s="12">
      <c r="A199" s="239" t="n">
        <v>171</v>
      </c>
      <c r="B199" s="239" t="inlineStr">
        <is>
          <t>01.7.06.04-0007</t>
        </is>
      </c>
      <c r="C199" s="238" t="inlineStr">
        <is>
          <t>Лента разделительная для сопряжения потолка из ЛГК со стеной</t>
        </is>
      </c>
      <c r="D199" s="239" t="inlineStr">
        <is>
          <t>100 м</t>
        </is>
      </c>
      <c r="E199" s="168" t="n">
        <v>0.413575</v>
      </c>
      <c r="F199" s="241" t="n">
        <v>173</v>
      </c>
      <c r="G199" s="32">
        <f>ROUND(E199*F199,2)</f>
        <v/>
      </c>
      <c r="H199" s="174">
        <f>G199/$G$270</f>
        <v/>
      </c>
      <c r="I199" s="32" t="n">
        <v>1390.92</v>
      </c>
      <c r="J199" s="32">
        <f>ROUND(I199*E199,2)</f>
        <v/>
      </c>
    </row>
    <row r="200" hidden="1" outlineLevel="1" ht="38.25" customFormat="1" customHeight="1" s="12">
      <c r="A200" s="239" t="n">
        <v>172</v>
      </c>
      <c r="B200" s="239" t="inlineStr">
        <is>
          <t>11.1.03.01-0077</t>
        </is>
      </c>
      <c r="C200" s="238" t="inlineStr">
        <is>
          <t>Бруски обрезные, хвойных пород, длина 4-6,5 м, ширина 75-150 мм, толщина 40-75 мм, сорт I</t>
        </is>
      </c>
      <c r="D200" s="239" t="inlineStr">
        <is>
          <t>м3</t>
        </is>
      </c>
      <c r="E200" s="168" t="n">
        <v>0.03647625</v>
      </c>
      <c r="F200" s="241" t="n">
        <v>1700</v>
      </c>
      <c r="G200" s="32">
        <f>ROUND(E200*F200,2)</f>
        <v/>
      </c>
      <c r="H200" s="174">
        <f>G200/$G$270</f>
        <v/>
      </c>
      <c r="I200" s="32" t="n">
        <v>13668</v>
      </c>
      <c r="J200" s="32">
        <f>ROUND(I200*E200,2)</f>
        <v/>
      </c>
    </row>
    <row r="201" hidden="1" outlineLevel="1" ht="51" customFormat="1" customHeight="1" s="12">
      <c r="A201" s="239" t="n">
        <v>173</v>
      </c>
      <c r="B201" s="239" t="inlineStr">
        <is>
          <t>18.1.09.06-0022</t>
        </is>
      </c>
      <c r="C201" s="238" t="inlineStr">
        <is>
          <t>Кран шаровой 11Б27п1, номинальное давление 1,0 МПа (10 кгс/см2), номинальный диаметр 20 мм, присоединение к трубопроводу муфтовое</t>
        </is>
      </c>
      <c r="D201" s="239" t="inlineStr">
        <is>
          <t>шт</t>
        </is>
      </c>
      <c r="E201" s="168" t="n">
        <v>2.5</v>
      </c>
      <c r="F201" s="241" t="n">
        <v>24.68</v>
      </c>
      <c r="G201" s="32">
        <f>ROUND(E201*F201,2)</f>
        <v/>
      </c>
      <c r="H201" s="174">
        <f>G201/$G$270</f>
        <v/>
      </c>
      <c r="I201" s="32" t="n">
        <v>198.43</v>
      </c>
      <c r="J201" s="32">
        <f>ROUND(I201*E201,2)</f>
        <v/>
      </c>
    </row>
    <row r="202" hidden="1" outlineLevel="1" ht="14.25" customFormat="1" customHeight="1" s="12">
      <c r="A202" s="239" t="n">
        <v>174</v>
      </c>
      <c r="B202" s="239" t="inlineStr">
        <is>
          <t>20.3.03.03-0023</t>
        </is>
      </c>
      <c r="C202" s="238" t="inlineStr">
        <is>
          <t>Светильник переносной РВО-42</t>
        </is>
      </c>
      <c r="D202" s="239" t="inlineStr">
        <is>
          <t>шт</t>
        </is>
      </c>
      <c r="E202" s="168" t="n">
        <v>1.25</v>
      </c>
      <c r="F202" s="241" t="n">
        <v>45.25</v>
      </c>
      <c r="G202" s="32">
        <f>ROUND(E202*F202,2)</f>
        <v/>
      </c>
      <c r="H202" s="174">
        <f>G202/$G$270</f>
        <v/>
      </c>
      <c r="I202" s="32" t="n">
        <v>363.81</v>
      </c>
      <c r="J202" s="32">
        <f>ROUND(I202*E202,2)</f>
        <v/>
      </c>
    </row>
    <row r="203" hidden="1" outlineLevel="1" ht="38.25" customFormat="1" customHeight="1" s="12">
      <c r="A203" s="239" t="n">
        <v>175</v>
      </c>
      <c r="B203" s="239" t="inlineStr">
        <is>
          <t>03.2.01.01-0001</t>
        </is>
      </c>
      <c r="C203" s="238" t="inlineStr">
        <is>
          <t>Портландцемент общестроительного назначения бездобавочный М400 Д0 (ЦЕМ I 32,5Н)</t>
        </is>
      </c>
      <c r="D203" s="239" t="inlineStr">
        <is>
          <t>т</t>
        </is>
      </c>
      <c r="E203" s="168" t="n">
        <v>0.12921125</v>
      </c>
      <c r="F203" s="241" t="n">
        <v>412</v>
      </c>
      <c r="G203" s="32">
        <f>ROUND(E203*F203,2)</f>
        <v/>
      </c>
      <c r="H203" s="174">
        <f>G203/$G$270</f>
        <v/>
      </c>
      <c r="I203" s="32" t="n">
        <v>3312.48</v>
      </c>
      <c r="J203" s="32">
        <f>ROUND(I203*E203,2)</f>
        <v/>
      </c>
    </row>
    <row r="204" hidden="1" outlineLevel="1" ht="14.25" customFormat="1" customHeight="1" s="12">
      <c r="A204" s="239" t="n">
        <v>176</v>
      </c>
      <c r="B204" s="239" t="inlineStr">
        <is>
          <t>01.7.15.07-0082</t>
        </is>
      </c>
      <c r="C204" s="238" t="inlineStr">
        <is>
          <t>Дюбель-гвозди, размер 6х39 мм</t>
        </is>
      </c>
      <c r="D204" s="239" t="inlineStr">
        <is>
          <t>100 шт</t>
        </is>
      </c>
      <c r="E204" s="168" t="n">
        <v>0.699</v>
      </c>
      <c r="F204" s="241" t="n">
        <v>70</v>
      </c>
      <c r="G204" s="32">
        <f>ROUND(E204*F204,2)</f>
        <v/>
      </c>
      <c r="H204" s="174">
        <f>G204/$G$270</f>
        <v/>
      </c>
      <c r="I204" s="32" t="n">
        <v>562.8</v>
      </c>
      <c r="J204" s="32">
        <f>ROUND(I204*E204,2)</f>
        <v/>
      </c>
    </row>
    <row r="205" hidden="1" outlineLevel="1" ht="14.25" customFormat="1" customHeight="1" s="12">
      <c r="A205" s="239" t="n">
        <v>177</v>
      </c>
      <c r="B205" s="239" t="inlineStr">
        <is>
          <t>01.7.02.09-0002</t>
        </is>
      </c>
      <c r="C205" s="238" t="inlineStr">
        <is>
          <t>Шпагат бумажный</t>
        </is>
      </c>
      <c r="D205" s="239" t="inlineStr">
        <is>
          <t>кг</t>
        </is>
      </c>
      <c r="E205" s="168" t="n">
        <v>4.00375</v>
      </c>
      <c r="F205" s="241" t="n">
        <v>11.5</v>
      </c>
      <c r="G205" s="32">
        <f>ROUND(E205*F205,2)</f>
        <v/>
      </c>
      <c r="H205" s="174">
        <f>G205/$G$270</f>
        <v/>
      </c>
      <c r="I205" s="32" t="n">
        <v>92.45999999999999</v>
      </c>
      <c r="J205" s="32">
        <f>ROUND(I205*E205,2)</f>
        <v/>
      </c>
    </row>
    <row r="206" hidden="1" outlineLevel="1" ht="14.25" customFormat="1" customHeight="1" s="12">
      <c r="A206" s="239" t="n">
        <v>178</v>
      </c>
      <c r="B206" s="239" t="inlineStr">
        <is>
          <t>14.4.03.03-0002</t>
        </is>
      </c>
      <c r="C206" s="238" t="inlineStr">
        <is>
          <t>Лак битумный БТ-123</t>
        </is>
      </c>
      <c r="D206" s="239" t="inlineStr">
        <is>
          <t>т</t>
        </is>
      </c>
      <c r="E206" s="168" t="n">
        <v>0.005475</v>
      </c>
      <c r="F206" s="241" t="n">
        <v>7826.9</v>
      </c>
      <c r="G206" s="32">
        <f>ROUND(E206*F206,2)</f>
        <v/>
      </c>
      <c r="H206" s="174">
        <f>G206/$G$270</f>
        <v/>
      </c>
      <c r="I206" s="32" t="n">
        <v>62928.28</v>
      </c>
      <c r="J206" s="32">
        <f>ROUND(I206*E206,2)</f>
        <v/>
      </c>
    </row>
    <row r="207" hidden="1" outlineLevel="1" ht="14.25" customFormat="1" customHeight="1" s="12">
      <c r="A207" s="239" t="n">
        <v>179</v>
      </c>
      <c r="B207" s="239" t="inlineStr">
        <is>
          <t>62.2.01.04-0038</t>
        </is>
      </c>
      <c r="C207" s="238" t="inlineStr">
        <is>
          <t>Посты управления кнопочные: ПКТ-44 У2</t>
        </is>
      </c>
      <c r="D207" s="239" t="inlineStr">
        <is>
          <t>шт</t>
        </is>
      </c>
      <c r="E207" s="168" t="n">
        <v>1.25</v>
      </c>
      <c r="F207" s="241" t="n">
        <v>33.06</v>
      </c>
      <c r="G207" s="32">
        <f>ROUND(E207*F207,2)</f>
        <v/>
      </c>
      <c r="H207" s="174">
        <f>G207/$G$270</f>
        <v/>
      </c>
      <c r="I207" s="32" t="n">
        <v>265.8</v>
      </c>
      <c r="J207" s="32">
        <f>ROUND(I207*E207,2)</f>
        <v/>
      </c>
    </row>
    <row r="208" hidden="1" outlineLevel="1" ht="14.25" customFormat="1" customHeight="1" s="12">
      <c r="A208" s="239" t="n">
        <v>180</v>
      </c>
      <c r="B208" s="239" t="inlineStr">
        <is>
          <t>20.1.02.06-0001</t>
        </is>
      </c>
      <c r="C208" s="238" t="inlineStr">
        <is>
          <t>Жир паяльный</t>
        </is>
      </c>
      <c r="D208" s="239" t="inlineStr">
        <is>
          <t>кг</t>
        </is>
      </c>
      <c r="E208" s="168" t="n">
        <v>0.4</v>
      </c>
      <c r="F208" s="241" t="n">
        <v>100.8</v>
      </c>
      <c r="G208" s="32">
        <f>ROUND(E208*F208,2)</f>
        <v/>
      </c>
      <c r="H208" s="174">
        <f>G208/$G$270</f>
        <v/>
      </c>
      <c r="I208" s="32" t="n">
        <v>810.4299999999999</v>
      </c>
      <c r="J208" s="32">
        <f>ROUND(I208*E208,2)</f>
        <v/>
      </c>
    </row>
    <row r="209" hidden="1" outlineLevel="1" ht="14.25" customFormat="1" customHeight="1" s="12">
      <c r="A209" s="239" t="n">
        <v>181</v>
      </c>
      <c r="B209" s="239" t="inlineStr">
        <is>
          <t>01.7.15.02-0054</t>
        </is>
      </c>
      <c r="C209" s="238" t="inlineStr">
        <is>
          <t>Болты анкерные оцинкованные</t>
        </is>
      </c>
      <c r="D209" s="239" t="inlineStr">
        <is>
          <t>кг</t>
        </is>
      </c>
      <c r="E209" s="168" t="n">
        <v>3.25</v>
      </c>
      <c r="F209" s="241" t="n">
        <v>11.54</v>
      </c>
      <c r="G209" s="32">
        <f>ROUND(E209*F209,2)</f>
        <v/>
      </c>
      <c r="H209" s="174">
        <f>G209/$G$270</f>
        <v/>
      </c>
      <c r="I209" s="32" t="n">
        <v>92.78</v>
      </c>
      <c r="J209" s="32">
        <f>ROUND(I209*E209,2)</f>
        <v/>
      </c>
    </row>
    <row r="210" hidden="1" outlineLevel="1" ht="25.5" customFormat="1" customHeight="1" s="12">
      <c r="A210" s="239" t="n">
        <v>182</v>
      </c>
      <c r="B210" s="239" t="inlineStr">
        <is>
          <t>04.3.01.09-0023</t>
        </is>
      </c>
      <c r="C210" s="238" t="inlineStr">
        <is>
          <t>Раствор отделочный тяжелый цементный, состав 1:3</t>
        </is>
      </c>
      <c r="D210" s="239" t="inlineStr">
        <is>
          <t>м3</t>
        </is>
      </c>
      <c r="E210" s="168" t="n">
        <v>0.06825000000000001</v>
      </c>
      <c r="F210" s="241" t="n">
        <v>497</v>
      </c>
      <c r="G210" s="32">
        <f>ROUND(E210*F210,2)</f>
        <v/>
      </c>
      <c r="H210" s="174">
        <f>G210/$G$270</f>
        <v/>
      </c>
      <c r="I210" s="32" t="n">
        <v>3995.88</v>
      </c>
      <c r="J210" s="32">
        <f>ROUND(I210*E210,2)</f>
        <v/>
      </c>
    </row>
    <row r="211" hidden="1" outlineLevel="1" ht="14.25" customFormat="1" customHeight="1" s="12">
      <c r="A211" s="239" t="n">
        <v>183</v>
      </c>
      <c r="B211" s="239" t="inlineStr">
        <is>
          <t>01.2.01.02-0054</t>
        </is>
      </c>
      <c r="C211" s="238" t="inlineStr">
        <is>
          <t>Битумы нефтяные строительные БН-90/10</t>
        </is>
      </c>
      <c r="D211" s="239" t="inlineStr">
        <is>
          <t>т</t>
        </is>
      </c>
      <c r="E211" s="168" t="n">
        <v>0.023125</v>
      </c>
      <c r="F211" s="241" t="n">
        <v>1383.1</v>
      </c>
      <c r="G211" s="32">
        <f>ROUND(E211*F211,2)</f>
        <v/>
      </c>
      <c r="H211" s="174">
        <f>G211/$G$270</f>
        <v/>
      </c>
      <c r="I211" s="32" t="n">
        <v>11120.12</v>
      </c>
      <c r="J211" s="32">
        <f>ROUND(I211*E211,2)</f>
        <v/>
      </c>
    </row>
    <row r="212" hidden="1" outlineLevel="1" ht="38.25" customFormat="1" customHeight="1" s="12">
      <c r="A212" s="239" t="n">
        <v>184</v>
      </c>
      <c r="B212" s="239" t="inlineStr">
        <is>
          <t>08.3.05.02-0101</t>
        </is>
      </c>
      <c r="C212" s="238" t="inlineStr">
        <is>
          <t>Прокат толстолистовой горячекатаный в листах, марка стали ВСт3пс5, толщина 4-6 мм</t>
        </is>
      </c>
      <c r="D212" s="239" t="inlineStr">
        <is>
          <t>т</t>
        </is>
      </c>
      <c r="E212" s="168" t="n">
        <v>0.0055</v>
      </c>
      <c r="F212" s="241" t="n">
        <v>5763</v>
      </c>
      <c r="G212" s="32">
        <f>ROUND(E212*F212,2)</f>
        <v/>
      </c>
      <c r="H212" s="174">
        <f>G212/$G$270</f>
        <v/>
      </c>
      <c r="I212" s="32" t="n">
        <v>46334.52</v>
      </c>
      <c r="J212" s="32">
        <f>ROUND(I212*E212,2)</f>
        <v/>
      </c>
    </row>
    <row r="213" hidden="1" outlineLevel="1" ht="14.25" customFormat="1" customHeight="1" s="12">
      <c r="A213" s="239" t="n">
        <v>185</v>
      </c>
      <c r="B213" s="239" t="inlineStr">
        <is>
          <t>01.7.15.14-0021</t>
        </is>
      </c>
      <c r="C213" s="238" t="inlineStr">
        <is>
          <t>Шурупы для ГВЛ 3,9х25</t>
        </is>
      </c>
      <c r="D213" s="239" t="inlineStr">
        <is>
          <t>100 шт</t>
        </is>
      </c>
      <c r="E213" s="168" t="n">
        <v>10.4879125</v>
      </c>
      <c r="F213" s="241" t="n">
        <v>3</v>
      </c>
      <c r="G213" s="32">
        <f>ROUND(E213*F213,2)</f>
        <v/>
      </c>
      <c r="H213" s="174">
        <f>G213/$G$270</f>
        <v/>
      </c>
      <c r="I213" s="32" t="n">
        <v>24.12</v>
      </c>
      <c r="J213" s="32">
        <f>ROUND(I213*E213,2)</f>
        <v/>
      </c>
    </row>
    <row r="214" hidden="1" outlineLevel="1" ht="25.5" customFormat="1" customHeight="1" s="12">
      <c r="A214" s="239" t="n">
        <v>186</v>
      </c>
      <c r="B214" s="239" t="inlineStr">
        <is>
          <t>01.7.15.06-0146</t>
        </is>
      </c>
      <c r="C214" s="238" t="inlineStr">
        <is>
          <t>Гвозди толевые круглые, размер 3,0х40 мм</t>
        </is>
      </c>
      <c r="D214" s="239" t="inlineStr">
        <is>
          <t>т</t>
        </is>
      </c>
      <c r="E214" s="168" t="n">
        <v>0.0036575</v>
      </c>
      <c r="F214" s="241" t="n">
        <v>8475</v>
      </c>
      <c r="G214" s="32">
        <f>ROUND(E214*F214,2)</f>
        <v/>
      </c>
      <c r="H214" s="174">
        <f>G214/$G$270</f>
        <v/>
      </c>
      <c r="I214" s="32" t="n">
        <v>68139</v>
      </c>
      <c r="J214" s="32">
        <f>ROUND(I214*E214,2)</f>
        <v/>
      </c>
    </row>
    <row r="215" hidden="1" outlineLevel="1" ht="14.25" customFormat="1" customHeight="1" s="12">
      <c r="A215" s="239" t="n">
        <v>187</v>
      </c>
      <c r="B215" s="239" t="inlineStr">
        <is>
          <t>01.7.15.14-0023</t>
        </is>
      </c>
      <c r="C215" s="238" t="inlineStr">
        <is>
          <t>Шурупы для ГВЛ 3,9х45</t>
        </is>
      </c>
      <c r="D215" s="239" t="inlineStr">
        <is>
          <t>100 шт</t>
        </is>
      </c>
      <c r="E215" s="168" t="n">
        <v>6.0492625</v>
      </c>
      <c r="F215" s="241" t="n">
        <v>5</v>
      </c>
      <c r="G215" s="32">
        <f>ROUND(E215*F215,2)</f>
        <v/>
      </c>
      <c r="H215" s="174">
        <f>G215/$G$270</f>
        <v/>
      </c>
      <c r="I215" s="32" t="n">
        <v>40.2</v>
      </c>
      <c r="J215" s="32">
        <f>ROUND(I215*E215,2)</f>
        <v/>
      </c>
    </row>
    <row r="216" hidden="1" outlineLevel="1" ht="25.5" customFormat="1" customHeight="1" s="12">
      <c r="A216" s="239" t="n">
        <v>188</v>
      </c>
      <c r="B216" s="239" t="inlineStr">
        <is>
          <t>01.3.01.06-0050</t>
        </is>
      </c>
      <c r="C216" s="238" t="inlineStr">
        <is>
          <t>Смазка универсальная тугоплавкая УТ (консталин жировой)</t>
        </is>
      </c>
      <c r="D216" s="239" t="inlineStr">
        <is>
          <t>т</t>
        </is>
      </c>
      <c r="E216" s="168" t="n">
        <v>0.00155</v>
      </c>
      <c r="F216" s="241" t="n">
        <v>17500</v>
      </c>
      <c r="G216" s="32">
        <f>ROUND(E216*F216,2)</f>
        <v/>
      </c>
      <c r="H216" s="174">
        <f>G216/$G$270</f>
        <v/>
      </c>
      <c r="I216" s="32" t="n">
        <v>140700</v>
      </c>
      <c r="J216" s="32">
        <f>ROUND(I216*E216,2)</f>
        <v/>
      </c>
    </row>
    <row r="217" hidden="1" outlineLevel="1" ht="51" customFormat="1" customHeight="1" s="12">
      <c r="A217" s="239" t="n">
        <v>189</v>
      </c>
      <c r="B217" s="239" t="inlineStr">
        <is>
          <t>08.2.02.11-0007</t>
        </is>
      </c>
      <c r="C217" s="238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217" s="239" t="inlineStr">
        <is>
          <t>10 м</t>
        </is>
      </c>
      <c r="E217" s="168" t="n">
        <v>0.53700875</v>
      </c>
      <c r="F217" s="241" t="n">
        <v>50.24</v>
      </c>
      <c r="G217" s="32">
        <f>ROUND(E217*F217,2)</f>
        <v/>
      </c>
      <c r="H217" s="174">
        <f>G217/$G$270</f>
        <v/>
      </c>
      <c r="I217" s="32" t="n">
        <v>403.93</v>
      </c>
      <c r="J217" s="32">
        <f>ROUND(I217*E217,2)</f>
        <v/>
      </c>
    </row>
    <row r="218" hidden="1" outlineLevel="1" ht="25.5" customFormat="1" customHeight="1" s="12">
      <c r="A218" s="239" t="n">
        <v>190</v>
      </c>
      <c r="B218" s="239" t="inlineStr">
        <is>
          <t>08.1.02.17-0161</t>
        </is>
      </c>
      <c r="C218" s="238" t="inlineStr">
        <is>
          <t>Сетка тканая с квадратными ячейками № 05, без покрытия</t>
        </is>
      </c>
      <c r="D218" s="239" t="inlineStr">
        <is>
          <t>м2</t>
        </is>
      </c>
      <c r="E218" s="168" t="n">
        <v>0.9042</v>
      </c>
      <c r="F218" s="241" t="n">
        <v>28.25</v>
      </c>
      <c r="G218" s="32">
        <f>ROUND(E218*F218,2)</f>
        <v/>
      </c>
      <c r="H218" s="174">
        <f>G218/$G$270</f>
        <v/>
      </c>
      <c r="I218" s="32" t="n">
        <v>227.13</v>
      </c>
      <c r="J218" s="32">
        <f>ROUND(I218*E218,2)</f>
        <v/>
      </c>
    </row>
    <row r="219" hidden="1" outlineLevel="1" ht="25.5" customFormat="1" customHeight="1" s="12">
      <c r="A219" s="239" t="n">
        <v>191</v>
      </c>
      <c r="B219" s="239" t="inlineStr">
        <is>
          <t>04.3.01.09-0014</t>
        </is>
      </c>
      <c r="C219" s="238" t="inlineStr">
        <is>
          <t>Раствор готовый кладочный, цементный, М100</t>
        </is>
      </c>
      <c r="D219" s="239" t="inlineStr">
        <is>
          <t>м3</t>
        </is>
      </c>
      <c r="E219" s="168" t="n">
        <v>0.04875</v>
      </c>
      <c r="F219" s="241" t="n">
        <v>519.8</v>
      </c>
      <c r="G219" s="32">
        <f>ROUND(E219*F219,2)</f>
        <v/>
      </c>
      <c r="H219" s="174">
        <f>G219/$G$270</f>
        <v/>
      </c>
      <c r="I219" s="32" t="n">
        <v>4179.19</v>
      </c>
      <c r="J219" s="32">
        <f>ROUND(I219*E219,2)</f>
        <v/>
      </c>
    </row>
    <row r="220" hidden="1" outlineLevel="1" ht="14.25" customFormat="1" customHeight="1" s="12">
      <c r="A220" s="239" t="n">
        <v>192</v>
      </c>
      <c r="B220" s="239" t="inlineStr">
        <is>
          <t>01.7.11.07-0035</t>
        </is>
      </c>
      <c r="C220" s="238" t="inlineStr">
        <is>
          <t>Электроды диаметром: 4 мм Э46</t>
        </is>
      </c>
      <c r="D220" s="239" t="inlineStr">
        <is>
          <t>т</t>
        </is>
      </c>
      <c r="E220" s="168" t="n">
        <v>0.00228125</v>
      </c>
      <c r="F220" s="241" t="n">
        <v>10749</v>
      </c>
      <c r="G220" s="32">
        <f>ROUND(E220*F220,2)</f>
        <v/>
      </c>
      <c r="H220" s="174">
        <f>G220/$G$270</f>
        <v/>
      </c>
      <c r="I220" s="32" t="n">
        <v>86421.96000000001</v>
      </c>
      <c r="J220" s="32">
        <f>ROUND(I220*E220,2)</f>
        <v/>
      </c>
    </row>
    <row r="221" hidden="1" outlineLevel="1" ht="14.25" customFormat="1" customHeight="1" s="12">
      <c r="A221" s="239" t="n">
        <v>193</v>
      </c>
      <c r="B221" s="239" t="inlineStr">
        <is>
          <t>20.1.02.23-0082</t>
        </is>
      </c>
      <c r="C221" s="238" t="inlineStr">
        <is>
          <t>Перемычки гибкие, тип ПГС-50</t>
        </is>
      </c>
      <c r="D221" s="239" t="inlineStr">
        <is>
          <t>10 шт</t>
        </is>
      </c>
      <c r="E221" s="168" t="n">
        <v>0.625</v>
      </c>
      <c r="F221" s="241" t="n">
        <v>39</v>
      </c>
      <c r="G221" s="32">
        <f>ROUND(E221*F221,2)</f>
        <v/>
      </c>
      <c r="H221" s="174">
        <f>G221/$G$270</f>
        <v/>
      </c>
      <c r="I221" s="32" t="n">
        <v>313.56</v>
      </c>
      <c r="J221" s="32">
        <f>ROUND(I221*E221,2)</f>
        <v/>
      </c>
    </row>
    <row r="222" hidden="1" outlineLevel="1" ht="25.5" customFormat="1" customHeight="1" s="12">
      <c r="A222" s="239" t="n">
        <v>194</v>
      </c>
      <c r="B222" s="239" t="inlineStr">
        <is>
          <t>08.3.03.06-0002</t>
        </is>
      </c>
      <c r="C222" s="238" t="inlineStr">
        <is>
          <t>Проволока горячекатаная в мотках, диаметр 6,3-6,5 мм</t>
        </is>
      </c>
      <c r="D222" s="239" t="inlineStr">
        <is>
          <t>т</t>
        </is>
      </c>
      <c r="E222" s="168" t="n">
        <v>0.00537625</v>
      </c>
      <c r="F222" s="241" t="n">
        <v>4455.2</v>
      </c>
      <c r="G222" s="32">
        <f>ROUND(E222*F222,2)</f>
        <v/>
      </c>
      <c r="H222" s="174">
        <f>G222/$G$270</f>
        <v/>
      </c>
      <c r="I222" s="32" t="n">
        <v>35819.81</v>
      </c>
      <c r="J222" s="32">
        <f>ROUND(I222*E222,2)</f>
        <v/>
      </c>
    </row>
    <row r="223" hidden="1" outlineLevel="1" ht="25.5" customFormat="1" customHeight="1" s="12">
      <c r="A223" s="239" t="n">
        <v>195</v>
      </c>
      <c r="B223" s="239" t="inlineStr">
        <is>
          <t>01.3.05.03-0005</t>
        </is>
      </c>
      <c r="C223" s="238" t="inlineStr">
        <is>
          <t>Аммоний сернокислый (сульфат аммония) очищенный</t>
        </is>
      </c>
      <c r="D223" s="239" t="inlineStr">
        <is>
          <t>т</t>
        </is>
      </c>
      <c r="E223" s="168" t="n">
        <v>0.001735</v>
      </c>
      <c r="F223" s="241" t="n">
        <v>12486</v>
      </c>
      <c r="G223" s="32">
        <f>ROUND(E223*F223,2)</f>
        <v/>
      </c>
      <c r="H223" s="174">
        <f>G223/$G$270</f>
        <v/>
      </c>
      <c r="I223" s="32" t="n">
        <v>100387.44</v>
      </c>
      <c r="J223" s="32">
        <f>ROUND(I223*E223,2)</f>
        <v/>
      </c>
    </row>
    <row r="224" hidden="1" outlineLevel="1" ht="25.5" customFormat="1" customHeight="1" s="12">
      <c r="A224" s="239" t="n">
        <v>196</v>
      </c>
      <c r="B224" s="239" t="inlineStr">
        <is>
          <t>08.4.03.02-0004</t>
        </is>
      </c>
      <c r="C224" s="238" t="inlineStr">
        <is>
          <t>Сталь арматурная, горячекатаная, гладкая, класс А-I, диаметр 12 мм</t>
        </is>
      </c>
      <c r="D224" s="239" t="inlineStr">
        <is>
          <t>т</t>
        </is>
      </c>
      <c r="E224" s="168" t="n">
        <v>0.003225</v>
      </c>
      <c r="F224" s="241" t="n">
        <v>6508.75</v>
      </c>
      <c r="G224" s="32">
        <f>ROUND(E224*F224,2)</f>
        <v/>
      </c>
      <c r="H224" s="174">
        <f>G224/$G$270</f>
        <v/>
      </c>
      <c r="I224" s="32" t="n">
        <v>52330.35</v>
      </c>
      <c r="J224" s="32">
        <f>ROUND(I224*E224,2)</f>
        <v/>
      </c>
    </row>
    <row r="225" hidden="1" outlineLevel="1" ht="25.5" customFormat="1" customHeight="1" s="12">
      <c r="A225" s="239" t="n">
        <v>197</v>
      </c>
      <c r="B225" s="239" t="inlineStr">
        <is>
          <t>01.7.15.03-0034</t>
        </is>
      </c>
      <c r="C225" s="238" t="inlineStr">
        <is>
          <t>Болты с гайками и шайбами оцинкованные, диаметр 12 мм</t>
        </is>
      </c>
      <c r="D225" s="239" t="inlineStr">
        <is>
          <t>кг</t>
        </is>
      </c>
      <c r="E225" s="168" t="n">
        <v>0.8</v>
      </c>
      <c r="F225" s="241" t="n">
        <v>25.76</v>
      </c>
      <c r="G225" s="32">
        <f>ROUND(E225*F225,2)</f>
        <v/>
      </c>
      <c r="H225" s="174">
        <f>G225/$G$270</f>
        <v/>
      </c>
      <c r="I225" s="32" t="n">
        <v>207.11</v>
      </c>
      <c r="J225" s="32">
        <f>ROUND(I225*E225,2)</f>
        <v/>
      </c>
    </row>
    <row r="226" hidden="1" outlineLevel="1" ht="14.25" customFormat="1" customHeight="1" s="12">
      <c r="A226" s="239" t="n">
        <v>198</v>
      </c>
      <c r="B226" s="239" t="inlineStr">
        <is>
          <t>14.4.02.09-0001</t>
        </is>
      </c>
      <c r="C226" s="238" t="inlineStr">
        <is>
          <t>Краска</t>
        </is>
      </c>
      <c r="D226" s="239" t="inlineStr">
        <is>
          <t>кг</t>
        </is>
      </c>
      <c r="E226" s="168" t="n">
        <v>0.6675</v>
      </c>
      <c r="F226" s="241" t="n">
        <v>28.6</v>
      </c>
      <c r="G226" s="32">
        <f>ROUND(E226*F226,2)</f>
        <v/>
      </c>
      <c r="H226" s="174">
        <f>G226/$G$270</f>
        <v/>
      </c>
      <c r="I226" s="32" t="n">
        <v>229.94</v>
      </c>
      <c r="J226" s="32">
        <f>ROUND(I226*E226,2)</f>
        <v/>
      </c>
    </row>
    <row r="227" hidden="1" outlineLevel="1" ht="25.5" customFormat="1" customHeight="1" s="12">
      <c r="A227" s="239" t="n">
        <v>199</v>
      </c>
      <c r="B227" s="239" t="inlineStr">
        <is>
          <t>01.7.06.01-0042</t>
        </is>
      </c>
      <c r="C227" s="238" t="inlineStr">
        <is>
          <t>Лента эластичная самоклеящаяся для профилей направляющих 50/30000 мм</t>
        </is>
      </c>
      <c r="D227" s="239" t="inlineStr">
        <is>
          <t>м</t>
        </is>
      </c>
      <c r="E227" s="168" t="n">
        <v>31.16375</v>
      </c>
      <c r="F227" s="241" t="n">
        <v>0.6</v>
      </c>
      <c r="G227" s="32">
        <f>ROUND(E227*F227,2)</f>
        <v/>
      </c>
      <c r="H227" s="174">
        <f>G227/$G$270</f>
        <v/>
      </c>
      <c r="I227" s="32" t="n">
        <v>4.82</v>
      </c>
      <c r="J227" s="32">
        <f>ROUND(I227*E227,2)</f>
        <v/>
      </c>
    </row>
    <row r="228" hidden="1" outlineLevel="1" ht="38.25" customFormat="1" customHeight="1" s="12">
      <c r="A228" s="239" t="n">
        <v>200</v>
      </c>
      <c r="B228" s="239" t="inlineStr">
        <is>
          <t>11.1.03.06-0095</t>
        </is>
      </c>
      <c r="C228" s="238" t="inlineStr">
        <is>
          <t>Доска обрезная, хвойных пород, ширина 75-150 мм, толщина 44 мм и более, длина 4-6,5 м, сорт III</t>
        </is>
      </c>
      <c r="D228" s="239" t="inlineStr">
        <is>
          <t>м3</t>
        </is>
      </c>
      <c r="E228" s="168" t="n">
        <v>0.01705</v>
      </c>
      <c r="F228" s="241" t="n">
        <v>1056</v>
      </c>
      <c r="G228" s="32">
        <f>ROUND(E228*F228,2)</f>
        <v/>
      </c>
      <c r="H228" s="174">
        <f>G228/$G$270</f>
        <v/>
      </c>
      <c r="I228" s="32" t="n">
        <v>8490.24</v>
      </c>
      <c r="J228" s="32">
        <f>ROUND(I228*E228,2)</f>
        <v/>
      </c>
    </row>
    <row r="229" hidden="1" outlineLevel="1" ht="14.25" customFormat="1" customHeight="1" s="12">
      <c r="A229" s="239" t="n">
        <v>201</v>
      </c>
      <c r="B229" s="239" t="inlineStr">
        <is>
          <t>01.7.15.14-0022</t>
        </is>
      </c>
      <c r="C229" s="238" t="inlineStr">
        <is>
          <t>Шурупы для ГВЛ 3,9х30</t>
        </is>
      </c>
      <c r="D229" s="239" t="inlineStr">
        <is>
          <t>100 шт</t>
        </is>
      </c>
      <c r="E229" s="168" t="n">
        <v>4.4357375</v>
      </c>
      <c r="F229" s="241" t="n">
        <v>4</v>
      </c>
      <c r="G229" s="32">
        <f>ROUND(E229*F229,2)</f>
        <v/>
      </c>
      <c r="H229" s="174">
        <f>G229/$G$270</f>
        <v/>
      </c>
      <c r="I229" s="32" t="n">
        <v>32.16</v>
      </c>
      <c r="J229" s="32">
        <f>ROUND(I229*E229,2)</f>
        <v/>
      </c>
    </row>
    <row r="230" hidden="1" outlineLevel="1" ht="14.25" customFormat="1" customHeight="1" s="12">
      <c r="A230" s="239" t="n">
        <v>202</v>
      </c>
      <c r="B230" s="239" t="inlineStr">
        <is>
          <t>01.3.01.05-0009</t>
        </is>
      </c>
      <c r="C230" s="238" t="inlineStr">
        <is>
          <t>Парафин нефтяной твердый Т-1</t>
        </is>
      </c>
      <c r="D230" s="239" t="inlineStr">
        <is>
          <t>т</t>
        </is>
      </c>
      <c r="E230" s="168" t="n">
        <v>0.002075</v>
      </c>
      <c r="F230" s="241" t="n">
        <v>8105.71</v>
      </c>
      <c r="G230" s="32">
        <f>ROUND(E230*F230,2)</f>
        <v/>
      </c>
      <c r="H230" s="174">
        <f>G230/$G$270</f>
        <v/>
      </c>
      <c r="I230" s="32" t="n">
        <v>65169.91</v>
      </c>
      <c r="J230" s="32">
        <f>ROUND(I230*E230,2)</f>
        <v/>
      </c>
    </row>
    <row r="231" hidden="1" outlineLevel="1" ht="25.5" customFormat="1" customHeight="1" s="12">
      <c r="A231" s="239" t="n">
        <v>203</v>
      </c>
      <c r="B231" s="239" t="inlineStr">
        <is>
          <t>07.2.06.04-0011</t>
        </is>
      </c>
      <c r="C231" s="238" t="inlineStr">
        <is>
          <t>Верхний уголок для крепления несущих элементов двери 100х123 мм</t>
        </is>
      </c>
      <c r="D231" s="239" t="inlineStr">
        <is>
          <t>100 шт</t>
        </is>
      </c>
      <c r="E231" s="168" t="n">
        <v>0.05825</v>
      </c>
      <c r="F231" s="241" t="n">
        <v>279</v>
      </c>
      <c r="G231" s="32">
        <f>ROUND(E231*F231,2)</f>
        <v/>
      </c>
      <c r="H231" s="174">
        <f>G231/$G$270</f>
        <v/>
      </c>
      <c r="I231" s="32" t="n">
        <v>2243.16</v>
      </c>
      <c r="J231" s="32">
        <f>ROUND(I231*E231,2)</f>
        <v/>
      </c>
    </row>
    <row r="232" hidden="1" outlineLevel="1" ht="25.5" customFormat="1" customHeight="1" s="12">
      <c r="A232" s="239" t="n">
        <v>204</v>
      </c>
      <c r="B232" s="239" t="inlineStr">
        <is>
          <t>07.2.06.04-0061</t>
        </is>
      </c>
      <c r="C232" s="238" t="inlineStr">
        <is>
          <t>Нижний уголок для крепления несущих элементов двери 100х123 мм</t>
        </is>
      </c>
      <c r="D232" s="239" t="inlineStr">
        <is>
          <t>100 шт</t>
        </is>
      </c>
      <c r="E232" s="168" t="n">
        <v>0.05825</v>
      </c>
      <c r="F232" s="241" t="n">
        <v>279</v>
      </c>
      <c r="G232" s="32">
        <f>ROUND(E232*F232,2)</f>
        <v/>
      </c>
      <c r="H232" s="174">
        <f>G232/$G$270</f>
        <v/>
      </c>
      <c r="I232" s="32" t="n">
        <v>2243.16</v>
      </c>
      <c r="J232" s="32">
        <f>ROUND(I232*E232,2)</f>
        <v/>
      </c>
    </row>
    <row r="233" hidden="1" outlineLevel="1" ht="14.25" customFormat="1" customHeight="1" s="12">
      <c r="A233" s="239" t="n">
        <v>205</v>
      </c>
      <c r="B233" s="239" t="inlineStr">
        <is>
          <t>01.7.15.14-0165</t>
        </is>
      </c>
      <c r="C233" s="238" t="inlineStr">
        <is>
          <t>Шурупы с полукруглой головкой 4х40 мм</t>
        </is>
      </c>
      <c r="D233" s="239" t="inlineStr">
        <is>
          <t>т</t>
        </is>
      </c>
      <c r="E233" s="168" t="n">
        <v>0.001275</v>
      </c>
      <c r="F233" s="241" t="n">
        <v>12430</v>
      </c>
      <c r="G233" s="32">
        <f>ROUND(E233*F233,2)</f>
        <v/>
      </c>
      <c r="H233" s="174">
        <f>G233/$G$270</f>
        <v/>
      </c>
      <c r="I233" s="32" t="n">
        <v>99937.2</v>
      </c>
      <c r="J233" s="32">
        <f>ROUND(I233*E233,2)</f>
        <v/>
      </c>
    </row>
    <row r="234" hidden="1" outlineLevel="1" ht="14.25" customFormat="1" customHeight="1" s="12">
      <c r="A234" s="239" t="n">
        <v>206</v>
      </c>
      <c r="B234" s="239" t="inlineStr">
        <is>
          <t>01.7.07.29-0091</t>
        </is>
      </c>
      <c r="C234" s="238" t="inlineStr">
        <is>
          <t>Опилки древесные</t>
        </is>
      </c>
      <c r="D234" s="239" t="inlineStr">
        <is>
          <t>м3</t>
        </is>
      </c>
      <c r="E234" s="168" t="n">
        <v>0.4131</v>
      </c>
      <c r="F234" s="241" t="n">
        <v>34.92</v>
      </c>
      <c r="G234" s="32">
        <f>ROUND(E234*F234,2)</f>
        <v/>
      </c>
      <c r="H234" s="174">
        <f>G234/$G$270</f>
        <v/>
      </c>
      <c r="I234" s="32" t="n">
        <v>280.76</v>
      </c>
      <c r="J234" s="32">
        <f>ROUND(I234*E234,2)</f>
        <v/>
      </c>
    </row>
    <row r="235" hidden="1" outlineLevel="1" ht="51" customFormat="1" customHeight="1" s="12">
      <c r="A235" s="239" t="n">
        <v>207</v>
      </c>
      <c r="B235" s="239" t="inlineStr">
        <is>
          <t>14.5.04.03-0002</t>
        </is>
      </c>
      <c r="C235" s="238" t="inlineStr">
        <is>
          <t>Мастика герметизирующая нетвердеющая из синтетического каучука, для заполнения и герметизации швов стеклянного ограждения теплиц</t>
        </is>
      </c>
      <c r="D235" s="239" t="inlineStr">
        <is>
          <t>т</t>
        </is>
      </c>
      <c r="E235" s="168" t="n">
        <v>0.0008375</v>
      </c>
      <c r="F235" s="241" t="n">
        <v>17183</v>
      </c>
      <c r="G235" s="32">
        <f>ROUND(E235*F235,2)</f>
        <v/>
      </c>
      <c r="H235" s="174">
        <f>G235/$G$270</f>
        <v/>
      </c>
      <c r="I235" s="32" t="n">
        <v>138151.32</v>
      </c>
      <c r="J235" s="32">
        <f>ROUND(I235*E235,2)</f>
        <v/>
      </c>
    </row>
    <row r="236" hidden="1" outlineLevel="1" ht="25.5" customFormat="1" customHeight="1" s="12">
      <c r="A236" s="239" t="n">
        <v>208</v>
      </c>
      <c r="B236" s="239" t="inlineStr">
        <is>
          <t>01.7.06.04-0002</t>
        </is>
      </c>
      <c r="C236" s="238" t="inlineStr">
        <is>
          <t>Лента бумажная для повышения трещиностойкости стыков ГКЛ и ГВЛ</t>
        </is>
      </c>
      <c r="D236" s="239" t="inlineStr">
        <is>
          <t>м</t>
        </is>
      </c>
      <c r="E236" s="168" t="n">
        <v>76.89</v>
      </c>
      <c r="F236" s="241" t="n">
        <v>0.17</v>
      </c>
      <c r="G236" s="32">
        <f>ROUND(E236*F236,2)</f>
        <v/>
      </c>
      <c r="H236" s="174">
        <f>G236/$G$270</f>
        <v/>
      </c>
      <c r="I236" s="32" t="n">
        <v>1.37</v>
      </c>
      <c r="J236" s="32">
        <f>ROUND(I236*E236,2)</f>
        <v/>
      </c>
    </row>
    <row r="237" hidden="1" outlineLevel="1" ht="14.25" customFormat="1" customHeight="1" s="12">
      <c r="A237" s="239" t="n">
        <v>209</v>
      </c>
      <c r="B237" s="239" t="inlineStr">
        <is>
          <t>01.7.07.20-0002</t>
        </is>
      </c>
      <c r="C237" s="238" t="inlineStr">
        <is>
          <t>Тальк молотый, сорт I</t>
        </is>
      </c>
      <c r="D237" s="239" t="inlineStr">
        <is>
          <t>т</t>
        </is>
      </c>
      <c r="E237" s="168" t="n">
        <v>0.0065625</v>
      </c>
      <c r="F237" s="241" t="n">
        <v>1820</v>
      </c>
      <c r="G237" s="32">
        <f>ROUND(E237*F237,2)</f>
        <v/>
      </c>
      <c r="H237" s="174">
        <f>G237/$G$270</f>
        <v/>
      </c>
      <c r="I237" s="32" t="n">
        <v>14632.8</v>
      </c>
      <c r="J237" s="32">
        <f>ROUND(I237*E237,2)</f>
        <v/>
      </c>
    </row>
    <row r="238" hidden="1" outlineLevel="1" ht="14.25" customFormat="1" customHeight="1" s="12">
      <c r="A238" s="239" t="n">
        <v>210</v>
      </c>
      <c r="B238" s="239" t="inlineStr">
        <is>
          <t>20.2.09.13-0011</t>
        </is>
      </c>
      <c r="C238" s="238" t="inlineStr">
        <is>
          <t>Муфты</t>
        </is>
      </c>
      <c r="D238" s="239" t="inlineStr">
        <is>
          <t>шт</t>
        </is>
      </c>
      <c r="E238" s="168" t="n">
        <v>2.25</v>
      </c>
      <c r="F238" s="241" t="n">
        <v>5</v>
      </c>
      <c r="G238" s="32">
        <f>ROUND(E238*F238,2)</f>
        <v/>
      </c>
      <c r="H238" s="174">
        <f>G238/$G$270</f>
        <v/>
      </c>
      <c r="I238" s="32" t="n">
        <v>40.2</v>
      </c>
      <c r="J238" s="32">
        <f>ROUND(I238*E238,2)</f>
        <v/>
      </c>
    </row>
    <row r="239" hidden="1" outlineLevel="1" ht="14.25" customFormat="1" customHeight="1" s="12">
      <c r="A239" s="239" t="n">
        <v>211</v>
      </c>
      <c r="B239" s="239" t="inlineStr">
        <is>
          <t>01.7.03.01-0001</t>
        </is>
      </c>
      <c r="C239" s="238" t="inlineStr">
        <is>
          <t>Вода</t>
        </is>
      </c>
      <c r="D239" s="239" t="inlineStr">
        <is>
          <t>м3</t>
        </is>
      </c>
      <c r="E239" s="168" t="n">
        <v>4.35677625</v>
      </c>
      <c r="F239" s="241" t="n">
        <v>2.44</v>
      </c>
      <c r="G239" s="32">
        <f>ROUND(E239*F239,2)</f>
        <v/>
      </c>
      <c r="H239" s="174">
        <f>G239/$G$270</f>
        <v/>
      </c>
      <c r="I239" s="32" t="n">
        <v>19.62</v>
      </c>
      <c r="J239" s="32">
        <f>ROUND(I239*E239,2)</f>
        <v/>
      </c>
    </row>
    <row r="240" hidden="1" outlineLevel="1" ht="38.25" customFormat="1" customHeight="1" s="12">
      <c r="A240" s="239" t="n">
        <v>212</v>
      </c>
      <c r="B240" s="239" t="inlineStr">
        <is>
          <t>08.3.07.01-0076</t>
        </is>
      </c>
      <c r="C240" s="238" t="inlineStr">
        <is>
          <t>Прокат полосовой, горячекатаный, марка стали Ст3сп, ширина 50-200 мм, толщина 4-5 мм</t>
        </is>
      </c>
      <c r="D240" s="239" t="inlineStr">
        <is>
          <t>т</t>
        </is>
      </c>
      <c r="E240" s="168" t="n">
        <v>0.0021</v>
      </c>
      <c r="F240" s="241" t="n">
        <v>5000</v>
      </c>
      <c r="G240" s="32">
        <f>ROUND(E240*F240,2)</f>
        <v/>
      </c>
      <c r="H240" s="174">
        <f>G240/$G$270</f>
        <v/>
      </c>
      <c r="I240" s="32" t="n">
        <v>40200</v>
      </c>
      <c r="J240" s="32">
        <f>ROUND(I240*E240,2)</f>
        <v/>
      </c>
    </row>
    <row r="241" hidden="1" outlineLevel="1" ht="38.25" customFormat="1" customHeight="1" s="12">
      <c r="A241" s="239" t="n">
        <v>213</v>
      </c>
      <c r="B241" s="239" t="inlineStr">
        <is>
          <t>01.7.06.05-0041</t>
        </is>
      </c>
      <c r="C241" s="238" t="inlineStr">
        <is>
          <t>Лента изоляционная прорезиненная односторонняя, ширина 20 мм, толщина 0,25-0,35 мм</t>
        </is>
      </c>
      <c r="D241" s="239" t="inlineStr">
        <is>
          <t>кг</t>
        </is>
      </c>
      <c r="E241" s="168" t="n">
        <v>0.342875</v>
      </c>
      <c r="F241" s="241" t="n">
        <v>30.4</v>
      </c>
      <c r="G241" s="32">
        <f>ROUND(E241*F241,2)</f>
        <v/>
      </c>
      <c r="H241" s="174">
        <f>G241/$G$270</f>
        <v/>
      </c>
      <c r="I241" s="32" t="n">
        <v>244.42</v>
      </c>
      <c r="J241" s="32">
        <f>ROUND(I241*E241,2)</f>
        <v/>
      </c>
    </row>
    <row r="242" hidden="1" outlineLevel="1" ht="51" customFormat="1" customHeight="1" s="12">
      <c r="A242" s="239" t="n">
        <v>214</v>
      </c>
      <c r="B242" s="239" t="inlineStr">
        <is>
          <t>14.4.02.04-0261</t>
        </is>
      </c>
      <c r="C242" s="238" t="inlineStr">
        <is>
          <t>Краска масляная, цветная, жидкотертая, готовая к применению для наружных и внутренних работ МА-25 розово-бежевая, светло-бежевая, светло-серая</t>
        </is>
      </c>
      <c r="D242" s="239" t="inlineStr">
        <is>
          <t>т</t>
        </is>
      </c>
      <c r="E242" s="168" t="n">
        <v>0.000615</v>
      </c>
      <c r="F242" s="241" t="n">
        <v>15707</v>
      </c>
      <c r="G242" s="32">
        <f>ROUND(E242*F242,2)</f>
        <v/>
      </c>
      <c r="H242" s="174">
        <f>G242/$G$270</f>
        <v/>
      </c>
      <c r="I242" s="32" t="n">
        <v>126284.28</v>
      </c>
      <c r="J242" s="32">
        <f>ROUND(I242*E242,2)</f>
        <v/>
      </c>
    </row>
    <row r="243" hidden="1" outlineLevel="1" ht="25.5" customFormat="1" customHeight="1" s="12">
      <c r="A243" s="239" t="n">
        <v>215</v>
      </c>
      <c r="B243" s="239" t="inlineStr">
        <is>
          <t>01.7.11.07-0045</t>
        </is>
      </c>
      <c r="C243" s="238" t="inlineStr">
        <is>
          <t>Электроды сварочные Э42А, диаметр 5 мм</t>
        </is>
      </c>
      <c r="D243" s="239" t="inlineStr">
        <is>
          <t>т</t>
        </is>
      </c>
      <c r="E243" s="168" t="n">
        <v>0.0008975</v>
      </c>
      <c r="F243" s="241" t="n">
        <v>10362</v>
      </c>
      <c r="G243" s="32">
        <f>ROUND(E243*F243,2)</f>
        <v/>
      </c>
      <c r="H243" s="174">
        <f>G243/$G$270</f>
        <v/>
      </c>
      <c r="I243" s="32" t="n">
        <v>83310.48</v>
      </c>
      <c r="J243" s="32">
        <f>ROUND(I243*E243,2)</f>
        <v/>
      </c>
    </row>
    <row r="244" hidden="1" outlineLevel="1" ht="25.5" customFormat="1" customHeight="1" s="12">
      <c r="A244" s="239" t="n">
        <v>216</v>
      </c>
      <c r="B244" s="239" t="inlineStr">
        <is>
          <t>01.1.01.09-0026</t>
        </is>
      </c>
      <c r="C244" s="238" t="inlineStr">
        <is>
          <t>Шнур асбестовый общего назначения ШАОН, диаметр 8-10 мм</t>
        </is>
      </c>
      <c r="D244" s="239" t="inlineStr">
        <is>
          <t>т</t>
        </is>
      </c>
      <c r="E244" s="168" t="n">
        <v>0.00031875</v>
      </c>
      <c r="F244" s="241" t="n">
        <v>26499</v>
      </c>
      <c r="G244" s="32">
        <f>ROUND(E244*F244,2)</f>
        <v/>
      </c>
      <c r="H244" s="174">
        <f>G244/$G$270</f>
        <v/>
      </c>
      <c r="I244" s="32" t="n">
        <v>213051.96</v>
      </c>
      <c r="J244" s="32">
        <f>ROUND(I244*E244,2)</f>
        <v/>
      </c>
    </row>
    <row r="245" hidden="1" outlineLevel="1" ht="25.5" customFormat="1" customHeight="1" s="12">
      <c r="A245" s="239" t="n">
        <v>217</v>
      </c>
      <c r="B245" s="239" t="inlineStr">
        <is>
          <t>04.3.01.12-0111</t>
        </is>
      </c>
      <c r="C245" s="238" t="inlineStr">
        <is>
          <t>Раствор готовый отделочный тяжелый, цементно-известковый, состав 1:1:6</t>
        </is>
      </c>
      <c r="D245" s="239" t="inlineStr">
        <is>
          <t>м3</t>
        </is>
      </c>
      <c r="E245" s="168" t="n">
        <v>0.0137</v>
      </c>
      <c r="F245" s="241" t="n">
        <v>517.91</v>
      </c>
      <c r="G245" s="32">
        <f>ROUND(E245*F245,2)</f>
        <v/>
      </c>
      <c r="H245" s="174">
        <f>G245/$G$270</f>
        <v/>
      </c>
      <c r="I245" s="32" t="n">
        <v>4164</v>
      </c>
      <c r="J245" s="32">
        <f>ROUND(I245*E245,2)</f>
        <v/>
      </c>
    </row>
    <row r="246" hidden="1" outlineLevel="1" ht="38.25" customFormat="1" customHeight="1" s="12">
      <c r="A246" s="239" t="n">
        <v>218</v>
      </c>
      <c r="B246" s="239" t="inlineStr">
        <is>
          <t>08.3.07.01-0004</t>
        </is>
      </c>
      <c r="C246" s="238" t="inlineStr">
        <is>
          <t>Прокат полосовой, горячекатаный, марка стали Ст3сп, ширина 100-200 мм, толщина 10-75 мм</t>
        </is>
      </c>
      <c r="D246" s="239" t="inlineStr">
        <is>
          <t>т</t>
        </is>
      </c>
      <c r="E246" s="168" t="n">
        <v>0.00125</v>
      </c>
      <c r="F246" s="241" t="n">
        <v>5650</v>
      </c>
      <c r="G246" s="32">
        <f>ROUND(E246*F246,2)</f>
        <v/>
      </c>
      <c r="H246" s="174">
        <f>G246/$G$270</f>
        <v/>
      </c>
      <c r="I246" s="32" t="n">
        <v>45426</v>
      </c>
      <c r="J246" s="32">
        <f>ROUND(I246*E246,2)</f>
        <v/>
      </c>
    </row>
    <row r="247" hidden="1" outlineLevel="1" ht="38.25" customFormat="1" customHeight="1" s="12">
      <c r="A247" s="239" t="n">
        <v>219</v>
      </c>
      <c r="B247" s="239" t="inlineStr">
        <is>
          <t>08.3.03.05-0013</t>
        </is>
      </c>
      <c r="C247" s="238" t="inlineStr">
        <is>
          <t>Проволока стальная низкоуглеродистая разного назначения оцинкованная, диаметр 1,6 мм</t>
        </is>
      </c>
      <c r="D247" s="239" t="inlineStr">
        <is>
          <t>т</t>
        </is>
      </c>
      <c r="E247" s="168" t="n">
        <v>0.000475</v>
      </c>
      <c r="F247" s="241" t="n">
        <v>14690</v>
      </c>
      <c r="G247" s="32">
        <f>ROUND(E247*F247,2)</f>
        <v/>
      </c>
      <c r="H247" s="174">
        <f>G247/$G$270</f>
        <v/>
      </c>
      <c r="I247" s="32" t="n">
        <v>118107.6</v>
      </c>
      <c r="J247" s="32">
        <f>ROUND(I247*E247,2)</f>
        <v/>
      </c>
    </row>
    <row r="248" hidden="1" outlineLevel="1" ht="14.25" customFormat="1" customHeight="1" s="12">
      <c r="A248" s="239" t="n">
        <v>220</v>
      </c>
      <c r="B248" s="239" t="inlineStr">
        <is>
          <t>01.7.19.07-0003</t>
        </is>
      </c>
      <c r="C248" s="238" t="inlineStr">
        <is>
          <t>Резина прессованная</t>
        </is>
      </c>
      <c r="D248" s="239" t="inlineStr">
        <is>
          <t>кг</t>
        </is>
      </c>
      <c r="E248" s="168" t="n">
        <v>0.247</v>
      </c>
      <c r="F248" s="241" t="n">
        <v>28.26</v>
      </c>
      <c r="G248" s="32">
        <f>ROUND(E248*F248,2)</f>
        <v/>
      </c>
      <c r="H248" s="174">
        <f>G248/$G$270</f>
        <v/>
      </c>
      <c r="I248" s="32" t="n">
        <v>227.21</v>
      </c>
      <c r="J248" s="32">
        <f>ROUND(I248*E248,2)</f>
        <v/>
      </c>
    </row>
    <row r="249" hidden="1" outlineLevel="1" ht="14.25" customFormat="1" customHeight="1" s="12">
      <c r="A249" s="239" t="n">
        <v>221</v>
      </c>
      <c r="B249" s="239" t="inlineStr">
        <is>
          <t>01.7.17.05-0021</t>
        </is>
      </c>
      <c r="C249" s="238" t="inlineStr">
        <is>
          <t>Карборунд</t>
        </is>
      </c>
      <c r="D249" s="239" t="inlineStr">
        <is>
          <t>кг</t>
        </is>
      </c>
      <c r="E249" s="168" t="n">
        <v>0.87703125</v>
      </c>
      <c r="F249" s="241" t="n">
        <v>5.71</v>
      </c>
      <c r="G249" s="32">
        <f>ROUND(E249*F249,2)</f>
        <v/>
      </c>
      <c r="H249" s="174">
        <f>G249/$G$270</f>
        <v/>
      </c>
      <c r="I249" s="32" t="n">
        <v>45.91</v>
      </c>
      <c r="J249" s="32">
        <f>ROUND(I249*E249,2)</f>
        <v/>
      </c>
    </row>
    <row r="250" hidden="1" outlineLevel="1" ht="14.25" customFormat="1" customHeight="1" s="12">
      <c r="A250" s="239" t="n">
        <v>222</v>
      </c>
      <c r="B250" s="239" t="inlineStr">
        <is>
          <t>25.2.01.01-0001</t>
        </is>
      </c>
      <c r="C250" s="238" t="inlineStr">
        <is>
          <t>Бирки-оконцеватели</t>
        </is>
      </c>
      <c r="D250" s="239" t="inlineStr">
        <is>
          <t>100 шт</t>
        </is>
      </c>
      <c r="E250" s="168" t="n">
        <v>0.07625</v>
      </c>
      <c r="F250" s="241" t="n">
        <v>63</v>
      </c>
      <c r="G250" s="32">
        <f>ROUND(E250*F250,2)</f>
        <v/>
      </c>
      <c r="H250" s="174">
        <f>G250/$G$270</f>
        <v/>
      </c>
      <c r="I250" s="32" t="n">
        <v>506.52</v>
      </c>
      <c r="J250" s="32">
        <f>ROUND(I250*E250,2)</f>
        <v/>
      </c>
    </row>
    <row r="251" hidden="1" outlineLevel="1" ht="14.25" customFormat="1" customHeight="1" s="12">
      <c r="A251" s="239" t="n">
        <v>223</v>
      </c>
      <c r="B251" s="239" t="inlineStr">
        <is>
          <t>14.1.02.01-0002</t>
        </is>
      </c>
      <c r="C251" s="238" t="inlineStr">
        <is>
          <t>Клей БМК-5к</t>
        </is>
      </c>
      <c r="D251" s="239" t="inlineStr">
        <is>
          <t>кг</t>
        </is>
      </c>
      <c r="E251" s="168" t="n">
        <v>0.175</v>
      </c>
      <c r="F251" s="241" t="n">
        <v>25.8</v>
      </c>
      <c r="G251" s="32">
        <f>ROUND(E251*F251,2)</f>
        <v/>
      </c>
      <c r="H251" s="174">
        <f>G251/$G$270</f>
        <v/>
      </c>
      <c r="I251" s="32" t="n">
        <v>207.43</v>
      </c>
      <c r="J251" s="32">
        <f>ROUND(I251*E251,2)</f>
        <v/>
      </c>
    </row>
    <row r="252" hidden="1" outlineLevel="1" ht="51" customFormat="1" customHeight="1" s="12">
      <c r="A252" s="239" t="n">
        <v>224</v>
      </c>
      <c r="B252" s="239" t="inlineStr">
        <is>
          <t>14.5.05.01-0012</t>
        </is>
      </c>
      <c r="C252" s="238" t="inlineStr">
        <is>
          <t>Олифа комбинированная для разведения масляных густотертых красок и для внешних работ по деревянным поверхностям</t>
        </is>
      </c>
      <c r="D252" s="239" t="inlineStr">
        <is>
          <t>т</t>
        </is>
      </c>
      <c r="E252" s="168" t="n">
        <v>0.0002</v>
      </c>
      <c r="F252" s="241" t="n">
        <v>16950</v>
      </c>
      <c r="G252" s="32">
        <f>ROUND(E252*F252,2)</f>
        <v/>
      </c>
      <c r="H252" s="174">
        <f>G252/$G$270</f>
        <v/>
      </c>
      <c r="I252" s="32" t="n">
        <v>136278</v>
      </c>
      <c r="J252" s="32">
        <f>ROUND(I252*E252,2)</f>
        <v/>
      </c>
    </row>
    <row r="253" hidden="1" outlineLevel="1" ht="25.5" customFormat="1" customHeight="1" s="12">
      <c r="A253" s="239" t="n">
        <v>225</v>
      </c>
      <c r="B253" s="239" t="inlineStr">
        <is>
          <t>03.1.02.03-0011</t>
        </is>
      </c>
      <c r="C253" s="238" t="inlineStr">
        <is>
          <t>Известь строительная негашеная комовая, сорт I</t>
        </is>
      </c>
      <c r="D253" s="239" t="inlineStr">
        <is>
          <t>т</t>
        </is>
      </c>
      <c r="E253" s="168" t="n">
        <v>0.0042625</v>
      </c>
      <c r="F253" s="241" t="n">
        <v>734.5</v>
      </c>
      <c r="G253" s="32">
        <f>ROUND(E253*F253,2)</f>
        <v/>
      </c>
      <c r="H253" s="174">
        <f>G253/$G$270</f>
        <v/>
      </c>
      <c r="I253" s="32" t="n">
        <v>5905.38</v>
      </c>
      <c r="J253" s="32">
        <f>ROUND(I253*E253,2)</f>
        <v/>
      </c>
    </row>
    <row r="254" hidden="1" outlineLevel="1" ht="25.5" customFormat="1" customHeight="1" s="12">
      <c r="A254" s="239" t="n">
        <v>226</v>
      </c>
      <c r="B254" s="239" t="inlineStr">
        <is>
          <t>14.4.02.04-0142</t>
        </is>
      </c>
      <c r="C254" s="238" t="inlineStr">
        <is>
          <t>Краски масляные земляные марки: МА-0115 мумия, сурик железный</t>
        </is>
      </c>
      <c r="D254" s="239" t="inlineStr">
        <is>
          <t>кг</t>
        </is>
      </c>
      <c r="E254" s="168" t="n">
        <v>0.1675</v>
      </c>
      <c r="F254" s="241" t="n">
        <v>15.12</v>
      </c>
      <c r="G254" s="32">
        <f>ROUND(E254*F254,2)</f>
        <v/>
      </c>
      <c r="H254" s="174">
        <f>G254/$G$270</f>
        <v/>
      </c>
      <c r="I254" s="32" t="n">
        <v>121.56</v>
      </c>
      <c r="J254" s="32">
        <f>ROUND(I254*E254,2)</f>
        <v/>
      </c>
    </row>
    <row r="255" hidden="1" outlineLevel="1" ht="25.5" customFormat="1" customHeight="1" s="12">
      <c r="A255" s="239" t="n">
        <v>227</v>
      </c>
      <c r="B255" s="239" t="inlineStr">
        <is>
          <t>01.3.02.03-0011</t>
        </is>
      </c>
      <c r="C255" s="238" t="inlineStr">
        <is>
          <t>Ацетилен растворенный технический, марка А</t>
        </is>
      </c>
      <c r="D255" s="239" t="inlineStr">
        <is>
          <t>т</t>
        </is>
      </c>
      <c r="E255" s="168" t="n">
        <v>7.25e-05</v>
      </c>
      <c r="F255" s="241" t="n">
        <v>32830</v>
      </c>
      <c r="G255" s="32">
        <f>ROUND(E255*F255,2)</f>
        <v/>
      </c>
      <c r="H255" s="174">
        <f>G255/$G$270</f>
        <v/>
      </c>
      <c r="I255" s="32" t="n">
        <v>263953.2</v>
      </c>
      <c r="J255" s="32">
        <f>ROUND(I255*E255,2)</f>
        <v/>
      </c>
    </row>
    <row r="256" hidden="1" outlineLevel="1" ht="14.25" customFormat="1" customHeight="1" s="12">
      <c r="A256" s="239" t="n">
        <v>228</v>
      </c>
      <c r="B256" s="239" t="inlineStr">
        <is>
          <t>14.5.05.02-0001</t>
        </is>
      </c>
      <c r="C256" s="238" t="inlineStr">
        <is>
          <t>Олифа натуральная</t>
        </is>
      </c>
      <c r="D256" s="239" t="inlineStr">
        <is>
          <t>кг</t>
        </is>
      </c>
      <c r="E256" s="168" t="n">
        <v>0.07000000000000001</v>
      </c>
      <c r="F256" s="241" t="n">
        <v>32.6</v>
      </c>
      <c r="G256" s="32">
        <f>ROUND(E256*F256,2)</f>
        <v/>
      </c>
      <c r="H256" s="174">
        <f>G256/$G$270</f>
        <v/>
      </c>
      <c r="I256" s="32" t="n">
        <v>262.1</v>
      </c>
      <c r="J256" s="32">
        <f>ROUND(I256*E256,2)</f>
        <v/>
      </c>
    </row>
    <row r="257" hidden="1" outlineLevel="1" ht="25.5" customFormat="1" customHeight="1" s="12">
      <c r="A257" s="239" t="n">
        <v>229</v>
      </c>
      <c r="B257" s="239" t="inlineStr">
        <is>
          <t>01.7.11.04-0072</t>
        </is>
      </c>
      <c r="C257" s="238" t="inlineStr">
        <is>
          <t>Проволока сварочная легированная, диаметр 4 мм</t>
        </is>
      </c>
      <c r="D257" s="239" t="inlineStr">
        <is>
          <t>т</t>
        </is>
      </c>
      <c r="E257" s="168" t="n">
        <v>0.00015</v>
      </c>
      <c r="F257" s="241" t="n">
        <v>13560</v>
      </c>
      <c r="G257" s="32">
        <f>ROUND(E257*F257,2)</f>
        <v/>
      </c>
      <c r="H257" s="174">
        <f>G257/$G$270</f>
        <v/>
      </c>
      <c r="I257" s="32" t="n">
        <v>109022.4</v>
      </c>
      <c r="J257" s="32">
        <f>ROUND(I257*E257,2)</f>
        <v/>
      </c>
    </row>
    <row r="258" hidden="1" outlineLevel="1" ht="14.25" customFormat="1" customHeight="1" s="12">
      <c r="A258" s="239" t="n">
        <v>230</v>
      </c>
      <c r="B258" s="239" t="inlineStr">
        <is>
          <t>01.7.20.08-0051</t>
        </is>
      </c>
      <c r="C258" s="238" t="inlineStr">
        <is>
          <t>Ветошь</t>
        </is>
      </c>
      <c r="D258" s="239" t="inlineStr">
        <is>
          <t>кг</t>
        </is>
      </c>
      <c r="E258" s="168" t="n">
        <v>1.01921875</v>
      </c>
      <c r="F258" s="241" t="n">
        <v>1.82</v>
      </c>
      <c r="G258" s="32">
        <f>ROUND(E258*F258,2)</f>
        <v/>
      </c>
      <c r="H258" s="174">
        <f>G258/$G$270</f>
        <v/>
      </c>
      <c r="I258" s="32" t="n">
        <v>14.63</v>
      </c>
      <c r="J258" s="32">
        <f>ROUND(I258*E258,2)</f>
        <v/>
      </c>
    </row>
    <row r="259" hidden="1" outlineLevel="1" ht="14.25" customFormat="1" customHeight="1" s="12">
      <c r="A259" s="239" t="n">
        <v>231</v>
      </c>
      <c r="B259" s="239" t="inlineStr">
        <is>
          <t>03.1.01.01-0002</t>
        </is>
      </c>
      <c r="C259" s="238" t="inlineStr">
        <is>
          <t>Гипс строительный Г-3</t>
        </is>
      </c>
      <c r="D259" s="239" t="inlineStr">
        <is>
          <t>т</t>
        </is>
      </c>
      <c r="E259" s="168" t="n">
        <v>0.002375</v>
      </c>
      <c r="F259" s="241" t="n">
        <v>729.98</v>
      </c>
      <c r="G259" s="32">
        <f>ROUND(E259*F259,2)</f>
        <v/>
      </c>
      <c r="H259" s="174">
        <f>G259/$G$270</f>
        <v/>
      </c>
      <c r="I259" s="32" t="n">
        <v>5869.04</v>
      </c>
      <c r="J259" s="32">
        <f>ROUND(I259*E259,2)</f>
        <v/>
      </c>
    </row>
    <row r="260" hidden="1" outlineLevel="1" ht="25.5" customFormat="1" customHeight="1" s="12">
      <c r="A260" s="239" t="n">
        <v>232</v>
      </c>
      <c r="B260" s="239" t="inlineStr">
        <is>
          <t>04.3.02.14-0101</t>
        </is>
      </c>
      <c r="C260" s="238" t="inlineStr">
        <is>
          <t>Смеси сухие известково-карбонатные штукатурные</t>
        </is>
      </c>
      <c r="D260" s="239" t="inlineStr">
        <is>
          <t>т</t>
        </is>
      </c>
      <c r="E260" s="168" t="n">
        <v>0.00075</v>
      </c>
      <c r="F260" s="241" t="n">
        <v>1470</v>
      </c>
      <c r="G260" s="32">
        <f>ROUND(E260*F260,2)</f>
        <v/>
      </c>
      <c r="H260" s="174">
        <f>G260/$G$270</f>
        <v/>
      </c>
      <c r="I260" s="32" t="n">
        <v>11818.8</v>
      </c>
      <c r="J260" s="32">
        <f>ROUND(I260*E260,2)</f>
        <v/>
      </c>
    </row>
    <row r="261" hidden="1" outlineLevel="1" ht="14.25" customFormat="1" customHeight="1" s="12">
      <c r="A261" s="239" t="n">
        <v>233</v>
      </c>
      <c r="B261" s="239" t="inlineStr">
        <is>
          <t>07.2.07.02-0001</t>
        </is>
      </c>
      <c r="C261" s="238" t="inlineStr">
        <is>
          <t>Кондуктор инвентарный металлический</t>
        </is>
      </c>
      <c r="D261" s="239" t="inlineStr">
        <is>
          <t>шт</t>
        </is>
      </c>
      <c r="E261" s="168" t="n">
        <v>0.0025</v>
      </c>
      <c r="F261" s="241" t="n">
        <v>346</v>
      </c>
      <c r="G261" s="32">
        <f>ROUND(E261*F261,2)</f>
        <v/>
      </c>
      <c r="H261" s="174">
        <f>G261/$G$270</f>
        <v/>
      </c>
      <c r="I261" s="32" t="n">
        <v>2781.84</v>
      </c>
      <c r="J261" s="32">
        <f>ROUND(I261*E261,2)</f>
        <v/>
      </c>
    </row>
    <row r="262" hidden="1" outlineLevel="1" ht="14.25" customFormat="1" customHeight="1" s="12">
      <c r="A262" s="239" t="n">
        <v>234</v>
      </c>
      <c r="B262" s="239" t="inlineStr">
        <is>
          <t>01.7.07.29-0101</t>
        </is>
      </c>
      <c r="C262" s="238" t="inlineStr">
        <is>
          <t>Очес льняной</t>
        </is>
      </c>
      <c r="D262" s="239" t="inlineStr">
        <is>
          <t>кг</t>
        </is>
      </c>
      <c r="E262" s="168" t="n">
        <v>0.01875</v>
      </c>
      <c r="F262" s="241" t="n">
        <v>37.29</v>
      </c>
      <c r="G262" s="32">
        <f>ROUND(E262*F262,2)</f>
        <v/>
      </c>
      <c r="H262" s="174">
        <f>G262/$G$270</f>
        <v/>
      </c>
      <c r="I262" s="32" t="n">
        <v>299.81</v>
      </c>
      <c r="J262" s="32">
        <f>ROUND(I262*E262,2)</f>
        <v/>
      </c>
    </row>
    <row r="263" hidden="1" outlineLevel="1" ht="14.25" customFormat="1" customHeight="1" s="12">
      <c r="A263" s="239" t="n">
        <v>235</v>
      </c>
      <c r="B263" s="239" t="inlineStr">
        <is>
          <t>01.3.01.02-0002</t>
        </is>
      </c>
      <c r="C263" s="238" t="inlineStr">
        <is>
          <t>Вазелин технический</t>
        </is>
      </c>
      <c r="D263" s="239" t="inlineStr">
        <is>
          <t>кг</t>
        </is>
      </c>
      <c r="E263" s="168" t="n">
        <v>0.015</v>
      </c>
      <c r="F263" s="241" t="n">
        <v>44.97</v>
      </c>
      <c r="G263" s="32">
        <f>ROUND(E263*F263,2)</f>
        <v/>
      </c>
      <c r="H263" s="174">
        <f>G263/$G$270</f>
        <v/>
      </c>
      <c r="I263" s="32" t="n">
        <v>361.56</v>
      </c>
      <c r="J263" s="32">
        <f>ROUND(I263*E263,2)</f>
        <v/>
      </c>
    </row>
    <row r="264" hidden="1" outlineLevel="1" ht="25.5" customFormat="1" customHeight="1" s="12">
      <c r="A264" s="239" t="n">
        <v>236</v>
      </c>
      <c r="B264" s="239" t="inlineStr">
        <is>
          <t>01.7.15.04-0011</t>
        </is>
      </c>
      <c r="C264" s="238" t="inlineStr">
        <is>
          <t>Винты с полукруглой головкой, длина 50 мм</t>
        </is>
      </c>
      <c r="D264" s="239" t="inlineStr">
        <is>
          <t>т</t>
        </is>
      </c>
      <c r="E264" s="168" t="n">
        <v>3.875e-05</v>
      </c>
      <c r="F264" s="241" t="n">
        <v>12430</v>
      </c>
      <c r="G264" s="32">
        <f>ROUND(E264*F264,2)</f>
        <v/>
      </c>
      <c r="H264" s="174">
        <f>G264/$G$270</f>
        <v/>
      </c>
      <c r="I264" s="32" t="n">
        <v>99937.2</v>
      </c>
      <c r="J264" s="32">
        <f>ROUND(I264*E264,2)</f>
        <v/>
      </c>
    </row>
    <row r="265" hidden="1" outlineLevel="1" ht="14.25" customFormat="1" customHeight="1" s="12">
      <c r="A265" s="239" t="n">
        <v>237</v>
      </c>
      <c r="B265" s="239" t="inlineStr">
        <is>
          <t>01.7.15.14-0161</t>
        </is>
      </c>
      <c r="C265" s="238" t="inlineStr">
        <is>
          <t>Шурупы с полукруглой головкой 2,5х20 мм</t>
        </is>
      </c>
      <c r="D265" s="239" t="inlineStr">
        <is>
          <t>т</t>
        </is>
      </c>
      <c r="E265" s="168" t="n">
        <v>1.625e-05</v>
      </c>
      <c r="F265" s="241" t="n">
        <v>29800</v>
      </c>
      <c r="G265" s="32">
        <f>ROUND(E265*F265,2)</f>
        <v/>
      </c>
      <c r="H265" s="174">
        <f>G265/$G$270</f>
        <v/>
      </c>
      <c r="I265" s="32" t="n">
        <v>239592</v>
      </c>
      <c r="J265" s="32">
        <f>ROUND(I265*E265,2)</f>
        <v/>
      </c>
    </row>
    <row r="266" hidden="1" outlineLevel="1" ht="14.25" customFormat="1" customHeight="1" s="12">
      <c r="A266" s="239" t="n">
        <v>238</v>
      </c>
      <c r="B266" s="239" t="inlineStr">
        <is>
          <t>01.7.20.04-0005</t>
        </is>
      </c>
      <c r="C266" s="238" t="inlineStr">
        <is>
          <t>Нитки швейные</t>
        </is>
      </c>
      <c r="D266" s="239" t="inlineStr">
        <is>
          <t>кг</t>
        </is>
      </c>
      <c r="E266" s="168" t="n">
        <v>0.0025</v>
      </c>
      <c r="F266" s="241" t="n">
        <v>133.05</v>
      </c>
      <c r="G266" s="32">
        <f>ROUND(E266*F266,2)</f>
        <v/>
      </c>
      <c r="H266" s="174">
        <f>G266/$G$270</f>
        <v/>
      </c>
      <c r="I266" s="32" t="n">
        <v>1069.72</v>
      </c>
      <c r="J266" s="32">
        <f>ROUND(I266*E266,2)</f>
        <v/>
      </c>
    </row>
    <row r="267" hidden="1" outlineLevel="1" ht="14.25" customFormat="1" customHeight="1" s="12">
      <c r="A267" s="239" t="n">
        <v>239</v>
      </c>
      <c r="B267" s="239" t="inlineStr">
        <is>
          <t>14.4.03.17-0011</t>
        </is>
      </c>
      <c r="C267" s="238" t="inlineStr">
        <is>
          <t>Лак электроизоляционный 318</t>
        </is>
      </c>
      <c r="D267" s="239" t="inlineStr">
        <is>
          <t>кг</t>
        </is>
      </c>
      <c r="E267" s="168" t="n">
        <v>0.008750000000000001</v>
      </c>
      <c r="F267" s="241" t="n">
        <v>35.63</v>
      </c>
      <c r="G267" s="32">
        <f>ROUND(E267*F267,2)</f>
        <v/>
      </c>
      <c r="H267" s="174">
        <f>G267/$G$270</f>
        <v/>
      </c>
      <c r="I267" s="32" t="n">
        <v>286.47</v>
      </c>
      <c r="J267" s="32">
        <f>ROUND(I267*E267,2)</f>
        <v/>
      </c>
    </row>
    <row r="268" hidden="1" outlineLevel="1" ht="25.5" customFormat="1" customHeight="1" s="12">
      <c r="A268" s="239" t="n">
        <v>240</v>
      </c>
      <c r="B268" s="239" t="inlineStr">
        <is>
          <t>01.7.15.06-0121</t>
        </is>
      </c>
      <c r="C268" s="238" t="inlineStr">
        <is>
          <t>Гвозди строительные с плоской головкой, размер 1,6х50 мм</t>
        </is>
      </c>
      <c r="D268" s="239" t="inlineStr">
        <is>
          <t>т</t>
        </is>
      </c>
      <c r="E268" s="168" t="n">
        <v>2.375e-05</v>
      </c>
      <c r="F268" s="241" t="n">
        <v>8475</v>
      </c>
      <c r="G268" s="32">
        <f>ROUND(E268*F268,2)</f>
        <v/>
      </c>
      <c r="H268" s="174">
        <f>G268/$G$270</f>
        <v/>
      </c>
      <c r="I268" s="32" t="n">
        <v>68139</v>
      </c>
      <c r="J268" s="32">
        <f>ROUND(I268*E268,2)</f>
        <v/>
      </c>
    </row>
    <row r="269" collapsed="1" ht="14.25" customFormat="1" customHeight="1" s="12">
      <c r="A269" s="239" t="n"/>
      <c r="B269" s="239" t="n"/>
      <c r="C269" s="238" t="inlineStr">
        <is>
          <t>Итого прочие материалы</t>
        </is>
      </c>
      <c r="D269" s="239" t="n"/>
      <c r="E269" s="240" t="n"/>
      <c r="F269" s="241" t="n"/>
      <c r="G269" s="32">
        <f>SUM(G83:G268)</f>
        <v/>
      </c>
      <c r="H269" s="174">
        <f>G269/$G$270</f>
        <v/>
      </c>
      <c r="I269" s="32" t="n"/>
      <c r="J269" s="32">
        <f>SUM(J83:J268)</f>
        <v/>
      </c>
    </row>
    <row r="270" ht="14.25" customFormat="1" customHeight="1" s="12">
      <c r="A270" s="239" t="n"/>
      <c r="B270" s="239" t="n"/>
      <c r="C270" s="226" t="inlineStr">
        <is>
          <t>Итого по разделу «Материалы»</t>
        </is>
      </c>
      <c r="D270" s="239" t="n"/>
      <c r="E270" s="240" t="n"/>
      <c r="F270" s="241" t="n"/>
      <c r="G270" s="32">
        <f>G269+G82</f>
        <v/>
      </c>
      <c r="H270" s="174">
        <f>G270/$G$270</f>
        <v/>
      </c>
      <c r="I270" s="32" t="n"/>
      <c r="J270" s="32">
        <f>J269+J82</f>
        <v/>
      </c>
    </row>
    <row r="271" ht="14.25" customFormat="1" customHeight="1" s="12">
      <c r="A271" s="239" t="n"/>
      <c r="B271" s="239" t="n"/>
      <c r="C271" s="238" t="inlineStr">
        <is>
          <t>ИТОГО ПО РМ</t>
        </is>
      </c>
      <c r="D271" s="239" t="n"/>
      <c r="E271" s="240" t="n"/>
      <c r="F271" s="241" t="n"/>
      <c r="G271" s="32">
        <f>G14+G57+G270</f>
        <v/>
      </c>
      <c r="H271" s="242" t="n"/>
      <c r="I271" s="32" t="n"/>
      <c r="J271" s="32">
        <f>J14+J57+J270</f>
        <v/>
      </c>
    </row>
    <row r="272" ht="14.25" customFormat="1" customHeight="1" s="12">
      <c r="A272" s="239" t="n"/>
      <c r="B272" s="239" t="n"/>
      <c r="C272" s="238" t="inlineStr">
        <is>
          <t>Накладные расходы</t>
        </is>
      </c>
      <c r="D272" s="188" t="n">
        <v>1.32</v>
      </c>
      <c r="E272" s="240" t="n"/>
      <c r="F272" s="241" t="n"/>
      <c r="G272" s="32">
        <f>D272*($G$14+$G$16)</f>
        <v/>
      </c>
      <c r="H272" s="242" t="n"/>
      <c r="I272" s="32" t="n"/>
      <c r="J272" s="32">
        <f>ROUND(D272*(J14+J16),2)</f>
        <v/>
      </c>
    </row>
    <row r="273" ht="14.25" customFormat="1" customHeight="1" s="12">
      <c r="A273" s="239" t="n"/>
      <c r="B273" s="239" t="n"/>
      <c r="C273" s="238" t="inlineStr">
        <is>
          <t>Сметная прибыль</t>
        </is>
      </c>
      <c r="D273" s="188" t="n">
        <v>0.9</v>
      </c>
      <c r="E273" s="240" t="n"/>
      <c r="F273" s="241" t="n"/>
      <c r="G273" s="32">
        <f>D273*($G$14+$G$16)</f>
        <v/>
      </c>
      <c r="H273" s="242" t="n"/>
      <c r="I273" s="32" t="n"/>
      <c r="J273" s="32">
        <f>ROUND(D273*(J14+J16),2)</f>
        <v/>
      </c>
    </row>
    <row r="274" ht="14.25" customFormat="1" customHeight="1" s="12">
      <c r="A274" s="239" t="n"/>
      <c r="B274" s="239" t="n"/>
      <c r="C274" s="238" t="inlineStr">
        <is>
          <t>Итого СМР (с НР и СП)</t>
        </is>
      </c>
      <c r="D274" s="239" t="n"/>
      <c r="E274" s="240" t="n"/>
      <c r="F274" s="241" t="n"/>
      <c r="G274" s="32">
        <f>ROUND((G14+G57+G270+G272+G273),2)</f>
        <v/>
      </c>
      <c r="H274" s="242" t="n"/>
      <c r="I274" s="32" t="n"/>
      <c r="J274" s="32">
        <f>ROUND((J14+J57+J270+J272+J273),2)</f>
        <v/>
      </c>
    </row>
    <row r="275" ht="14.25" customFormat="1" customHeight="1" s="12">
      <c r="A275" s="239" t="n"/>
      <c r="B275" s="239" t="n"/>
      <c r="C275" s="238" t="inlineStr">
        <is>
          <t>ВСЕГО СМР + ОБОРУДОВАНИЕ</t>
        </is>
      </c>
      <c r="D275" s="239" t="n"/>
      <c r="E275" s="240" t="n"/>
      <c r="F275" s="241" t="n"/>
      <c r="G275" s="32">
        <f>G274+G62</f>
        <v/>
      </c>
      <c r="H275" s="242" t="n"/>
      <c r="I275" s="32" t="n"/>
      <c r="J275" s="32">
        <f>J274+J62</f>
        <v/>
      </c>
    </row>
    <row r="276" ht="34.5" customFormat="1" customHeight="1" s="12">
      <c r="A276" s="239" t="n"/>
      <c r="B276" s="239" t="n"/>
      <c r="C276" s="238" t="inlineStr">
        <is>
          <t>ИТОГО ПОКАЗАТЕЛЬ НА ЕД. ИЗМ.</t>
        </is>
      </c>
      <c r="D276" s="239" t="inlineStr">
        <is>
          <t>1 ед. (здание)</t>
        </is>
      </c>
      <c r="E276" s="240" t="n">
        <v>1</v>
      </c>
      <c r="F276" s="241" t="n"/>
      <c r="G276" s="32">
        <f>G275/E276</f>
        <v/>
      </c>
      <c r="H276" s="242" t="n"/>
      <c r="I276" s="32" t="n"/>
      <c r="J276" s="32">
        <f>J275/E276</f>
        <v/>
      </c>
    </row>
    <row r="278" ht="14.25" customFormat="1" customHeight="1" s="12">
      <c r="A278" s="4" t="inlineStr">
        <is>
          <t>Составил ______________________     Д.Ю. Нефедова</t>
        </is>
      </c>
    </row>
    <row r="279" ht="14.25" customFormat="1" customHeight="1" s="12">
      <c r="A279" s="33" t="inlineStr">
        <is>
          <t xml:space="preserve">                         (подпись, инициалы, фамилия)</t>
        </is>
      </c>
    </row>
    <row r="280" ht="14.25" customFormat="1" customHeight="1" s="12">
      <c r="A280" s="4" t="n"/>
    </row>
    <row r="281" ht="14.25" customFormat="1" customHeight="1" s="12">
      <c r="A281" s="4" t="inlineStr">
        <is>
          <t>Проверил ______________________        А.В. Костянецкая</t>
        </is>
      </c>
    </row>
    <row r="282" ht="14.25" customFormat="1" customHeight="1" s="12">
      <c r="A282" s="33" t="inlineStr">
        <is>
          <t xml:space="preserve">                        (подпись, инициалы, фамилия)</t>
        </is>
      </c>
    </row>
  </sheetData>
  <mergeCells count="21">
    <mergeCell ref="H9:H10"/>
    <mergeCell ref="B65:H65"/>
    <mergeCell ref="A4:J4"/>
    <mergeCell ref="B64:H64"/>
    <mergeCell ref="B15:H15"/>
    <mergeCell ref="H2:J2"/>
    <mergeCell ref="C9:C10"/>
    <mergeCell ref="E9:E10"/>
    <mergeCell ref="A7:H7"/>
    <mergeCell ref="B59:H59"/>
    <mergeCell ref="B9:B10"/>
    <mergeCell ref="D9:D10"/>
    <mergeCell ref="B18:H18"/>
    <mergeCell ref="B58:H58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  <rowBreaks count="1" manualBreakCount="1">
    <brk id="77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E17" sqref="E17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1" t="inlineStr">
        <is>
          <t>Приложение №6</t>
        </is>
      </c>
    </row>
    <row r="2" ht="21.75" customHeight="1">
      <c r="A2" s="251" t="n"/>
      <c r="B2" s="251" t="n"/>
      <c r="C2" s="251" t="n"/>
      <c r="D2" s="251" t="n"/>
      <c r="E2" s="251" t="n"/>
      <c r="F2" s="251" t="n"/>
      <c r="G2" s="251" t="n"/>
    </row>
    <row r="3">
      <c r="A3" s="206" t="inlineStr">
        <is>
          <t>Расчет стоимости оборудования</t>
        </is>
      </c>
    </row>
    <row r="4" ht="30.75" customHeight="1">
      <c r="A4" s="209" t="inlineStr">
        <is>
          <t>Наименование разрабатываемого показателя УНЦ — Здания ЗПС 35 кВ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56" t="inlineStr">
        <is>
          <t>№ пп.</t>
        </is>
      </c>
      <c r="B6" s="256" t="inlineStr">
        <is>
          <t>Код ресурса</t>
        </is>
      </c>
      <c r="C6" s="256" t="inlineStr">
        <is>
          <t>Наименование</t>
        </is>
      </c>
      <c r="D6" s="256" t="inlineStr">
        <is>
          <t>Ед. изм.</t>
        </is>
      </c>
      <c r="E6" s="239" t="inlineStr">
        <is>
          <t>Кол-во единиц по проектным данным</t>
        </is>
      </c>
      <c r="F6" s="256" t="inlineStr">
        <is>
          <t>Сметная стоимость в ценах на 01.01.2000 (руб.)</t>
        </is>
      </c>
      <c r="G6" s="302" t="n"/>
    </row>
    <row r="7">
      <c r="A7" s="304" t="n"/>
      <c r="B7" s="304" t="n"/>
      <c r="C7" s="304" t="n"/>
      <c r="D7" s="304" t="n"/>
      <c r="E7" s="304" t="n"/>
      <c r="F7" s="239" t="inlineStr">
        <is>
          <t>на ед. изм.</t>
        </is>
      </c>
      <c r="G7" s="239" t="inlineStr">
        <is>
          <t>общая</t>
        </is>
      </c>
    </row>
    <row r="8">
      <c r="A8" s="239" t="n">
        <v>1</v>
      </c>
      <c r="B8" s="239" t="n">
        <v>2</v>
      </c>
      <c r="C8" s="239" t="n">
        <v>3</v>
      </c>
      <c r="D8" s="239" t="n">
        <v>4</v>
      </c>
      <c r="E8" s="239" t="n">
        <v>5</v>
      </c>
      <c r="F8" s="239" t="n">
        <v>6</v>
      </c>
      <c r="G8" s="239" t="n">
        <v>7</v>
      </c>
    </row>
    <row r="9" ht="15" customHeight="1">
      <c r="A9" s="25" t="n"/>
      <c r="B9" s="238" t="inlineStr">
        <is>
          <t>ИНЖЕНЕРНОЕ ОБОРУДОВАНИЕ</t>
        </is>
      </c>
      <c r="C9" s="301" t="n"/>
      <c r="D9" s="301" t="n"/>
      <c r="E9" s="301" t="n"/>
      <c r="F9" s="301" t="n"/>
      <c r="G9" s="302" t="n"/>
    </row>
    <row r="10" ht="27" customHeight="1">
      <c r="A10" s="239" t="n"/>
      <c r="B10" s="226" t="n"/>
      <c r="C10" s="238" t="inlineStr">
        <is>
          <t>ИТОГО ИНЖЕНЕРНОЕ ОБОРУДОВАНИЕ</t>
        </is>
      </c>
      <c r="D10" s="226" t="n"/>
      <c r="E10" s="105" t="n"/>
      <c r="F10" s="241" t="n"/>
      <c r="G10" s="241" t="n">
        <v>0</v>
      </c>
    </row>
    <row r="11">
      <c r="A11" s="239" t="n"/>
      <c r="B11" s="238" t="inlineStr">
        <is>
          <t>ТЕХНОЛОГИЧЕСКОЕ ОБОРУДОВАНИЕ</t>
        </is>
      </c>
      <c r="C11" s="301" t="n"/>
      <c r="D11" s="301" t="n"/>
      <c r="E11" s="301" t="n"/>
      <c r="F11" s="301" t="n"/>
      <c r="G11" s="302" t="n"/>
    </row>
    <row r="12" ht="25.5" customHeight="1">
      <c r="A12" s="239" t="n"/>
      <c r="B12" s="238" t="n"/>
      <c r="C12" s="238" t="inlineStr">
        <is>
          <t>ИТОГО ТЕХНОЛОГИЧЕСКОЕ ОБОРУДОВАНИЕ</t>
        </is>
      </c>
      <c r="D12" s="238" t="n"/>
      <c r="E12" s="255" t="n"/>
      <c r="F12" s="241" t="n"/>
      <c r="G12" s="32" t="n">
        <v>0</v>
      </c>
    </row>
    <row r="13" ht="19.5" customHeight="1">
      <c r="A13" s="239" t="n"/>
      <c r="B13" s="238" t="n"/>
      <c r="C13" s="238" t="inlineStr">
        <is>
          <t>Всего по разделу «Оборудование»</t>
        </is>
      </c>
      <c r="D13" s="238" t="n"/>
      <c r="E13" s="255" t="n"/>
      <c r="F13" s="241" t="n"/>
      <c r="G13" s="32">
        <f>G10+G12</f>
        <v/>
      </c>
    </row>
    <row r="14">
      <c r="A14" s="30" t="n"/>
      <c r="B14" s="140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Д.Ю. Нефедова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  <col width="24.85546875" customWidth="1" min="5" max="5"/>
  </cols>
  <sheetData>
    <row r="1">
      <c r="B1" s="4" t="n"/>
      <c r="C1" s="4" t="n"/>
      <c r="D1" s="251" t="inlineStr">
        <is>
          <t>Приложение №7</t>
        </is>
      </c>
    </row>
    <row r="2">
      <c r="A2" s="251" t="n"/>
      <c r="B2" s="251" t="n"/>
      <c r="C2" s="251" t="n"/>
      <c r="D2" s="251" t="n"/>
    </row>
    <row r="3" ht="24.75" customHeight="1">
      <c r="A3" s="206" t="inlineStr">
        <is>
          <t>Расчет показателя УНЦ</t>
        </is>
      </c>
    </row>
    <row r="4" ht="24.75" customHeight="1">
      <c r="A4" s="206" t="n"/>
      <c r="B4" s="206" t="n"/>
      <c r="C4" s="206" t="n"/>
      <c r="D4" s="206" t="n"/>
    </row>
    <row r="5">
      <c r="A5" s="209" t="inlineStr">
        <is>
          <t xml:space="preserve">Наименование разрабатываемого показателя УНЦ - </t>
        </is>
      </c>
      <c r="D5" s="209">
        <f>'Прил.5 Расчет СМР и ОБ'!D6</f>
        <v/>
      </c>
    </row>
    <row r="6" ht="19.9" customHeight="1">
      <c r="A6" s="209" t="inlineStr">
        <is>
          <t>Единица измерения  — 1 ед. (здание)</t>
        </is>
      </c>
      <c r="D6" s="209" t="n"/>
    </row>
    <row r="7">
      <c r="A7" s="4" t="n"/>
      <c r="B7" s="4" t="n"/>
      <c r="C7" s="4" t="n"/>
      <c r="D7" s="4" t="n"/>
    </row>
    <row r="8" ht="14.45" customHeight="1">
      <c r="A8" s="223" t="inlineStr">
        <is>
          <t>Код показателя</t>
        </is>
      </c>
      <c r="B8" s="223" t="inlineStr">
        <is>
          <t>Наименование показателя</t>
        </is>
      </c>
      <c r="C8" s="223" t="inlineStr">
        <is>
          <t>Наименование РМ, входящих в состав показателя</t>
        </is>
      </c>
      <c r="D8" s="223" t="inlineStr">
        <is>
          <t>Норматив цены на 01.01.2023, тыс.руб.</t>
        </is>
      </c>
    </row>
    <row r="9" ht="15" customHeight="1">
      <c r="A9" s="304" t="n"/>
      <c r="B9" s="304" t="n"/>
      <c r="C9" s="304" t="n"/>
      <c r="D9" s="304" t="n"/>
    </row>
    <row r="10">
      <c r="A10" s="239" t="n">
        <v>1</v>
      </c>
      <c r="B10" s="239" t="n">
        <v>2</v>
      </c>
      <c r="C10" s="239" t="n">
        <v>3</v>
      </c>
      <c r="D10" s="239" t="n">
        <v>4</v>
      </c>
    </row>
    <row r="11">
      <c r="A11" s="239" t="inlineStr">
        <is>
          <t>35-04</t>
        </is>
      </c>
      <c r="B11" s="239" t="inlineStr">
        <is>
          <t>УНЦ зданий ЗРУ, ЗПС, КТПМ</t>
        </is>
      </c>
      <c r="C11" s="146">
        <f>D5</f>
        <v/>
      </c>
      <c r="D11" s="147">
        <f>'Прил.4 РМ'!C40/1000</f>
        <v/>
      </c>
      <c r="E11" s="135" t="n"/>
    </row>
    <row r="12">
      <c r="A12" s="30" t="n"/>
      <c r="B12" s="140" t="n"/>
      <c r="C12" s="30" t="n"/>
      <c r="D12" s="30" t="n"/>
    </row>
    <row r="13">
      <c r="A13" s="4" t="inlineStr">
        <is>
          <t>Составил ______________________      Д.Ю. Нефедова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C24" sqref="C24"/>
    </sheetView>
  </sheetViews>
  <sheetFormatPr baseColWidth="8" defaultRowHeight="15"/>
  <cols>
    <col width="9.140625" customWidth="1" min="1" max="1"/>
    <col width="40.7109375" customWidth="1" min="2" max="2"/>
    <col width="37" customWidth="1" min="3" max="3"/>
    <col width="32" customWidth="1" min="4" max="4"/>
    <col width="9.140625" customWidth="1" min="5" max="5"/>
  </cols>
  <sheetData>
    <row r="4" ht="15.75" customHeight="1">
      <c r="B4" s="213" t="inlineStr">
        <is>
          <t>Приложение № 10</t>
        </is>
      </c>
    </row>
    <row r="5" ht="18.75" customHeight="1">
      <c r="B5" s="131" t="n"/>
    </row>
    <row r="6" ht="15.75" customHeight="1">
      <c r="B6" s="214" t="inlineStr">
        <is>
          <t>Используемые индексы изменений сметной стоимости и нормы сопутствующих затрат</t>
        </is>
      </c>
    </row>
    <row r="7">
      <c r="B7" s="257" t="n"/>
    </row>
    <row r="8">
      <c r="B8" s="257" t="n"/>
      <c r="C8" s="257" t="n"/>
      <c r="D8" s="257" t="n"/>
      <c r="E8" s="257" t="n"/>
    </row>
    <row r="9" ht="47.25" customHeight="1">
      <c r="B9" s="223" t="inlineStr">
        <is>
          <t>Наименование индекса / норм сопутствующих затрат</t>
        </is>
      </c>
      <c r="C9" s="223" t="inlineStr">
        <is>
          <t>Дата применения и обоснование индекса / норм сопутствующих затрат</t>
        </is>
      </c>
      <c r="D9" s="223" t="inlineStr">
        <is>
          <t>Размер индекса / норма сопутствующих затрат</t>
        </is>
      </c>
    </row>
    <row r="10" ht="15.75" customHeight="1">
      <c r="B10" s="223" t="n">
        <v>1</v>
      </c>
      <c r="C10" s="223" t="n">
        <v>2</v>
      </c>
      <c r="D10" s="223" t="n">
        <v>3</v>
      </c>
    </row>
    <row r="11" ht="45" customHeight="1">
      <c r="B11" s="223" t="inlineStr">
        <is>
          <t xml:space="preserve">Индекс изменения сметной стоимости на 1 квартал 2023 года. ОЗП </t>
        </is>
      </c>
      <c r="C11" s="223" t="inlineStr">
        <is>
          <t>Письмо Минстроя России от 30.03.2023г. №17106-ИФ/09  прил.1</t>
        </is>
      </c>
      <c r="D11" s="223" t="n">
        <v>44.29</v>
      </c>
    </row>
    <row r="12" ht="29.25" customHeight="1">
      <c r="B12" s="223" t="inlineStr">
        <is>
          <t>Индекс изменения сметной стоимости на 1 квартал 2023 года. ЭМ</t>
        </is>
      </c>
      <c r="C12" s="223" t="inlineStr">
        <is>
          <t>Письмо Минстроя России от 30.03.2023г. №17106-ИФ/09  прил.1</t>
        </is>
      </c>
      <c r="D12" s="223" t="n">
        <v>13.47</v>
      </c>
    </row>
    <row r="13" ht="29.25" customHeight="1">
      <c r="B13" s="223" t="inlineStr">
        <is>
          <t>Индекс изменения сметной стоимости на 1 квартал 2023 года. МАТ</t>
        </is>
      </c>
      <c r="C13" s="223" t="inlineStr">
        <is>
          <t>Письмо Минстроя России от 30.03.2023г. №17106-ИФ/09  прил.1</t>
        </is>
      </c>
      <c r="D13" s="223" t="n">
        <v>8.039999999999999</v>
      </c>
    </row>
    <row r="14" ht="30.75" customHeight="1">
      <c r="B14" s="223" t="inlineStr">
        <is>
          <t>Индекс изменения сметной стоимости на 1 квартал 2023 года. ОБ</t>
        </is>
      </c>
      <c r="C14" s="115" t="inlineStr">
        <is>
          <t>Письмо Минстроя России от 23.02.2023г. №9791-ИФ/09 прил.6</t>
        </is>
      </c>
      <c r="D14" s="223" t="n">
        <v>6.26</v>
      </c>
    </row>
    <row r="15" ht="89.25" customHeight="1">
      <c r="B15" s="223" t="inlineStr">
        <is>
          <t>Временные здания и сооружения</t>
        </is>
      </c>
      <c r="C15" s="223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33" t="n">
        <v>0.039</v>
      </c>
    </row>
    <row r="16" ht="78.75" customHeight="1">
      <c r="B16" s="223" t="inlineStr">
        <is>
          <t>Дополнительные затраты при производстве строительно-монтажных работ в зимнее время</t>
        </is>
      </c>
      <c r="C16" s="223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33" t="n">
        <v>0.021</v>
      </c>
    </row>
    <row r="17" ht="31.5" customHeight="1">
      <c r="B17" s="223" t="inlineStr">
        <is>
          <t>Строительный контроль</t>
        </is>
      </c>
      <c r="C17" s="223" t="inlineStr">
        <is>
          <t>Постановление Правительства РФ от 21.06.10 г. № 468</t>
        </is>
      </c>
      <c r="D17" s="133" t="n">
        <v>0.0214</v>
      </c>
    </row>
    <row r="18" ht="31.5" customHeight="1">
      <c r="B18" s="223" t="inlineStr">
        <is>
          <t>Авторский надзор - 0,2%</t>
        </is>
      </c>
      <c r="C18" s="223" t="inlineStr">
        <is>
          <t>Приказ от 4.08.2020 № 421/пр п.173</t>
        </is>
      </c>
      <c r="D18" s="133" t="n">
        <v>0.002</v>
      </c>
    </row>
    <row r="19" ht="24" customHeight="1">
      <c r="B19" s="223" t="inlineStr">
        <is>
          <t>Непредвиденные расходы</t>
        </is>
      </c>
      <c r="C19" s="223" t="inlineStr">
        <is>
          <t>Приказ от 4.08.2020 № 421/пр п.179</t>
        </is>
      </c>
      <c r="D19" s="133" t="n">
        <v>0.03</v>
      </c>
    </row>
    <row r="20" ht="18.75" customHeight="1">
      <c r="B20" s="132" t="n"/>
    </row>
    <row r="21" ht="18.75" customHeight="1">
      <c r="B21" s="132" t="n"/>
    </row>
    <row r="22" ht="18.75" customHeight="1">
      <c r="B22" s="132" t="n"/>
    </row>
    <row r="23" ht="18.75" customHeight="1">
      <c r="B23" s="132" t="n"/>
    </row>
    <row r="26">
      <c r="B26" s="4" t="inlineStr">
        <is>
          <t>Составил ______________________        Д.Ю. Нефедова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B1" workbookViewId="0">
      <selection activeCell="G11" sqref="G11:G12"/>
    </sheetView>
  </sheetViews>
  <sheetFormatPr baseColWidth="8" defaultRowHeight="15"/>
  <cols>
    <col width="9.140625" customWidth="1" min="1" max="1"/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  <col width="9.140625" customWidth="1" min="7" max="7"/>
  </cols>
  <sheetData>
    <row r="2" ht="17.25" customHeight="1">
      <c r="A2" s="21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16" t="inlineStr">
        <is>
          <t>Составлен в уровне цен на 01.01.2023 г.</t>
        </is>
      </c>
      <c r="B4" s="117" t="n"/>
      <c r="C4" s="117" t="n"/>
      <c r="D4" s="117" t="n"/>
      <c r="E4" s="117" t="n"/>
      <c r="F4" s="117" t="n"/>
      <c r="G4" s="117" t="n"/>
    </row>
    <row r="5" ht="15.75" customHeight="1">
      <c r="A5" s="118" t="inlineStr">
        <is>
          <t>№ пп.</t>
        </is>
      </c>
      <c r="B5" s="118" t="inlineStr">
        <is>
          <t>Наименование элемента</t>
        </is>
      </c>
      <c r="C5" s="118" t="inlineStr">
        <is>
          <t>Обозначение</t>
        </is>
      </c>
      <c r="D5" s="118" t="inlineStr">
        <is>
          <t>Формула</t>
        </is>
      </c>
      <c r="E5" s="118" t="inlineStr">
        <is>
          <t>Величина элемента</t>
        </is>
      </c>
      <c r="F5" s="118" t="inlineStr">
        <is>
          <t>Наименования обосновывающих документов</t>
        </is>
      </c>
      <c r="G5" s="117" t="n"/>
    </row>
    <row r="6" ht="15.75" customHeight="1">
      <c r="A6" s="118" t="n">
        <v>1</v>
      </c>
      <c r="B6" s="118" t="n">
        <v>2</v>
      </c>
      <c r="C6" s="118" t="n">
        <v>3</v>
      </c>
      <c r="D6" s="118" t="n">
        <v>4</v>
      </c>
      <c r="E6" s="118" t="n">
        <v>5</v>
      </c>
      <c r="F6" s="118" t="n">
        <v>6</v>
      </c>
      <c r="G6" s="117" t="n"/>
    </row>
    <row r="7" ht="110.25" customHeight="1">
      <c r="A7" s="119" t="inlineStr">
        <is>
          <t>1.1</t>
        </is>
      </c>
      <c r="B7" s="1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3" t="inlineStr">
        <is>
          <t>С1ср</t>
        </is>
      </c>
      <c r="D7" s="223" t="inlineStr">
        <is>
          <t>-</t>
        </is>
      </c>
      <c r="E7" s="122" t="n">
        <v>47872.94</v>
      </c>
      <c r="F7" s="1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7" t="n"/>
    </row>
    <row r="8" ht="31.5" customHeight="1">
      <c r="A8" s="119" t="inlineStr">
        <is>
          <t>1.2</t>
        </is>
      </c>
      <c r="B8" s="120" t="inlineStr">
        <is>
          <t>Среднегодовое нормативное число часов работы одного рабочего в месяц, часы (ч.)</t>
        </is>
      </c>
      <c r="C8" s="223" t="inlineStr">
        <is>
          <t>tср</t>
        </is>
      </c>
      <c r="D8" s="223" t="inlineStr">
        <is>
          <t>1973ч/12мес.</t>
        </is>
      </c>
      <c r="E8" s="122">
        <f>1973/12</f>
        <v/>
      </c>
      <c r="F8" s="120" t="inlineStr">
        <is>
          <t>Производственный календарь 2023 год
(40-часов.неделя)</t>
        </is>
      </c>
      <c r="G8" s="123" t="n"/>
    </row>
    <row r="9" ht="15.75" customHeight="1">
      <c r="A9" s="119" t="inlineStr">
        <is>
          <t>1.3</t>
        </is>
      </c>
      <c r="B9" s="120" t="inlineStr">
        <is>
          <t>Коэффициент увеличения</t>
        </is>
      </c>
      <c r="C9" s="223" t="inlineStr">
        <is>
          <t>Кув</t>
        </is>
      </c>
      <c r="D9" s="223" t="inlineStr">
        <is>
          <t>-</t>
        </is>
      </c>
      <c r="E9" s="122" t="n">
        <v>1</v>
      </c>
      <c r="F9" s="120" t="n"/>
      <c r="G9" s="123" t="n"/>
    </row>
    <row r="10" ht="15.75" customHeight="1">
      <c r="A10" s="119" t="inlineStr">
        <is>
          <t>1.4</t>
        </is>
      </c>
      <c r="B10" s="120" t="inlineStr">
        <is>
          <t>Средний разряд работ</t>
        </is>
      </c>
      <c r="C10" s="223" t="n"/>
      <c r="D10" s="223" t="n"/>
      <c r="E10" s="124" t="n">
        <v>3.6</v>
      </c>
      <c r="F10" s="120" t="inlineStr">
        <is>
          <t>РТМ</t>
        </is>
      </c>
      <c r="G10" s="123" t="n"/>
    </row>
    <row r="11" ht="78.75" customHeight="1">
      <c r="A11" s="119" t="inlineStr">
        <is>
          <t>1.5</t>
        </is>
      </c>
      <c r="B11" s="120" t="inlineStr">
        <is>
          <t>Тарифный коэффициент среднего разряда работ</t>
        </is>
      </c>
      <c r="C11" s="223" t="inlineStr">
        <is>
          <t>КТ</t>
        </is>
      </c>
      <c r="D11" s="223" t="inlineStr">
        <is>
          <t>-</t>
        </is>
      </c>
      <c r="E11" s="125" t="n">
        <v>1.278</v>
      </c>
      <c r="F11" s="1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7" t="n"/>
    </row>
    <row r="12" ht="78.75" customHeight="1">
      <c r="A12" s="119" t="inlineStr">
        <is>
          <t>1.6</t>
        </is>
      </c>
      <c r="B12" s="202" t="inlineStr">
        <is>
          <t>Коэффициент инфляции, определяемый поквартально</t>
        </is>
      </c>
      <c r="C12" s="223" t="inlineStr">
        <is>
          <t>Кинф</t>
        </is>
      </c>
      <c r="D12" s="223" t="inlineStr">
        <is>
          <t>-</t>
        </is>
      </c>
      <c r="E12" s="127" t="n">
        <v>1.139</v>
      </c>
      <c r="F12" s="12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3" t="n"/>
    </row>
    <row r="13" ht="63" customHeight="1">
      <c r="A13" s="119" t="inlineStr">
        <is>
          <t>1.7</t>
        </is>
      </c>
      <c r="B13" s="129" t="inlineStr">
        <is>
          <t>Размер средств на оплату труда рабочих-строителей в текущем уровне цен (ФОТр.тек.), руб/чел.-ч</t>
        </is>
      </c>
      <c r="C13" s="223" t="inlineStr">
        <is>
          <t>ФОТр.тек.</t>
        </is>
      </c>
      <c r="D13" s="223" t="inlineStr">
        <is>
          <t>(С1ср/tср*КТ*Т*Кув)*Кинф</t>
        </is>
      </c>
      <c r="E13" s="130">
        <f>((E7*E9/E8)*E11)*E12</f>
        <v/>
      </c>
      <c r="F13" s="1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7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2025-01-24T11:59:57Z</dcterms:modified>
  <cp:lastModifiedBy>REDMIBOOK</cp:lastModifiedBy>
  <cp:lastPrinted>2023-11-27T09:06:42Z</cp:lastPrinted>
</cp:coreProperties>
</file>