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600" firstSheet="1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1">'Прил.2 Расч стоим'!$A$1:$J$41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0.000"/>
    <numFmt numFmtId="166" formatCode="#,##0.00;[Red]\-\ #,##0.00"/>
    <numFmt numFmtId="167" formatCode="#,##0.0"/>
    <numFmt numFmtId="168" formatCode="#,##0.000"/>
    <numFmt numFmtId="169" formatCode="0.0000"/>
  </numFmts>
  <fonts count="15">
    <font>
      <name val="Calibri"/>
      <color rgb="FF000000"/>
      <sz val="11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Calibri"/>
      <color rgb="FFFF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1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5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applyAlignment="1" pivotButton="0" quotePrefix="0" xfId="0">
      <alignment horizontal="right" vertical="top" wrapText="1"/>
    </xf>
    <xf numFmtId="0" fontId="1" fillId="0" borderId="1" pivotButton="0" quotePrefix="0" xfId="0"/>
    <xf numFmtId="0" fontId="1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5" fillId="0" borderId="1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/>
    </xf>
    <xf numFmtId="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4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center"/>
    </xf>
    <xf numFmtId="10" fontId="1" fillId="0" borderId="2" applyAlignment="1" pivotButton="0" quotePrefix="0" xfId="0">
      <alignment vertical="center" wrapText="1"/>
    </xf>
    <xf numFmtId="10" fontId="1" fillId="0" borderId="2" applyAlignment="1" pivotButton="0" quotePrefix="0" xfId="0">
      <alignment vertical="center"/>
    </xf>
    <xf numFmtId="4" fontId="1" fillId="0" borderId="0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43" fontId="1" fillId="0" borderId="0" pivotButton="0" quotePrefix="0" xfId="0"/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65" fontId="1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0" fillId="2" borderId="0" pivotButton="0" quotePrefix="0" xfId="0"/>
    <xf numFmtId="49" fontId="1" fillId="0" borderId="1" applyAlignment="1" pivotButton="0" quotePrefix="0" xfId="0">
      <alignment wrapText="1"/>
    </xf>
    <xf numFmtId="166" fontId="7" fillId="0" borderId="1" pivotButton="0" quotePrefix="0" xfId="0"/>
    <xf numFmtId="43" fontId="5" fillId="0" borderId="1" applyAlignment="1" pivotButton="0" quotePrefix="0" xfId="0">
      <alignment vertical="center" wrapText="1"/>
    </xf>
    <xf numFmtId="0" fontId="1" fillId="0" borderId="0" pivotButton="0" quotePrefix="0" xfId="0"/>
    <xf numFmtId="0" fontId="1" fillId="2" borderId="0" pivotButton="0" quotePrefix="0" xfId="0"/>
    <xf numFmtId="49" fontId="1" fillId="0" borderId="1" pivotButton="0" quotePrefix="0" xfId="0"/>
    <xf numFmtId="166" fontId="1" fillId="0" borderId="1" pivotButton="0" quotePrefix="0" xfId="0"/>
    <xf numFmtId="0" fontId="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1" fillId="0" borderId="0" pivotButton="0" quotePrefix="0" xfId="0"/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0" fillId="0" borderId="0" pivotButton="0" quotePrefix="0" xfId="0"/>
    <xf numFmtId="0" fontId="10" fillId="0" borderId="0" applyAlignment="1" pivotButton="0" quotePrefix="0" xfId="0">
      <alignment horizontal="right"/>
    </xf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center" vertical="center"/>
    </xf>
    <xf numFmtId="49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center" vertical="center" wrapText="1"/>
    </xf>
    <xf numFmtId="4" fontId="0" fillId="0" borderId="8" applyAlignment="1" pivotButton="0" quotePrefix="0" xfId="0">
      <alignment horizontal="center" vertical="center"/>
    </xf>
    <xf numFmtId="4" fontId="1" fillId="0" borderId="8" applyAlignment="1" pivotButton="0" quotePrefix="0" xfId="0">
      <alignment horizontal="center" vertical="center"/>
    </xf>
    <xf numFmtId="167" fontId="1" fillId="0" borderId="8" applyAlignment="1" pivotButton="0" quotePrefix="0" xfId="0">
      <alignment horizontal="center" vertical="center"/>
    </xf>
    <xf numFmtId="168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vertical="center" wrapText="1"/>
    </xf>
    <xf numFmtId="169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wrapText="1"/>
    </xf>
    <xf numFmtId="0" fontId="5" fillId="0" borderId="8" applyAlignment="1" pivotButton="0" quotePrefix="0" xfId="0">
      <alignment vertical="center" wrapText="1"/>
    </xf>
    <xf numFmtId="4" fontId="5" fillId="0" borderId="8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right" vertical="center" wrapText="1"/>
    </xf>
    <xf numFmtId="0" fontId="5" fillId="0" borderId="7" applyAlignment="1" pivotButton="0" quotePrefix="0" xfId="0">
      <alignment horizontal="right" vertical="center" wrapText="1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5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43" fontId="1" fillId="0" borderId="0" pivotButton="0" quotePrefix="0" xfId="0"/>
    <xf numFmtId="165" fontId="1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4" pivotButton="0" quotePrefix="0" xfId="0"/>
    <xf numFmtId="0" fontId="0" fillId="0" borderId="3" pivotButton="0" quotePrefix="0" xfId="0"/>
    <xf numFmtId="166" fontId="7" fillId="0" borderId="1" pivotButton="0" quotePrefix="0" xfId="0"/>
    <xf numFmtId="0" fontId="5" fillId="0" borderId="1" applyAlignment="1" pivotButton="0" quotePrefix="0" xfId="0">
      <alignment horizontal="right" vertical="center" wrapText="1"/>
    </xf>
    <xf numFmtId="166" fontId="1" fillId="0" borderId="1" pivotButton="0" quotePrefix="0" xfId="0"/>
    <xf numFmtId="43" fontId="5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" fillId="0" borderId="8" applyAlignment="1" pivotButton="0" quotePrefix="0" xfId="0">
      <alignment horizontal="center" vertical="center"/>
    </xf>
    <xf numFmtId="168" fontId="1" fillId="0" borderId="8" applyAlignment="1" pivotButton="0" quotePrefix="0" xfId="0">
      <alignment horizontal="center" vertical="center"/>
    </xf>
    <xf numFmtId="169" fontId="1" fillId="0" borderId="8" applyAlignment="1" pivotButton="0" quotePrefix="0" xfId="0">
      <alignment horizontal="center" vertical="center"/>
    </xf>
  </cellXfs>
  <cellStyles count="1">
    <cellStyle name="Обычный" xfId="0" builtinId="0"/>
  </cellStyles>
  <dxfs count="2">
    <dxf>
      <numFmt numFmtId="171" formatCode="#,##0.0000"/>
    </dxf>
    <dxf>
      <numFmt numFmtId="171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view="pageBreakPreview" topLeftCell="A4" zoomScale="60" zoomScaleNormal="100" workbookViewId="0">
      <selection activeCell="C30" sqref="C30"/>
    </sheetView>
  </sheetViews>
  <sheetFormatPr baseColWidth="8" defaultRowHeight="15.75"/>
  <cols>
    <col width="9.140625" customWidth="1" style="148" min="1" max="1"/>
    <col width="33.5703125" customWidth="1" style="148" min="2" max="2"/>
    <col width="33.42578125" customWidth="1" style="148" min="3" max="3"/>
    <col width="36.85546875" customWidth="1" style="148" min="4" max="4"/>
    <col width="38" customWidth="1" style="148" min="5" max="5"/>
    <col width="9.140625" customWidth="1" style="148" min="6" max="6"/>
    <col width="14.28515625" customWidth="1" style="148" min="7" max="9"/>
    <col width="9.140625" customWidth="1" style="148" min="10" max="10"/>
  </cols>
  <sheetData>
    <row r="1" customFormat="1" s="148">
      <c r="B1" s="166" t="inlineStr">
        <is>
          <t>Приложение № 1</t>
        </is>
      </c>
    </row>
    <row r="2" customFormat="1" s="148">
      <c r="B2" s="167" t="inlineStr">
        <is>
          <t>Сравнительная таблица отбора объекта-представителя</t>
        </is>
      </c>
    </row>
    <row r="3" customFormat="1" s="148">
      <c r="B3" s="101" t="n"/>
      <c r="C3" s="101" t="n"/>
      <c r="D3" s="101" t="n"/>
      <c r="E3" s="101" t="n"/>
      <c r="F3" s="101" t="n"/>
      <c r="G3" s="101" t="n"/>
    </row>
    <row r="4" customFormat="1" s="148">
      <c r="B4" s="101" t="n"/>
      <c r="C4" s="101" t="n"/>
      <c r="D4" s="101" t="n"/>
      <c r="E4" s="101" t="n"/>
      <c r="F4" s="101" t="n"/>
      <c r="G4" s="101" t="n"/>
    </row>
    <row r="5" customFormat="1" s="148">
      <c r="B5" s="168" t="inlineStr">
        <is>
          <t>Наименование разрабатываемого показателя УНЦ — Шумозащитная стенка</t>
        </is>
      </c>
      <c r="I5" s="102" t="n"/>
    </row>
    <row r="6" ht="31.7" customFormat="1" customHeight="1" s="148">
      <c r="B6" s="168" t="inlineStr">
        <is>
          <t>Сопоставимый уровень цен: базовый уровень цен</t>
        </is>
      </c>
    </row>
    <row r="7" customFormat="1" s="148">
      <c r="B7" s="168" t="inlineStr">
        <is>
          <t>Единица измерения  — м2</t>
        </is>
      </c>
      <c r="I7" s="102" t="n"/>
    </row>
    <row r="8" customFormat="1" s="148">
      <c r="B8" s="168" t="n"/>
      <c r="C8" s="168" t="n"/>
      <c r="D8" s="168" t="n"/>
      <c r="E8" s="168" t="n"/>
      <c r="F8" s="168" t="n"/>
      <c r="G8" s="168" t="n"/>
      <c r="I8" s="102" t="n"/>
    </row>
    <row r="9" customFormat="1" s="148">
      <c r="B9" s="168" t="n"/>
      <c r="C9" s="168" t="n"/>
      <c r="D9" s="168" t="n"/>
      <c r="E9" s="168" t="n"/>
      <c r="F9" s="168" t="n"/>
      <c r="G9" s="168" t="n"/>
      <c r="I9" s="102" t="n"/>
    </row>
    <row r="11">
      <c r="A11" s="184" t="inlineStr">
        <is>
          <t>№ п/п</t>
        </is>
      </c>
      <c r="B11" s="184" t="inlineStr">
        <is>
          <t>Параметр</t>
        </is>
      </c>
      <c r="C11" s="184" t="inlineStr">
        <is>
          <t>Объект-представитель 1</t>
        </is>
      </c>
      <c r="D11" s="184" t="inlineStr">
        <is>
          <t>Объект-представитель 2</t>
        </is>
      </c>
      <c r="E11" s="184" t="inlineStr">
        <is>
          <t>Объект-представитель 3</t>
        </is>
      </c>
    </row>
    <row r="12" ht="63" customHeight="1" s="146">
      <c r="A12" s="184" t="n">
        <v>1</v>
      </c>
      <c r="B12" s="106" t="inlineStr">
        <is>
          <t>Наименование объекта-представителя</t>
        </is>
      </c>
      <c r="C12" s="184" t="inlineStr">
        <is>
          <t>Реконструкция ПС 110 кВ «Самарская»</t>
        </is>
      </c>
      <c r="D12" s="184" t="inlineStr">
        <is>
          <t>ВЛ 500 кВ Загорская ГАЭС-Ярцево 1,2 с расширением ПС 220 кВ Ярцево и реконструкцией ВЛ 500 кВ Конаково-Трубино</t>
        </is>
      </c>
      <c r="E12" s="184" t="inlineStr">
        <is>
          <t>Реконструкция подстанции 220/110/10 кВ «Встреча» с заходами ВЛ 220 и 110 кВ</t>
        </is>
      </c>
    </row>
    <row r="13" ht="31.7" customHeight="1" s="146">
      <c r="A13" s="184" t="n">
        <v>2</v>
      </c>
      <c r="B13" s="106" t="inlineStr">
        <is>
          <t>Наименование субъекта Российской Федерации</t>
        </is>
      </c>
      <c r="C13" s="184" t="inlineStr">
        <is>
          <t>г. Москва</t>
        </is>
      </c>
      <c r="D13" s="184" t="inlineStr">
        <is>
          <t>Сергиево-Посадский район, Моск. Обл.</t>
        </is>
      </c>
      <c r="E13" s="184" t="inlineStr">
        <is>
          <t>Московская область</t>
        </is>
      </c>
    </row>
    <row r="14" ht="31.7" customHeight="1" s="146">
      <c r="A14" s="184" t="n">
        <v>3</v>
      </c>
      <c r="B14" s="106" t="inlineStr">
        <is>
          <t>Климатический район и подрайон</t>
        </is>
      </c>
      <c r="C14" s="184" t="inlineStr">
        <is>
          <t>IIВ</t>
        </is>
      </c>
      <c r="D14" s="184" t="inlineStr">
        <is>
          <t>IIВ</t>
        </is>
      </c>
      <c r="E14" s="184" t="inlineStr">
        <is>
          <t>IIВ</t>
        </is>
      </c>
    </row>
    <row r="15">
      <c r="A15" s="184" t="n">
        <v>4</v>
      </c>
      <c r="B15" s="106" t="inlineStr">
        <is>
          <t>Мощность объекта, м2</t>
        </is>
      </c>
      <c r="C15" s="184" t="n">
        <v>113</v>
      </c>
      <c r="D15" s="184" t="n">
        <v>1078.9</v>
      </c>
      <c r="E15" s="184" t="n">
        <v>842</v>
      </c>
    </row>
    <row r="16" ht="117" customHeight="1" s="146">
      <c r="A16" s="184" t="n">
        <v>5</v>
      </c>
      <c r="B16" s="10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C16" s="184" t="inlineStr">
        <is>
          <t>Шумоглушение внутри здания при реконструкции/перепланировке помещений/камер трансформаторов</t>
        </is>
      </c>
      <c r="D16" s="106" t="inlineStr">
        <is>
          <t xml:space="preserve">Шумозащитные экраны ограждений трансформаторов (по ТУ 5262-001-13831917-2005 ОАО «Завод акустических конструкций»), высотой 5м. Фундамент на ж/б буронабивных сваях с ленточным ростверком </t>
        </is>
      </c>
      <c r="E16" s="106" t="inlineStr">
        <is>
          <t>Шумозащитная перегородка высотой 11м из сборных ж/б панелей ПЖС с установкой на сборные ж/б стойки ВС-3, кот устанавливаются в отрытые котлованы на ж/б плиту с навеской ригелей. Котлован разрабатывается с водоотливом</t>
        </is>
      </c>
    </row>
    <row r="17" ht="94.7" customHeight="1" s="146">
      <c r="A17" s="184" t="n">
        <v>6</v>
      </c>
      <c r="B17" s="10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C17" s="184" t="inlineStr">
        <is>
          <t>480,69/1 313,15 ТСН 2 квартал 2016 г.</t>
        </is>
      </c>
      <c r="D17" s="184" t="inlineStr">
        <is>
          <t>1 582,696/9 844,37 3 квартал 2011 г.</t>
        </is>
      </c>
      <c r="E17" s="184" t="inlineStr">
        <is>
          <t>1 590,98/5 695,71 4 квартал 2005 г.</t>
        </is>
      </c>
      <c r="G17" s="202" t="n"/>
      <c r="H17" s="202" t="n"/>
      <c r="I17" s="202" t="n"/>
    </row>
    <row r="18" ht="31.5" customHeight="1" s="146">
      <c r="A18" s="108" t="inlineStr">
        <is>
          <t>6.1</t>
        </is>
      </c>
      <c r="B18" s="106" t="inlineStr">
        <is>
          <t>строительно-монтажные работы</t>
        </is>
      </c>
      <c r="C18" s="184" t="inlineStr">
        <is>
          <t>480,69/1 313,15</t>
        </is>
      </c>
      <c r="D18" s="184" t="inlineStr">
        <is>
          <t>1 582,696/9 844,37</t>
        </is>
      </c>
      <c r="E18" s="184" t="inlineStr">
        <is>
          <t>1 590,98/5 695,71</t>
        </is>
      </c>
      <c r="G18" s="202" t="n"/>
      <c r="H18" s="202" t="n"/>
      <c r="I18" s="202" t="n"/>
    </row>
    <row r="19">
      <c r="A19" s="108" t="inlineStr">
        <is>
          <t>6.2</t>
        </is>
      </c>
      <c r="B19" s="106" t="inlineStr">
        <is>
          <t>оборудование и инвентарь</t>
        </is>
      </c>
      <c r="C19" s="184" t="n"/>
      <c r="D19" s="184" t="n"/>
      <c r="E19" s="184" t="n"/>
      <c r="G19" s="202" t="n"/>
      <c r="H19" s="202" t="n"/>
      <c r="I19" s="202" t="n"/>
    </row>
    <row r="20">
      <c r="A20" s="108" t="inlineStr">
        <is>
          <t>6.3</t>
        </is>
      </c>
      <c r="B20" s="106" t="inlineStr">
        <is>
          <t>пусконаладочные работы</t>
        </is>
      </c>
      <c r="C20" s="184" t="n"/>
      <c r="D20" s="184" t="n"/>
      <c r="E20" s="184" t="n"/>
    </row>
    <row r="21" ht="31.7" customHeight="1" s="146">
      <c r="A21" s="108" t="inlineStr">
        <is>
          <t>6.4</t>
        </is>
      </c>
      <c r="B21" s="106" t="inlineStr">
        <is>
          <t>прочие и лимитированные затраты</t>
        </is>
      </c>
      <c r="C21" s="184" t="n"/>
      <c r="D21" s="184" t="n"/>
      <c r="E21" s="184" t="n"/>
      <c r="F21" s="202" t="n"/>
    </row>
    <row r="22">
      <c r="A22" s="109" t="n">
        <v>7</v>
      </c>
      <c r="B22" s="106" t="inlineStr">
        <is>
          <t>Сопоставимый уровень цен</t>
        </is>
      </c>
      <c r="C22" s="184" t="inlineStr">
        <is>
          <t>2 квартал 2016 г.</t>
        </is>
      </c>
      <c r="D22" s="184" t="inlineStr">
        <is>
          <t>2 квартал 2016 г.</t>
        </is>
      </c>
      <c r="E22" s="184" t="inlineStr">
        <is>
          <t>2 квартал 2016 г.</t>
        </is>
      </c>
      <c r="H22" s="203" t="n"/>
      <c r="I22" s="203" t="n"/>
    </row>
    <row r="23" ht="110.25" customHeight="1" s="146">
      <c r="A23" s="109" t="n">
        <v>8</v>
      </c>
      <c r="B23" s="10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C23" s="111" t="n">
        <v>1313.15</v>
      </c>
      <c r="D23" s="111" t="n">
        <v>14348.390446356</v>
      </c>
      <c r="E23" s="111" t="n">
        <v>16905.532541494</v>
      </c>
    </row>
    <row r="24" ht="47.25" customHeight="1" s="146">
      <c r="A24" s="109" t="n">
        <v>9</v>
      </c>
      <c r="B24" s="106" t="inlineStr">
        <is>
          <t>Приведенная сметная стоимость на единицу мощности, тыс. руб. (строка 8/строку 4)</t>
        </is>
      </c>
      <c r="C24" s="111" t="n">
        <v>11.620796460177</v>
      </c>
      <c r="D24" s="111" t="n">
        <v>13.299092081153</v>
      </c>
      <c r="E24" s="111" t="n">
        <v>20.077829621727</v>
      </c>
    </row>
    <row r="25" ht="31.7" customHeight="1" s="146">
      <c r="A25" s="109" t="n">
        <v>10</v>
      </c>
      <c r="B25" s="106" t="inlineStr">
        <is>
          <t>Примечание</t>
        </is>
      </c>
      <c r="C25" s="184" t="n"/>
      <c r="D25" s="184" t="inlineStr">
        <is>
          <t>Скальные грунты, готовые жб плиты</t>
        </is>
      </c>
      <c r="E25" s="184" t="inlineStr">
        <is>
          <t>Принят за объект представитель</t>
        </is>
      </c>
    </row>
    <row r="27" customFormat="1" s="148">
      <c r="C27" s="148" t="inlineStr">
        <is>
          <t>Составил ______________________         М.С. Колотиевская</t>
        </is>
      </c>
    </row>
    <row r="28" customFormat="1" s="148">
      <c r="C28" s="99" t="inlineStr">
        <is>
          <t xml:space="preserve">                         (подпись, инициалы, фамилия)</t>
        </is>
      </c>
    </row>
    <row r="29" customFormat="1" s="148"/>
    <row r="30" s="146">
      <c r="B30" s="148" t="n"/>
      <c r="C30" s="148" t="inlineStr">
        <is>
          <t>Проверил ______________________          А.В. Костянецкая</t>
        </is>
      </c>
      <c r="D30" s="148" t="n"/>
      <c r="E30" s="148" t="n"/>
      <c r="F30" s="148" t="n"/>
      <c r="G30" s="148" t="n"/>
      <c r="H30" s="148" t="n"/>
      <c r="I30" s="148" t="n"/>
      <c r="J30" s="148" t="n"/>
    </row>
    <row r="31" s="146">
      <c r="B31" s="148" t="n"/>
      <c r="C31" s="99" t="inlineStr">
        <is>
          <t xml:space="preserve">                        (подпись, инициалы, фамилия)</t>
        </is>
      </c>
      <c r="D31" s="148" t="n"/>
      <c r="E31" s="148" t="n"/>
      <c r="F31" s="148" t="n"/>
      <c r="G31" s="148" t="n"/>
      <c r="H31" s="148" t="n"/>
      <c r="I31" s="148" t="n"/>
      <c r="J31" s="148" t="n"/>
    </row>
  </sheetData>
  <mergeCells count="5">
    <mergeCell ref="B2:G2"/>
    <mergeCell ref="B5:G5"/>
    <mergeCell ref="B1:G1"/>
    <mergeCell ref="B7:G7"/>
    <mergeCell ref="B6:G6"/>
  </mergeCells>
  <pageMargins left="0.7" right="0.7" top="0.75" bottom="0.75" header="0.3" footer="0.3"/>
  <pageSetup orientation="portrait" scale="5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42"/>
  <sheetViews>
    <sheetView view="pageBreakPreview" topLeftCell="A22" zoomScaleNormal="85" workbookViewId="0">
      <selection activeCell="C40" sqref="C40"/>
    </sheetView>
  </sheetViews>
  <sheetFormatPr baseColWidth="8" defaultColWidth="9.140625" defaultRowHeight="15"/>
  <cols>
    <col width="5.5703125" customWidth="1" style="146" min="1" max="1"/>
    <col width="9.140625" customWidth="1" style="146" min="2" max="2"/>
    <col width="28.140625" customWidth="1" style="146" min="3" max="3"/>
    <col width="13.85546875" customWidth="1" style="146" min="4" max="4"/>
    <col width="39" customWidth="1" style="146" min="5" max="5"/>
    <col width="14.5703125" customWidth="1" style="146" min="6" max="6"/>
    <col width="21.42578125" customWidth="1" style="146" min="7" max="7"/>
    <col width="19.5703125" customWidth="1" style="146" min="8" max="8"/>
    <col width="13" customWidth="1" style="146" min="9" max="9"/>
    <col width="20.85546875" customWidth="1" style="146" min="10" max="10"/>
    <col width="18" customWidth="1" style="146" min="11" max="11"/>
    <col width="9.140625" customWidth="1" style="146" min="12" max="12"/>
  </cols>
  <sheetData>
    <row r="3" ht="15.75" customHeight="1" s="146">
      <c r="B3" s="166" t="inlineStr">
        <is>
          <t>Приложение № 2</t>
        </is>
      </c>
    </row>
    <row r="4" ht="15.75" customHeight="1" s="146">
      <c r="B4" s="167" t="inlineStr">
        <is>
          <t>Расчет стоимости основных видов работ для выбора объекта-представителя</t>
        </is>
      </c>
    </row>
    <row r="5" ht="15.75" customHeight="1" s="146">
      <c r="B5" s="101" t="n"/>
      <c r="C5" s="101" t="n"/>
      <c r="D5" s="101" t="n"/>
      <c r="E5" s="101" t="n"/>
      <c r="F5" s="101" t="n"/>
      <c r="G5" s="101" t="n"/>
      <c r="H5" s="101" t="n"/>
      <c r="I5" s="101" t="n"/>
      <c r="J5" s="101" t="n"/>
      <c r="K5" s="101" t="n"/>
    </row>
    <row r="6" ht="15.75" customHeight="1" s="146">
      <c r="B6" s="168">
        <f>'Прил.1 Сравнит табл'!B5:G5</f>
        <v/>
      </c>
      <c r="L6" s="113" t="n"/>
    </row>
    <row r="7" ht="15.75" customHeight="1" s="146">
      <c r="B7" s="169">
        <f>'Прил.1 Сравнит табл'!B7:G7</f>
        <v/>
      </c>
      <c r="L7" s="113" t="n"/>
    </row>
    <row r="8" ht="18.75" customHeight="1" s="146">
      <c r="B8" s="114" t="n"/>
      <c r="K8" s="115" t="n"/>
    </row>
    <row r="9" ht="15.75" customFormat="1" customHeight="1" s="148">
      <c r="B9" s="184" t="inlineStr">
        <is>
          <t>№ п/п</t>
        </is>
      </c>
      <c r="C9" s="18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84" t="inlineStr">
        <is>
          <t>Реконструкция ПС 110 кВ «Самарская»</t>
        </is>
      </c>
      <c r="E9" s="204" t="n"/>
      <c r="F9" s="204" t="n"/>
      <c r="G9" s="204" t="n"/>
      <c r="H9" s="204" t="n"/>
      <c r="I9" s="204" t="n"/>
      <c r="J9" s="205" t="n"/>
    </row>
    <row r="10" ht="15.75" customFormat="1" customHeight="1" s="148">
      <c r="B10" s="206" t="n"/>
      <c r="C10" s="206" t="n"/>
      <c r="D10" s="184" t="inlineStr">
        <is>
          <t>Номер сметы</t>
        </is>
      </c>
      <c r="E10" s="184" t="inlineStr">
        <is>
          <t>Наименование сметы</t>
        </is>
      </c>
      <c r="F10" s="184" t="inlineStr">
        <is>
          <t>Сметная стоимость в уровне цен 2 кв. 2016г., тыс. руб.</t>
        </is>
      </c>
      <c r="G10" s="204" t="n"/>
      <c r="H10" s="204" t="n"/>
      <c r="I10" s="204" t="n"/>
      <c r="J10" s="205" t="n"/>
    </row>
    <row r="11" ht="31.7" customFormat="1" customHeight="1" s="148">
      <c r="B11" s="207" t="n"/>
      <c r="C11" s="207" t="n"/>
      <c r="D11" s="207" t="n"/>
      <c r="E11" s="207" t="n"/>
      <c r="F11" s="184" t="inlineStr">
        <is>
          <t>Строительные работы</t>
        </is>
      </c>
      <c r="G11" s="184" t="inlineStr">
        <is>
          <t>Монтажные работы</t>
        </is>
      </c>
      <c r="H11" s="184" t="inlineStr">
        <is>
          <t>Оборудование</t>
        </is>
      </c>
      <c r="I11" s="184" t="inlineStr">
        <is>
          <t>Прочее</t>
        </is>
      </c>
      <c r="J11" s="184" t="inlineStr">
        <is>
          <t>Всего</t>
        </is>
      </c>
    </row>
    <row r="12" ht="15.75" customFormat="1" customHeight="1" s="148">
      <c r="B12" s="184" t="n">
        <v>1</v>
      </c>
      <c r="C12" s="196" t="n"/>
      <c r="D12" s="116" t="inlineStr">
        <is>
          <t>02-04-01</t>
        </is>
      </c>
      <c r="E12" s="195" t="inlineStr">
        <is>
          <t>Шумоглушение</t>
        </is>
      </c>
      <c r="F12" s="197" t="n">
        <v>1313.15</v>
      </c>
      <c r="G12" s="208" t="n"/>
      <c r="H12" s="208" t="n"/>
      <c r="I12" s="197" t="n"/>
      <c r="J12" s="198" t="n">
        <v>1313.15</v>
      </c>
    </row>
    <row r="13" ht="15.75" customFormat="1" customHeight="1" s="148">
      <c r="B13" s="209" t="inlineStr">
        <is>
          <t>Всего по объекту:</t>
        </is>
      </c>
      <c r="C13" s="204" t="n"/>
      <c r="D13" s="204" t="n"/>
      <c r="E13" s="205" t="n"/>
      <c r="F13" s="210" t="n">
        <v>1313.15</v>
      </c>
      <c r="G13" s="210" t="n">
        <v>0</v>
      </c>
      <c r="H13" s="210" t="n">
        <v>0</v>
      </c>
      <c r="I13" s="210" t="n">
        <v>0</v>
      </c>
      <c r="J13" s="210" t="n">
        <v>1313.15</v>
      </c>
    </row>
    <row r="14" ht="15.75" customFormat="1" customHeight="1" s="148">
      <c r="B14" s="209" t="inlineStr">
        <is>
          <t>Всего по объекту в сопоставимом уровне цен 2 кв. 2016г:</t>
        </is>
      </c>
      <c r="C14" s="204" t="n"/>
      <c r="D14" s="204" t="n"/>
      <c r="E14" s="205" t="n"/>
      <c r="F14" s="211" t="n">
        <v>1313.15</v>
      </c>
      <c r="G14" s="211" t="n">
        <v>0</v>
      </c>
      <c r="H14" s="211" t="n">
        <v>0</v>
      </c>
      <c r="I14" s="211" t="n">
        <v>0</v>
      </c>
      <c r="J14" s="211" t="n">
        <v>1313.15</v>
      </c>
    </row>
    <row r="15" ht="15.75" customFormat="1" customHeight="1" s="148">
      <c r="B15" s="168" t="n"/>
      <c r="C15" s="148" t="n"/>
      <c r="D15" s="148" t="n"/>
      <c r="E15" s="148" t="n"/>
      <c r="F15" s="148" t="n"/>
      <c r="G15" s="148" t="n"/>
      <c r="H15" s="148" t="n"/>
      <c r="I15" s="148" t="n"/>
      <c r="J15" s="148" t="n"/>
    </row>
    <row r="16" ht="15.75" customFormat="1" customHeight="1" s="148">
      <c r="B16" s="168" t="n"/>
      <c r="C16" s="148" t="n"/>
      <c r="D16" s="148" t="n"/>
      <c r="E16" s="148" t="n"/>
      <c r="F16" s="148" t="n"/>
      <c r="G16" s="148" t="n"/>
      <c r="H16" s="148" t="n"/>
      <c r="I16" s="148" t="n"/>
      <c r="J16" s="148" t="n"/>
    </row>
    <row r="17" ht="15.75" customFormat="1" customHeight="1" s="148">
      <c r="B17" s="168" t="n"/>
      <c r="C17" s="148" t="n"/>
      <c r="D17" s="148" t="n"/>
      <c r="E17" s="148" t="n"/>
      <c r="F17" s="148" t="n"/>
      <c r="G17" s="148" t="n"/>
      <c r="H17" s="148" t="n"/>
      <c r="I17" s="148" t="n"/>
      <c r="J17" s="148" t="n"/>
      <c r="K17" s="120" t="n"/>
    </row>
    <row r="18" ht="51" customFormat="1" customHeight="1" s="148">
      <c r="B18" s="184" t="inlineStr">
        <is>
          <t>№ п/п</t>
        </is>
      </c>
      <c r="C18" s="18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8" s="184" t="inlineStr">
        <is>
          <t>ВЛ 500 кВ Загорская ГАЭС-Ярцево 1,2 с расширением ПС 220 кВ Ярцево и реконструкцией ВЛ 500 кВ Конаково-Трубино</t>
        </is>
      </c>
      <c r="E18" s="204" t="n"/>
      <c r="F18" s="204" t="n"/>
      <c r="G18" s="204" t="n"/>
      <c r="H18" s="204" t="n"/>
      <c r="I18" s="204" t="n"/>
      <c r="J18" s="205" t="n"/>
    </row>
    <row r="19" ht="15.75" customFormat="1" customHeight="1" s="148">
      <c r="B19" s="206" t="n"/>
      <c r="C19" s="206" t="n"/>
      <c r="D19" s="184" t="inlineStr">
        <is>
          <t>Номер сметы</t>
        </is>
      </c>
      <c r="E19" s="184" t="inlineStr">
        <is>
          <t>Наименование сметы</t>
        </is>
      </c>
      <c r="F19" s="184" t="inlineStr">
        <is>
          <t>Сметная стоимость в уровне цен 3 кв. 2011г., тыс. руб.</t>
        </is>
      </c>
      <c r="G19" s="204" t="n"/>
      <c r="H19" s="204" t="n"/>
      <c r="I19" s="204" t="n"/>
      <c r="J19" s="205" t="n"/>
    </row>
    <row r="20" ht="45" customFormat="1" customHeight="1" s="148">
      <c r="B20" s="207" t="n"/>
      <c r="C20" s="207" t="n"/>
      <c r="D20" s="207" t="n"/>
      <c r="E20" s="207" t="n"/>
      <c r="F20" s="184" t="inlineStr">
        <is>
          <t>Строительные работы</t>
        </is>
      </c>
      <c r="G20" s="184" t="inlineStr">
        <is>
          <t>Монтажные работы</t>
        </is>
      </c>
      <c r="H20" s="184" t="inlineStr">
        <is>
          <t>Оборудование</t>
        </is>
      </c>
      <c r="I20" s="184" t="inlineStr">
        <is>
          <t>Прочее</t>
        </is>
      </c>
      <c r="J20" s="184" t="inlineStr">
        <is>
          <t>Всего</t>
        </is>
      </c>
    </row>
    <row r="21" ht="31.7" customFormat="1" customHeight="1" s="148">
      <c r="B21" s="184" t="n">
        <v>1</v>
      </c>
      <c r="C21" s="196" t="n"/>
      <c r="D21" s="121" t="inlineStr">
        <is>
          <t>02-01-07</t>
        </is>
      </c>
      <c r="E21" s="195" t="inlineStr">
        <is>
          <t>Установка шумозащитных экранов АТ 500 кВ</t>
        </is>
      </c>
      <c r="F21" s="212" t="n">
        <v>9844.373</v>
      </c>
      <c r="G21" s="208" t="n"/>
      <c r="H21" s="208" t="n"/>
      <c r="I21" s="197" t="n"/>
      <c r="J21" s="198" t="n">
        <v>9844.373</v>
      </c>
    </row>
    <row r="22" ht="15.75" customFormat="1" customHeight="1" s="148">
      <c r="B22" s="209" t="inlineStr">
        <is>
          <t>Всего по объекту:</t>
        </is>
      </c>
      <c r="C22" s="204" t="n"/>
      <c r="D22" s="204" t="n"/>
      <c r="E22" s="205" t="n"/>
      <c r="F22" s="210" t="n">
        <v>9844.373</v>
      </c>
      <c r="G22" s="210" t="n">
        <v>0</v>
      </c>
      <c r="H22" s="210" t="n">
        <v>0</v>
      </c>
      <c r="I22" s="210" t="n">
        <v>0</v>
      </c>
      <c r="J22" s="210" t="n">
        <v>9844.373</v>
      </c>
    </row>
    <row r="23" ht="15.75" customFormat="1" customHeight="1" s="148">
      <c r="B23" s="209" t="inlineStr">
        <is>
          <t>Всего по объекту в сопоставимом уровне цен 2 кв. 2016г:</t>
        </is>
      </c>
      <c r="C23" s="204" t="n"/>
      <c r="D23" s="204" t="n"/>
      <c r="E23" s="205" t="n"/>
      <c r="F23" s="211" t="n">
        <v>14348.390446356</v>
      </c>
      <c r="G23" s="211" t="n">
        <v>0</v>
      </c>
      <c r="H23" s="211" t="n">
        <v>0</v>
      </c>
      <c r="I23" s="211" t="n">
        <v>0</v>
      </c>
      <c r="J23" s="211" t="n">
        <v>14348.390446356</v>
      </c>
    </row>
    <row r="24" ht="15.75" customFormat="1" customHeight="1" s="148">
      <c r="B24" s="168" t="n"/>
      <c r="C24" s="148" t="n"/>
      <c r="D24" s="148" t="n"/>
      <c r="E24" s="148" t="n"/>
      <c r="F24" s="148" t="n"/>
      <c r="G24" s="148" t="n"/>
      <c r="H24" s="148" t="n"/>
      <c r="I24" s="148" t="n"/>
      <c r="J24" s="148" t="n"/>
    </row>
    <row r="25"/>
    <row r="26" ht="15.75" customFormat="1" customHeight="1" s="148">
      <c r="B26" s="168" t="n"/>
      <c r="C26" s="148" t="n"/>
      <c r="D26" s="148" t="n"/>
      <c r="E26" s="148" t="n"/>
      <c r="F26" s="148" t="n"/>
      <c r="G26" s="148" t="n"/>
      <c r="H26" s="148" t="n"/>
      <c r="I26" s="148" t="n"/>
      <c r="J26" s="148" t="n"/>
    </row>
    <row r="27" ht="15.75" customFormat="1" customHeight="1" s="148">
      <c r="B27" s="168" t="n"/>
      <c r="C27" s="148" t="n"/>
      <c r="D27" s="148" t="n"/>
      <c r="E27" s="148" t="n"/>
      <c r="F27" s="148" t="n"/>
      <c r="G27" s="148" t="n"/>
      <c r="H27" s="148" t="n"/>
      <c r="I27" s="148" t="n"/>
      <c r="J27" s="148" t="n"/>
      <c r="K27" s="120" t="n"/>
    </row>
    <row r="28" ht="15.75" customFormat="1" customHeight="1" s="148">
      <c r="B28" s="184" t="inlineStr">
        <is>
          <t>№ п/п</t>
        </is>
      </c>
      <c r="C28" s="18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8" s="184" t="inlineStr">
        <is>
          <t>Реконструкция подстанции 220/110/10 кВ «Встреча» с заходами ВЛ 220 и 110 кВ</t>
        </is>
      </c>
      <c r="E28" s="204" t="n"/>
      <c r="F28" s="204" t="n"/>
      <c r="G28" s="204" t="n"/>
      <c r="H28" s="204" t="n"/>
      <c r="I28" s="204" t="n"/>
      <c r="J28" s="205" t="n"/>
    </row>
    <row r="29" ht="15.75" customFormat="1" customHeight="1" s="148">
      <c r="B29" s="206" t="n"/>
      <c r="C29" s="206" t="n"/>
      <c r="D29" s="184" t="inlineStr">
        <is>
          <t>Номер сметы</t>
        </is>
      </c>
      <c r="E29" s="184" t="inlineStr">
        <is>
          <t>Наименование сметы</t>
        </is>
      </c>
      <c r="F29" s="184" t="inlineStr">
        <is>
          <t>Сметная стоимость в уровне цен 4 кв. 2005г., тыс. руб.</t>
        </is>
      </c>
      <c r="G29" s="204" t="n"/>
      <c r="H29" s="204" t="n"/>
      <c r="I29" s="204" t="n"/>
      <c r="J29" s="205" t="n"/>
    </row>
    <row r="30" ht="31.7" customFormat="1" customHeight="1" s="148">
      <c r="B30" s="207" t="n"/>
      <c r="C30" s="207" t="n"/>
      <c r="D30" s="207" t="n"/>
      <c r="E30" s="207" t="n"/>
      <c r="F30" s="184" t="inlineStr">
        <is>
          <t>Строительные работы</t>
        </is>
      </c>
      <c r="G30" s="184" t="inlineStr">
        <is>
          <t>Монтажные работы</t>
        </is>
      </c>
      <c r="H30" s="184" t="inlineStr">
        <is>
          <t>Оборудование</t>
        </is>
      </c>
      <c r="I30" s="184" t="inlineStr">
        <is>
          <t>Прочее</t>
        </is>
      </c>
      <c r="J30" s="184" t="inlineStr">
        <is>
          <t>Всего</t>
        </is>
      </c>
    </row>
    <row r="31" ht="15.75" customFormat="1" customHeight="1" s="148">
      <c r="B31" s="184" t="n"/>
      <c r="C31" s="196" t="n"/>
      <c r="D31" s="121" t="inlineStr">
        <is>
          <t>2-5-6</t>
        </is>
      </c>
      <c r="E31" s="195" t="inlineStr">
        <is>
          <t>Шумозатная перегородка</t>
        </is>
      </c>
      <c r="F31" s="197" t="n">
        <v>5695.71</v>
      </c>
      <c r="G31" s="198" t="n"/>
      <c r="H31" s="198" t="n"/>
      <c r="I31" s="197" t="n"/>
      <c r="J31" s="198" t="n">
        <v>5695.71</v>
      </c>
    </row>
    <row r="32" ht="15.75" customFormat="1" customHeight="1" s="148">
      <c r="B32" s="209" t="inlineStr">
        <is>
          <t>Всего по объекту:</t>
        </is>
      </c>
      <c r="C32" s="204" t="n"/>
      <c r="D32" s="204" t="n"/>
      <c r="E32" s="205" t="n"/>
      <c r="F32" s="210" t="n">
        <v>5695.71</v>
      </c>
      <c r="G32" s="210" t="n">
        <v>0</v>
      </c>
      <c r="H32" s="210" t="n">
        <v>0</v>
      </c>
      <c r="I32" s="210" t="n">
        <v>0</v>
      </c>
      <c r="J32" s="210" t="n">
        <v>5695.71</v>
      </c>
    </row>
    <row r="33" ht="15.75" customFormat="1" customHeight="1" s="148">
      <c r="B33" s="209" t="inlineStr">
        <is>
          <t>Всего по объекту в сопоставимом уровне цен 2 кв. 2016г:</t>
        </is>
      </c>
      <c r="C33" s="204" t="n"/>
      <c r="D33" s="204" t="n"/>
      <c r="E33" s="205" t="n"/>
      <c r="F33" s="211" t="n">
        <v>16905.532541493</v>
      </c>
      <c r="G33" s="211" t="n">
        <v>0</v>
      </c>
      <c r="H33" s="211" t="n">
        <v>0</v>
      </c>
      <c r="I33" s="211" t="n">
        <v>0</v>
      </c>
      <c r="J33" s="211" t="n">
        <v>16905.532541493</v>
      </c>
    </row>
    <row r="34" ht="15.75" customFormat="1" customHeight="1" s="148">
      <c r="B34" s="168" t="n"/>
    </row>
    <row r="35" ht="15.75" customFormat="1" customHeight="1" s="148"/>
    <row r="36" ht="15.75" customFormat="1" customHeight="1" s="148"/>
    <row r="37" ht="15.75" customFormat="1" customHeight="1" s="148">
      <c r="C37" s="148" t="inlineStr">
        <is>
          <t>Составил ______________________         М.С. Колотиевская</t>
        </is>
      </c>
    </row>
    <row r="38" ht="15.75" customFormat="1" customHeight="1" s="148">
      <c r="C38" s="99" t="inlineStr">
        <is>
          <t xml:space="preserve">                         (подпись, инициалы, фамилия)</t>
        </is>
      </c>
    </row>
    <row r="39" ht="15.75" customFormat="1" customHeight="1" s="148"/>
    <row r="40" ht="15.75" customHeight="1" s="146">
      <c r="B40" s="148" t="n"/>
      <c r="C40" s="148" t="inlineStr">
        <is>
          <t>Проверил ______________________          А.В. Костянецкая</t>
        </is>
      </c>
      <c r="D40" s="148" t="n"/>
      <c r="E40" s="148" t="n"/>
      <c r="F40" s="148" t="n"/>
      <c r="G40" s="148" t="n"/>
      <c r="H40" s="148" t="n"/>
      <c r="I40" s="148" t="n"/>
      <c r="J40" s="148" t="n"/>
    </row>
    <row r="41" ht="15.75" customHeight="1" s="146">
      <c r="B41" s="148" t="n"/>
      <c r="C41" s="99" t="inlineStr">
        <is>
          <t xml:space="preserve">                        (подпись, инициалы, фамилия)</t>
        </is>
      </c>
      <c r="D41" s="148" t="n"/>
      <c r="E41" s="148" t="n"/>
      <c r="F41" s="148" t="n"/>
      <c r="G41" s="148" t="n"/>
      <c r="H41" s="148" t="n"/>
      <c r="I41" s="148" t="n"/>
      <c r="J41" s="148" t="n"/>
    </row>
    <row r="42" ht="15.75" customHeight="1" s="146">
      <c r="B42" s="148" t="n"/>
      <c r="C42" s="148" t="n"/>
      <c r="D42" s="148" t="n"/>
      <c r="E42" s="148" t="n"/>
      <c r="F42" s="148" t="n"/>
      <c r="G42" s="148" t="n"/>
      <c r="H42" s="148" t="n"/>
      <c r="I42" s="148" t="n"/>
      <c r="J42" s="148" t="n"/>
    </row>
  </sheetData>
  <mergeCells count="28">
    <mergeCell ref="D28:J28"/>
    <mergeCell ref="F29:J29"/>
    <mergeCell ref="D18:J18"/>
    <mergeCell ref="D9:J9"/>
    <mergeCell ref="F10:J10"/>
    <mergeCell ref="F19:J19"/>
    <mergeCell ref="B33:E33"/>
    <mergeCell ref="E29:E30"/>
    <mergeCell ref="B6:K6"/>
    <mergeCell ref="E19:E20"/>
    <mergeCell ref="E10:E11"/>
    <mergeCell ref="B32:E32"/>
    <mergeCell ref="B4:K4"/>
    <mergeCell ref="C28:C30"/>
    <mergeCell ref="B7:K7"/>
    <mergeCell ref="C18:C20"/>
    <mergeCell ref="B22:E22"/>
    <mergeCell ref="B3:K3"/>
    <mergeCell ref="B18:B20"/>
    <mergeCell ref="D29:D30"/>
    <mergeCell ref="B14:E14"/>
    <mergeCell ref="B23:E23"/>
    <mergeCell ref="D19:D20"/>
    <mergeCell ref="D10:D11"/>
    <mergeCell ref="B13:E13"/>
    <mergeCell ref="B9:B11"/>
    <mergeCell ref="B28:B30"/>
    <mergeCell ref="C9:C11"/>
  </mergeCells>
  <pageMargins left="0.7" right="0.7" top="0.75" bottom="0.75" header="0.3" footer="0.3"/>
  <pageSetup orientation="portrait" paperSize="9" scale="4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26"/>
  <sheetViews>
    <sheetView view="pageBreakPreview" topLeftCell="A97" zoomScale="60" zoomScaleNormal="100" workbookViewId="0">
      <selection activeCell="B125" sqref="B125"/>
    </sheetView>
  </sheetViews>
  <sheetFormatPr baseColWidth="8" defaultColWidth="9.140625" defaultRowHeight="15"/>
  <cols>
    <col width="9.140625" customWidth="1" style="146" min="1" max="1"/>
    <col width="12.5703125" customWidth="1" style="146" min="2" max="2"/>
    <col width="17" customWidth="1" style="146" min="3" max="3"/>
    <col width="49.7109375" customWidth="1" style="146" min="4" max="4"/>
    <col width="16.28515625" customWidth="1" style="146" min="5" max="5"/>
    <col width="20.7109375" customWidth="1" style="146" min="6" max="6"/>
    <col width="16.140625" customWidth="1" style="146" min="7" max="7"/>
    <col width="16.7109375" customWidth="1" style="146" min="8" max="8"/>
    <col width="9.140625" customWidth="1" style="146" min="9" max="9"/>
  </cols>
  <sheetData>
    <row r="2" ht="15.75" customHeight="1" s="146">
      <c r="A2" s="166" t="inlineStr">
        <is>
          <t xml:space="preserve">Приложение № 3 </t>
        </is>
      </c>
    </row>
    <row r="3" ht="18.75" customHeight="1" s="146">
      <c r="A3" s="182" t="inlineStr">
        <is>
          <t>Объектная ресурсная ведомость</t>
        </is>
      </c>
    </row>
    <row r="4" ht="18.75" customHeight="1" s="146">
      <c r="A4" s="182" t="n"/>
      <c r="B4" s="182" t="n"/>
      <c r="C4" s="18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148" t="n"/>
      <c r="J4" s="148" t="n"/>
      <c r="K4" s="148" t="n"/>
      <c r="L4" s="148" t="n"/>
    </row>
    <row r="5" ht="18.75" customHeight="1" s="146">
      <c r="A5" s="182" t="n"/>
      <c r="B5" s="182" t="n"/>
      <c r="C5" s="183" t="n"/>
      <c r="D5" s="183" t="n"/>
      <c r="E5" s="183" t="n"/>
      <c r="F5" s="183" t="n"/>
      <c r="G5" s="183" t="n"/>
      <c r="H5" s="183" t="n"/>
      <c r="I5" s="148" t="n"/>
      <c r="J5" s="148" t="n"/>
      <c r="K5" s="148" t="n"/>
      <c r="L5" s="148" t="n"/>
    </row>
    <row r="6" ht="18.75" customHeight="1" s="146">
      <c r="A6" s="114" t="n"/>
    </row>
    <row r="7" ht="15.75" customHeight="1" s="146">
      <c r="A7" s="169" t="inlineStr">
        <is>
          <t>Наименование разрабатываемого показателя УНЦ -  Шумозащитная стенка</t>
        </is>
      </c>
    </row>
    <row r="8" ht="15.75" customFormat="1" customHeight="1" s="148">
      <c r="A8" s="18" t="n"/>
      <c r="B8" s="18" t="n"/>
      <c r="C8" s="18" t="n"/>
      <c r="D8" s="18" t="n"/>
      <c r="E8" s="18" t="n"/>
      <c r="F8" s="18" t="n"/>
      <c r="G8" s="18" t="n"/>
      <c r="H8" s="18" t="n"/>
    </row>
    <row r="9" ht="38.25" customFormat="1" customHeight="1" s="148">
      <c r="A9" s="184" t="inlineStr">
        <is>
          <t>п/п</t>
        </is>
      </c>
      <c r="B9" s="184" t="inlineStr">
        <is>
          <t>№ЛСР</t>
        </is>
      </c>
      <c r="C9" s="184" t="inlineStr">
        <is>
          <t>Код ресурса</t>
        </is>
      </c>
      <c r="D9" s="184" t="inlineStr">
        <is>
          <t>Наименование ресурса</t>
        </is>
      </c>
      <c r="E9" s="184" t="inlineStr">
        <is>
          <t>Ед. изм.</t>
        </is>
      </c>
      <c r="F9" s="184" t="inlineStr">
        <is>
          <t>Кол-во единиц по данным объекта-представителя</t>
        </is>
      </c>
      <c r="G9" s="184" t="inlineStr">
        <is>
          <t>Сметная стоимость в ценах на 01.01.2000 (руб.)</t>
        </is>
      </c>
      <c r="H9" s="205" t="n"/>
    </row>
    <row r="10" ht="40.7" customFormat="1" customHeight="1" s="148">
      <c r="A10" s="207" t="n"/>
      <c r="B10" s="207" t="n"/>
      <c r="C10" s="207" t="n"/>
      <c r="D10" s="207" t="n"/>
      <c r="E10" s="207" t="n"/>
      <c r="F10" s="207" t="n"/>
      <c r="G10" s="184" t="inlineStr">
        <is>
          <t>на ед.изм.</t>
        </is>
      </c>
      <c r="H10" s="184" t="inlineStr">
        <is>
          <t>общая</t>
        </is>
      </c>
    </row>
    <row r="11" ht="15.75" customFormat="1" customHeight="1" s="148">
      <c r="A11" s="184" t="n">
        <v>1</v>
      </c>
      <c r="B11" s="184" t="n"/>
      <c r="C11" s="184" t="n">
        <v>2</v>
      </c>
      <c r="D11" s="184" t="inlineStr">
        <is>
          <t>З</t>
        </is>
      </c>
      <c r="E11" s="184" t="n">
        <v>4</v>
      </c>
      <c r="F11" s="184" t="n">
        <v>5</v>
      </c>
      <c r="G11" s="111" t="n">
        <v>6</v>
      </c>
      <c r="H11" s="111" t="n">
        <v>7</v>
      </c>
    </row>
    <row r="12" ht="15.75" customFormat="1" customHeight="1" s="15">
      <c r="A12" s="179" t="inlineStr">
        <is>
          <t>Затраты труда рабочих</t>
        </is>
      </c>
      <c r="B12" s="204" t="n"/>
      <c r="C12" s="204" t="n"/>
      <c r="D12" s="204" t="n"/>
      <c r="E12" s="205" t="n"/>
      <c r="F12" s="179" t="n">
        <v>7596.516822</v>
      </c>
      <c r="G12" s="20" t="n"/>
      <c r="H12" s="20">
        <f>SUM(H13:H29)</f>
        <v/>
      </c>
    </row>
    <row r="13" ht="15.75" customFormat="1" customHeight="1" s="148">
      <c r="A13" s="180" t="n">
        <v>1</v>
      </c>
      <c r="B13" s="180" t="n"/>
      <c r="C13" s="181" t="inlineStr">
        <is>
          <t>1-100-30</t>
        </is>
      </c>
      <c r="D13" s="181" t="inlineStr">
        <is>
          <t>Затраты труда рабочих (ср 3)</t>
        </is>
      </c>
      <c r="E13" s="180" t="inlineStr">
        <is>
          <t>чел.-ч</t>
        </is>
      </c>
      <c r="F13" s="180" t="n">
        <v>1965.62594</v>
      </c>
      <c r="G13" s="185" t="n">
        <v>8.529999999999999</v>
      </c>
      <c r="H13" s="185">
        <f>ROUND(F13*G13,2)</f>
        <v/>
      </c>
    </row>
    <row r="14" ht="15.75" customFormat="1" customHeight="1" s="148">
      <c r="A14" s="180" t="n">
        <v>2</v>
      </c>
      <c r="B14" s="180" t="n"/>
      <c r="C14" s="181" t="inlineStr">
        <is>
          <t>1-100-35</t>
        </is>
      </c>
      <c r="D14" s="181" t="inlineStr">
        <is>
          <t>Затраты труда рабочих (ср 3,5)</t>
        </is>
      </c>
      <c r="E14" s="180" t="inlineStr">
        <is>
          <t>чел.-ч</t>
        </is>
      </c>
      <c r="F14" s="180" t="n">
        <v>988.9344</v>
      </c>
      <c r="G14" s="185" t="n">
        <v>9.07</v>
      </c>
      <c r="H14" s="185">
        <f>ROUND(F14*G14,2)</f>
        <v/>
      </c>
    </row>
    <row r="15" ht="15.75" customFormat="1" customHeight="1" s="148">
      <c r="A15" s="180" t="n">
        <v>3</v>
      </c>
      <c r="B15" s="180" t="n"/>
      <c r="C15" s="181" t="inlineStr">
        <is>
          <t>1-100-36</t>
        </is>
      </c>
      <c r="D15" s="181" t="inlineStr">
        <is>
          <t>Затраты труда рабочих (ср 3,6)</t>
        </is>
      </c>
      <c r="E15" s="180" t="inlineStr">
        <is>
          <t>чел.-ч</t>
        </is>
      </c>
      <c r="F15" s="180" t="n">
        <v>969.57858</v>
      </c>
      <c r="G15" s="185" t="n">
        <v>9.18</v>
      </c>
      <c r="H15" s="185">
        <f>ROUND(F15*G15,2)</f>
        <v/>
      </c>
    </row>
    <row r="16" ht="15.75" customFormat="1" customHeight="1" s="148">
      <c r="A16" s="180" t="n">
        <v>4</v>
      </c>
      <c r="B16" s="180" t="n"/>
      <c r="C16" s="181" t="inlineStr">
        <is>
          <t>1-100-20</t>
        </is>
      </c>
      <c r="D16" s="181" t="inlineStr">
        <is>
          <t>Затраты труда рабочих (ср 2)</t>
        </is>
      </c>
      <c r="E16" s="180" t="inlineStr">
        <is>
          <t>чел.-ч</t>
        </is>
      </c>
      <c r="F16" s="180" t="n">
        <v>967.2107999999999</v>
      </c>
      <c r="G16" s="185" t="n">
        <v>7.8</v>
      </c>
      <c r="H16" s="185">
        <f>ROUND(F16*G16,2)</f>
        <v/>
      </c>
    </row>
    <row r="17" ht="15.75" customFormat="1" customHeight="1" s="148">
      <c r="A17" s="180" t="n">
        <v>5</v>
      </c>
      <c r="B17" s="180" t="n"/>
      <c r="C17" s="181" t="inlineStr">
        <is>
          <t>1-100-44</t>
        </is>
      </c>
      <c r="D17" s="181" t="inlineStr">
        <is>
          <t>Затраты труда рабочих (ср 4,4)</t>
        </is>
      </c>
      <c r="E17" s="180" t="inlineStr">
        <is>
          <t>чел.-ч</t>
        </is>
      </c>
      <c r="F17" s="180" t="n">
        <v>640.61886</v>
      </c>
      <c r="G17" s="185" t="n">
        <v>10.21</v>
      </c>
      <c r="H17" s="185">
        <f>ROUND(F17*G17,2)</f>
        <v/>
      </c>
    </row>
    <row r="18" ht="15.75" customFormat="1" customHeight="1" s="148">
      <c r="A18" s="180" t="n">
        <v>6</v>
      </c>
      <c r="B18" s="180" t="n"/>
      <c r="C18" s="181" t="inlineStr">
        <is>
          <t>1-100-46</t>
        </is>
      </c>
      <c r="D18" s="181" t="inlineStr">
        <is>
          <t>Затраты труда рабочих (ср 4,6)</t>
        </is>
      </c>
      <c r="E18" s="180" t="inlineStr">
        <is>
          <t>чел.-ч</t>
        </is>
      </c>
      <c r="F18" s="180" t="n">
        <v>547.64424</v>
      </c>
      <c r="G18" s="185" t="n">
        <v>10.5</v>
      </c>
      <c r="H18" s="185">
        <f>ROUND(F18*G18,2)</f>
        <v/>
      </c>
    </row>
    <row r="19" ht="15.75" customFormat="1" customHeight="1" s="148">
      <c r="A19" s="180" t="n">
        <v>7</v>
      </c>
      <c r="B19" s="180" t="n"/>
      <c r="C19" s="181" t="inlineStr">
        <is>
          <t>1-100-40</t>
        </is>
      </c>
      <c r="D19" s="181" t="inlineStr">
        <is>
          <t>Затраты труда рабочих (ср 4)</t>
        </is>
      </c>
      <c r="E19" s="180" t="inlineStr">
        <is>
          <t>чел.-ч</t>
        </is>
      </c>
      <c r="F19" s="180" t="n">
        <v>404.12655</v>
      </c>
      <c r="G19" s="185" t="n">
        <v>9.619999999999999</v>
      </c>
      <c r="H19" s="185">
        <f>ROUND(F19*G19,2)</f>
        <v/>
      </c>
    </row>
    <row r="20" ht="15.75" customFormat="1" customHeight="1" s="148">
      <c r="A20" s="180" t="n">
        <v>8</v>
      </c>
      <c r="B20" s="180" t="n"/>
      <c r="C20" s="181" t="inlineStr">
        <is>
          <t>1-100-31</t>
        </is>
      </c>
      <c r="D20" s="181" t="inlineStr">
        <is>
          <t>Затраты труда рабочих (ср 3,1)</t>
        </is>
      </c>
      <c r="E20" s="180" t="inlineStr">
        <is>
          <t>чел.-ч</t>
        </is>
      </c>
      <c r="F20" s="180" t="n">
        <v>366.444</v>
      </c>
      <c r="G20" s="185" t="n">
        <v>8.640000000000001</v>
      </c>
      <c r="H20" s="185">
        <f>ROUND(F20*G20,2)</f>
        <v/>
      </c>
    </row>
    <row r="21" ht="15.75" customFormat="1" customHeight="1" s="148">
      <c r="A21" s="180" t="n">
        <v>9</v>
      </c>
      <c r="B21" s="180" t="n"/>
      <c r="C21" s="181" t="inlineStr">
        <is>
          <t>1-100-32</t>
        </is>
      </c>
      <c r="D21" s="181" t="inlineStr">
        <is>
          <t>Затраты труда рабочих (ср 3,2)</t>
        </is>
      </c>
      <c r="E21" s="180" t="inlineStr">
        <is>
          <t>чел.-ч</t>
        </is>
      </c>
      <c r="F21" s="180" t="n">
        <v>227.808</v>
      </c>
      <c r="G21" s="185" t="n">
        <v>8.74</v>
      </c>
      <c r="H21" s="185">
        <f>ROUND(F21*G21,2)</f>
        <v/>
      </c>
    </row>
    <row r="22" ht="15.75" customFormat="1" customHeight="1" s="148">
      <c r="A22" s="180" t="n">
        <v>10</v>
      </c>
      <c r="B22" s="180" t="n"/>
      <c r="C22" s="181" t="inlineStr">
        <is>
          <t>1-100-15</t>
        </is>
      </c>
      <c r="D22" s="181" t="inlineStr">
        <is>
          <t>Затраты труда рабочих (ср 1,5)</t>
        </is>
      </c>
      <c r="E22" s="180" t="inlineStr">
        <is>
          <t>чел.-ч</t>
        </is>
      </c>
      <c r="F22" s="180" t="n">
        <v>217.2675</v>
      </c>
      <c r="G22" s="185" t="n">
        <v>7.5</v>
      </c>
      <c r="H22" s="185">
        <f>ROUND(F22*G22,2)</f>
        <v/>
      </c>
    </row>
    <row r="23" ht="15.75" customFormat="1" customHeight="1" s="148">
      <c r="A23" s="180" t="n">
        <v>11</v>
      </c>
      <c r="B23" s="180" t="n"/>
      <c r="C23" s="181" t="inlineStr">
        <is>
          <t>1-100-41</t>
        </is>
      </c>
      <c r="D23" s="181" t="inlineStr">
        <is>
          <t>Затраты труда рабочих (ср 4,1)</t>
        </is>
      </c>
      <c r="E23" s="180" t="inlineStr">
        <is>
          <t>чел.-ч</t>
        </is>
      </c>
      <c r="F23" s="180" t="n">
        <v>93.3798</v>
      </c>
      <c r="G23" s="185" t="n">
        <v>9.76</v>
      </c>
      <c r="H23" s="185">
        <f>ROUND(F23*G23,2)</f>
        <v/>
      </c>
    </row>
    <row r="24" ht="15.75" customFormat="1" customHeight="1" s="148">
      <c r="A24" s="180" t="n">
        <v>12</v>
      </c>
      <c r="B24" s="180" t="n"/>
      <c r="C24" s="181" t="inlineStr">
        <is>
          <t>1-100-28</t>
        </is>
      </c>
      <c r="D24" s="181" t="inlineStr">
        <is>
          <t>Затраты труда рабочих (ср 2,8)</t>
        </is>
      </c>
      <c r="E24" s="180" t="inlineStr">
        <is>
          <t>чел.-ч</t>
        </is>
      </c>
      <c r="F24" s="180" t="n">
        <v>105.606</v>
      </c>
      <c r="G24" s="185" t="n">
        <v>8.380000000000001</v>
      </c>
      <c r="H24" s="185">
        <f>ROUND(F24*G24,2)</f>
        <v/>
      </c>
    </row>
    <row r="25" ht="15.75" customFormat="1" customHeight="1" s="148">
      <c r="A25" s="180" t="n">
        <v>13</v>
      </c>
      <c r="B25" s="180" t="n"/>
      <c r="C25" s="181" t="inlineStr">
        <is>
          <t>1-100-38</t>
        </is>
      </c>
      <c r="D25" s="181" t="inlineStr">
        <is>
          <t>Затраты труда рабочих (ср 3,8)</t>
        </is>
      </c>
      <c r="E25" s="180" t="inlineStr">
        <is>
          <t>чел.-ч</t>
        </is>
      </c>
      <c r="F25" s="180" t="n">
        <v>52.327</v>
      </c>
      <c r="G25" s="185" t="n">
        <v>9.4</v>
      </c>
      <c r="H25" s="185">
        <f>ROUND(F25*G25,2)</f>
        <v/>
      </c>
    </row>
    <row r="26" ht="15.75" customFormat="1" customHeight="1" s="148">
      <c r="A26" s="180" t="n">
        <v>14</v>
      </c>
      <c r="B26" s="180" t="n"/>
      <c r="C26" s="181" t="inlineStr">
        <is>
          <t>1-100-33</t>
        </is>
      </c>
      <c r="D26" s="181" t="inlineStr">
        <is>
          <t>Затраты труда рабочих (ср 3,3)</t>
        </is>
      </c>
      <c r="E26" s="180" t="inlineStr">
        <is>
          <t>чел.-ч</t>
        </is>
      </c>
      <c r="F26" s="180" t="n">
        <v>36</v>
      </c>
      <c r="G26" s="185" t="n">
        <v>8.859999999999999</v>
      </c>
      <c r="H26" s="185">
        <f>ROUND(F26*G26,2)</f>
        <v/>
      </c>
    </row>
    <row r="27" ht="15.75" customFormat="1" customHeight="1" s="148">
      <c r="A27" s="180" t="n">
        <v>15</v>
      </c>
      <c r="B27" s="180" t="n"/>
      <c r="C27" s="181" t="inlineStr">
        <is>
          <t>1-100-42</t>
        </is>
      </c>
      <c r="D27" s="181" t="inlineStr">
        <is>
          <t>Затраты труда рабочих (ср 4,2)</t>
        </is>
      </c>
      <c r="E27" s="180" t="inlineStr">
        <is>
          <t>чел.-ч</t>
        </is>
      </c>
      <c r="F27" s="180" t="n">
        <v>7.111152</v>
      </c>
      <c r="G27" s="185" t="n">
        <v>9.92</v>
      </c>
      <c r="H27" s="185">
        <f>ROUND(F27*G27,2)</f>
        <v/>
      </c>
    </row>
    <row r="28" ht="15.75" customFormat="1" customHeight="1" s="148">
      <c r="A28" s="180" t="n">
        <v>16</v>
      </c>
      <c r="B28" s="180" t="n"/>
      <c r="C28" s="181" t="inlineStr">
        <is>
          <t>1-100-34</t>
        </is>
      </c>
      <c r="D28" s="181" t="inlineStr">
        <is>
          <t>Затраты труда рабочих (ср 3,4)</t>
        </is>
      </c>
      <c r="E28" s="180" t="inlineStr">
        <is>
          <t>чел.-ч</t>
        </is>
      </c>
      <c r="F28" s="180" t="n">
        <v>5.474</v>
      </c>
      <c r="G28" s="185" t="n">
        <v>8.970000000000001</v>
      </c>
      <c r="H28" s="185">
        <f>ROUND(F28*G28,2)</f>
        <v/>
      </c>
    </row>
    <row r="29" ht="15.75" customFormat="1" customHeight="1" s="148">
      <c r="A29" s="180" t="n">
        <v>17</v>
      </c>
      <c r="B29" s="180" t="n"/>
      <c r="C29" s="181" t="inlineStr">
        <is>
          <t>1-100-22</t>
        </is>
      </c>
      <c r="D29" s="181" t="inlineStr">
        <is>
          <t>Затраты труда рабочих (ср 2,2)</t>
        </is>
      </c>
      <c r="E29" s="180" t="inlineStr">
        <is>
          <t>чел.-ч</t>
        </is>
      </c>
      <c r="F29" s="180" t="n">
        <v>1.36</v>
      </c>
      <c r="G29" s="185" t="n">
        <v>7.94</v>
      </c>
      <c r="H29" s="185">
        <f>ROUND(F29*G29,2)</f>
        <v/>
      </c>
    </row>
    <row r="30" ht="15.75" customFormat="1" customHeight="1" s="15">
      <c r="A30" s="179" t="inlineStr">
        <is>
          <t>Затраты труда машинистов</t>
        </is>
      </c>
      <c r="B30" s="204" t="n"/>
      <c r="C30" s="204" t="n"/>
      <c r="D30" s="204" t="n"/>
      <c r="E30" s="205" t="n"/>
      <c r="F30" s="179" t="n">
        <v>632.86563</v>
      </c>
      <c r="G30" s="20" t="n"/>
      <c r="H30" s="20">
        <f>SUM(H31:H31)</f>
        <v/>
      </c>
    </row>
    <row r="31" ht="15.75" customFormat="1" customHeight="1" s="148">
      <c r="A31" s="180" t="n">
        <v>18</v>
      </c>
      <c r="B31" s="180" t="n"/>
      <c r="C31" s="181" t="n">
        <v>2</v>
      </c>
      <c r="D31" s="181" t="inlineStr">
        <is>
          <t>Затраты труда машинистов</t>
        </is>
      </c>
      <c r="E31" s="180" t="inlineStr">
        <is>
          <t>чел.-ч</t>
        </is>
      </c>
      <c r="F31" s="180" t="n">
        <v>632.86563</v>
      </c>
      <c r="G31" s="185" t="n">
        <v>13.19</v>
      </c>
      <c r="H31" s="185">
        <f>ROUND(F31*G31,2)</f>
        <v/>
      </c>
    </row>
    <row r="32" ht="15.75" customFormat="1" customHeight="1" s="15">
      <c r="A32" s="179" t="inlineStr">
        <is>
          <t>Машины и механизмы</t>
        </is>
      </c>
      <c r="B32" s="204" t="n"/>
      <c r="C32" s="204" t="n"/>
      <c r="D32" s="204" t="n"/>
      <c r="E32" s="205" t="n"/>
      <c r="F32" s="179" t="n"/>
      <c r="G32" s="20" t="n"/>
      <c r="H32" s="20">
        <f>SUM(H33:H66)</f>
        <v/>
      </c>
    </row>
    <row r="33" ht="31.7" customFormat="1" customHeight="1" s="148">
      <c r="A33" s="180" t="n">
        <v>19</v>
      </c>
      <c r="B33" s="180" t="n"/>
      <c r="C33" s="25" t="inlineStr">
        <is>
          <t>91.05.05-015</t>
        </is>
      </c>
      <c r="D33" s="181" t="inlineStr">
        <is>
          <t>Краны на автомобильном ходу, грузоподъемность 16 т</t>
        </is>
      </c>
      <c r="E33" s="180" t="inlineStr">
        <is>
          <t>маш.час</t>
        </is>
      </c>
      <c r="F33" s="180" t="n">
        <v>260.4832</v>
      </c>
      <c r="G33" s="185" t="n">
        <v>115.4</v>
      </c>
      <c r="H33" s="185">
        <f>ROUND(F33*G33,2)</f>
        <v/>
      </c>
    </row>
    <row r="34" ht="31.7" customFormat="1" customHeight="1" s="148">
      <c r="A34" s="180" t="n">
        <v>20</v>
      </c>
      <c r="B34" s="180" t="n"/>
      <c r="C34" s="25" t="inlineStr">
        <is>
          <t>91.05.06-007</t>
        </is>
      </c>
      <c r="D34" s="181" t="inlineStr">
        <is>
          <t>Краны на гусеничном ходу, грузоподъемность 25 т</t>
        </is>
      </c>
      <c r="E34" s="180" t="inlineStr">
        <is>
          <t>маш.час</t>
        </is>
      </c>
      <c r="F34" s="180" t="n">
        <v>120.31914</v>
      </c>
      <c r="G34" s="185" t="n">
        <v>120.04</v>
      </c>
      <c r="H34" s="185">
        <f>ROUND(F34*G34,2)</f>
        <v/>
      </c>
    </row>
    <row r="35" ht="15.75" customFormat="1" customHeight="1" s="148">
      <c r="A35" s="180" t="n">
        <v>21</v>
      </c>
      <c r="B35" s="180" t="n"/>
      <c r="C35" s="25" t="inlineStr">
        <is>
          <t>91.19.08-004</t>
        </is>
      </c>
      <c r="D35" s="181" t="inlineStr">
        <is>
          <t>Насосы, мощность 4 кВт</t>
        </is>
      </c>
      <c r="E35" s="180" t="inlineStr">
        <is>
          <t>маш.час</t>
        </is>
      </c>
      <c r="F35" s="180" t="n">
        <v>2924</v>
      </c>
      <c r="G35" s="185" t="n">
        <v>2.96</v>
      </c>
      <c r="H35" s="185">
        <f>ROUND(F35*G35,2)</f>
        <v/>
      </c>
    </row>
    <row r="36" ht="31.7" customFormat="1" customHeight="1" s="148">
      <c r="A36" s="180" t="n">
        <v>22</v>
      </c>
      <c r="B36" s="180" t="n"/>
      <c r="C36" s="25" t="inlineStr">
        <is>
          <t>91.01.05-085</t>
        </is>
      </c>
      <c r="D36" s="181" t="inlineStr">
        <is>
          <t>Экскаваторы одноковшовые дизельные на гусеничном ходу, емкость ковша 0,5 м3</t>
        </is>
      </c>
      <c r="E36" s="180" t="inlineStr">
        <is>
          <t>маш.час</t>
        </is>
      </c>
      <c r="F36" s="180" t="n">
        <v>84.20140000000001</v>
      </c>
      <c r="G36" s="185" t="n">
        <v>100</v>
      </c>
      <c r="H36" s="185">
        <f>ROUND(F36*G36,2)</f>
        <v/>
      </c>
    </row>
    <row r="37" ht="47.25" customFormat="1" customHeight="1" s="148">
      <c r="A37" s="180" t="n">
        <v>23</v>
      </c>
      <c r="B37" s="180" t="n"/>
      <c r="C37" s="25" t="inlineStr">
        <is>
          <t>91.18.01-007</t>
        </is>
      </c>
      <c r="D37" s="1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7" s="180" t="inlineStr">
        <is>
          <t>маш.час</t>
        </is>
      </c>
      <c r="F37" s="180" t="n">
        <v>40.17734</v>
      </c>
      <c r="G37" s="185" t="n">
        <v>90</v>
      </c>
      <c r="H37" s="185">
        <f>ROUND(F37*G37,2)</f>
        <v/>
      </c>
    </row>
    <row r="38" ht="31.7" customFormat="1" customHeight="1" s="148">
      <c r="A38" s="180" t="n">
        <v>24</v>
      </c>
      <c r="B38" s="180" t="n"/>
      <c r="C38" s="25" t="inlineStr">
        <is>
          <t>91.05.14-023</t>
        </is>
      </c>
      <c r="D38" s="181" t="inlineStr">
        <is>
          <t>Краны на тракторе, мощность 121 кВт (165 л.с.), грузоподъемность 5 т</t>
        </is>
      </c>
      <c r="E38" s="180" t="inlineStr">
        <is>
          <t>маш.час</t>
        </is>
      </c>
      <c r="F38" s="180" t="n">
        <v>16.416</v>
      </c>
      <c r="G38" s="185" t="n">
        <v>182.8</v>
      </c>
      <c r="H38" s="185">
        <f>ROUND(F38*G38,2)</f>
        <v/>
      </c>
    </row>
    <row r="39" ht="15.75" customFormat="1" customHeight="1" s="148">
      <c r="A39" s="180" t="n">
        <v>25</v>
      </c>
      <c r="B39" s="180" t="n"/>
      <c r="C39" s="25" t="inlineStr">
        <is>
          <t>91.14.02-001</t>
        </is>
      </c>
      <c r="D39" s="181" t="inlineStr">
        <is>
          <t>Автомобили бортовые, грузоподъемность до 5 т</t>
        </is>
      </c>
      <c r="E39" s="180" t="inlineStr">
        <is>
          <t>маш.час</t>
        </is>
      </c>
      <c r="F39" s="180" t="n">
        <v>29.2581</v>
      </c>
      <c r="G39" s="185" t="n">
        <v>65.70999999999999</v>
      </c>
      <c r="H39" s="185">
        <f>ROUND(F39*G39,2)</f>
        <v/>
      </c>
    </row>
    <row r="40" ht="15.75" customFormat="1" customHeight="1" s="148">
      <c r="A40" s="180" t="n">
        <v>26</v>
      </c>
      <c r="B40" s="180" t="n"/>
      <c r="C40" s="25" t="inlineStr">
        <is>
          <t>91.08.04-021</t>
        </is>
      </c>
      <c r="D40" s="181" t="inlineStr">
        <is>
          <t>Котлы битумные передвижные 400 л</t>
        </is>
      </c>
      <c r="E40" s="180" t="inlineStr">
        <is>
          <t>маш.час</t>
        </is>
      </c>
      <c r="F40" s="180" t="n">
        <v>56.732</v>
      </c>
      <c r="G40" s="185" t="n">
        <v>30</v>
      </c>
      <c r="H40" s="185">
        <f>ROUND(F40*G40,2)</f>
        <v/>
      </c>
    </row>
    <row r="41" ht="15.75" customFormat="1" customHeight="1" s="148">
      <c r="A41" s="180" t="n">
        <v>27</v>
      </c>
      <c r="B41" s="180" t="n"/>
      <c r="C41" s="25" t="inlineStr">
        <is>
          <t>91.14.02-002</t>
        </is>
      </c>
      <c r="D41" s="181" t="inlineStr">
        <is>
          <t>Автомобили бортовые, грузоподъемность до 8 т</t>
        </is>
      </c>
      <c r="E41" s="180" t="inlineStr">
        <is>
          <t>маш.час</t>
        </is>
      </c>
      <c r="F41" s="180" t="n">
        <v>18.151896</v>
      </c>
      <c r="G41" s="185" t="n">
        <v>85.84</v>
      </c>
      <c r="H41" s="185">
        <f>ROUND(F41*G41,2)</f>
        <v/>
      </c>
    </row>
    <row r="42" ht="15.75" customFormat="1" customHeight="1" s="148">
      <c r="A42" s="180" t="n">
        <v>28</v>
      </c>
      <c r="B42" s="180" t="n"/>
      <c r="C42" s="25" t="inlineStr">
        <is>
          <t>91.01.01-035</t>
        </is>
      </c>
      <c r="D42" s="181" t="inlineStr">
        <is>
          <t>Бульдозеры, мощность 79 кВт (108 л.с.)</t>
        </is>
      </c>
      <c r="E42" s="180" t="inlineStr">
        <is>
          <t>маш.час</t>
        </is>
      </c>
      <c r="F42" s="180" t="n">
        <v>19.59055</v>
      </c>
      <c r="G42" s="185" t="n">
        <v>79.06999999999999</v>
      </c>
      <c r="H42" s="185">
        <f>ROUND(F42*G42,2)</f>
        <v/>
      </c>
    </row>
    <row r="43" ht="47.25" customFormat="1" customHeight="1" s="148">
      <c r="A43" s="180" t="n">
        <v>29</v>
      </c>
      <c r="B43" s="180" t="n"/>
      <c r="C43" s="25" t="inlineStr">
        <is>
          <t>91.17.04-036</t>
        </is>
      </c>
      <c r="D43" s="181" t="inlineStr">
        <is>
          <t>Агрегаты сварочные передвижные с дизельным двигателем, номинальный сварочный ток 250-400 А</t>
        </is>
      </c>
      <c r="E43" s="180" t="inlineStr">
        <is>
          <t>маш.час</t>
        </is>
      </c>
      <c r="F43" s="180" t="n">
        <v>61.4741</v>
      </c>
      <c r="G43" s="185" t="n">
        <v>14</v>
      </c>
      <c r="H43" s="185">
        <f>ROUND(F43*G43,2)</f>
        <v/>
      </c>
    </row>
    <row r="44" ht="15.75" customFormat="1" customHeight="1" s="148">
      <c r="A44" s="180" t="n">
        <v>30</v>
      </c>
      <c r="B44" s="180" t="n"/>
      <c r="C44" s="25" t="inlineStr">
        <is>
          <t>91.06.05-011</t>
        </is>
      </c>
      <c r="D44" s="181" t="inlineStr">
        <is>
          <t>Погрузчики, грузоподъемность 5 т</t>
        </is>
      </c>
      <c r="E44" s="180" t="inlineStr">
        <is>
          <t>маш.час</t>
        </is>
      </c>
      <c r="F44" s="180" t="n">
        <v>9.216480000000001</v>
      </c>
      <c r="G44" s="185" t="n">
        <v>89.98999999999999</v>
      </c>
      <c r="H44" s="185">
        <f>ROUND(F44*G44,2)</f>
        <v/>
      </c>
    </row>
    <row r="45" ht="15.75" customFormat="1" customHeight="1" s="148">
      <c r="A45" s="180" t="n">
        <v>31</v>
      </c>
      <c r="B45" s="180" t="n"/>
      <c r="C45" s="25" t="inlineStr">
        <is>
          <t>91.01.01-034</t>
        </is>
      </c>
      <c r="D45" s="181" t="inlineStr">
        <is>
          <t>Бульдозеры, мощность 59 кВт (80 л.с.)</t>
        </is>
      </c>
      <c r="E45" s="180" t="inlineStr">
        <is>
          <t>маш.час</t>
        </is>
      </c>
      <c r="F45" s="180" t="n">
        <v>11.82328</v>
      </c>
      <c r="G45" s="185" t="n">
        <v>59.47</v>
      </c>
      <c r="H45" s="185">
        <f>ROUND(F45*G45,2)</f>
        <v/>
      </c>
    </row>
    <row r="46" ht="15.75" customFormat="1" customHeight="1" s="148">
      <c r="A46" s="180" t="n">
        <v>32</v>
      </c>
      <c r="B46" s="180" t="n"/>
      <c r="C46" s="25" t="inlineStr">
        <is>
          <t>91.05.02-005</t>
        </is>
      </c>
      <c r="D46" s="181" t="inlineStr">
        <is>
          <t>Краны козловые, грузоподъемность 32 т</t>
        </is>
      </c>
      <c r="E46" s="180" t="inlineStr">
        <is>
          <t>маш.час</t>
        </is>
      </c>
      <c r="F46" s="180" t="n">
        <v>5.84268</v>
      </c>
      <c r="G46" s="185" t="n">
        <v>120.24</v>
      </c>
      <c r="H46" s="185">
        <f>ROUND(F46*G46,2)</f>
        <v/>
      </c>
    </row>
    <row r="47" ht="31.7" customFormat="1" customHeight="1" s="148">
      <c r="A47" s="180" t="n">
        <v>33</v>
      </c>
      <c r="B47" s="180" t="n"/>
      <c r="C47" s="25" t="inlineStr">
        <is>
          <t>91.13.03-111</t>
        </is>
      </c>
      <c r="D47" s="181" t="inlineStr">
        <is>
          <t>Спецавтомобили-вездеходы, грузоподъемность до 8 т</t>
        </is>
      </c>
      <c r="E47" s="180" t="inlineStr">
        <is>
          <t>маш.час</t>
        </is>
      </c>
      <c r="F47" s="180" t="n">
        <v>3.312</v>
      </c>
      <c r="G47" s="185" t="n">
        <v>189.95</v>
      </c>
      <c r="H47" s="185">
        <f>ROUND(F47*G47,2)</f>
        <v/>
      </c>
    </row>
    <row r="48" ht="31.7" customFormat="1" customHeight="1" s="148">
      <c r="A48" s="180" t="n">
        <v>34</v>
      </c>
      <c r="B48" s="180" t="n"/>
      <c r="C48" s="25" t="inlineStr">
        <is>
          <t>91.21.22-638</t>
        </is>
      </c>
      <c r="D48" s="181" t="inlineStr">
        <is>
          <t>Пылесосы промышленные, мощность до 2000 Вт</t>
        </is>
      </c>
      <c r="E48" s="180" t="inlineStr">
        <is>
          <t>маш.час</t>
        </is>
      </c>
      <c r="F48" s="180" t="n">
        <v>172.56</v>
      </c>
      <c r="G48" s="185" t="n">
        <v>3.29</v>
      </c>
      <c r="H48" s="185">
        <f>ROUND(F48*G48,2)</f>
        <v/>
      </c>
    </row>
    <row r="49" ht="31.7" customFormat="1" customHeight="1" s="148">
      <c r="A49" s="180" t="n">
        <v>35</v>
      </c>
      <c r="B49" s="180" t="n"/>
      <c r="C49" s="25" t="inlineStr">
        <is>
          <t>91.17.04-171</t>
        </is>
      </c>
      <c r="D49" s="181" t="inlineStr">
        <is>
          <t>Преобразователи сварочные номинальным сварочным током 315-500 А</t>
        </is>
      </c>
      <c r="E49" s="180" t="inlineStr">
        <is>
          <t>маш.час</t>
        </is>
      </c>
      <c r="F49" s="180" t="n">
        <v>37.026</v>
      </c>
      <c r="G49" s="185" t="n">
        <v>12.31</v>
      </c>
      <c r="H49" s="185">
        <f>ROUND(F49*G49,2)</f>
        <v/>
      </c>
    </row>
    <row r="50" ht="31.7" customFormat="1" customHeight="1" s="148">
      <c r="A50" s="180" t="n">
        <v>36</v>
      </c>
      <c r="B50" s="180" t="n"/>
      <c r="C50" s="25" t="inlineStr">
        <is>
          <t>91.06.06-048</t>
        </is>
      </c>
      <c r="D50" s="181" t="inlineStr">
        <is>
          <t>Подъемники одномачтовые, грузоподъемность до 500 кг, высота подъема 45 м</t>
        </is>
      </c>
      <c r="E50" s="180" t="inlineStr">
        <is>
          <t>маш.час</t>
        </is>
      </c>
      <c r="F50" s="180" t="n">
        <v>10.9512</v>
      </c>
      <c r="G50" s="185" t="n">
        <v>31.26</v>
      </c>
      <c r="H50" s="185">
        <f>ROUND(F50*G50,2)</f>
        <v/>
      </c>
    </row>
    <row r="51" ht="31.7" customFormat="1" customHeight="1" s="148">
      <c r="A51" s="180" t="n">
        <v>37</v>
      </c>
      <c r="B51" s="180" t="n"/>
      <c r="C51" s="25" t="inlineStr">
        <is>
          <t>91.05.08-007</t>
        </is>
      </c>
      <c r="D51" s="181" t="inlineStr">
        <is>
          <t>Краны на пневмоколесном ходу, грузоподъемность 25 т</t>
        </is>
      </c>
      <c r="E51" s="180" t="inlineStr">
        <is>
          <t>маш.час</t>
        </is>
      </c>
      <c r="F51" s="180" t="n">
        <v>1.958904</v>
      </c>
      <c r="G51" s="185" t="n">
        <v>102.51</v>
      </c>
      <c r="H51" s="185">
        <f>ROUND(F51*G51,2)</f>
        <v/>
      </c>
    </row>
    <row r="52" ht="47.25" customFormat="1" customHeight="1" s="148">
      <c r="A52" s="180" t="n">
        <v>38</v>
      </c>
      <c r="B52" s="180" t="n"/>
      <c r="C52" s="25" t="inlineStr">
        <is>
          <t>91.18.01-508</t>
        </is>
      </c>
      <c r="D52" s="181" t="inlineStr">
        <is>
          <t>Компрессоры передвижные с электродвигателем, производительность до 5,0 м3/мин</t>
        </is>
      </c>
      <c r="E52" s="180" t="inlineStr">
        <is>
          <t>маш.час</t>
        </is>
      </c>
      <c r="F52" s="180" t="n">
        <v>1.8676</v>
      </c>
      <c r="G52" s="185" t="n">
        <v>48.81</v>
      </c>
      <c r="H52" s="185">
        <f>ROUND(F52*G52,2)</f>
        <v/>
      </c>
    </row>
    <row r="53" ht="15.75" customFormat="1" customHeight="1" s="148">
      <c r="A53" s="180" t="n">
        <v>39</v>
      </c>
      <c r="B53" s="180" t="n"/>
      <c r="C53" s="25" t="inlineStr">
        <is>
          <t>91.05.01-017</t>
        </is>
      </c>
      <c r="D53" s="181" t="inlineStr">
        <is>
          <t>Краны башенные, грузоподъемность 8 т</t>
        </is>
      </c>
      <c r="E53" s="180" t="inlineStr">
        <is>
          <t>маш.час</t>
        </is>
      </c>
      <c r="F53" s="180" t="n">
        <v>0.828</v>
      </c>
      <c r="G53" s="185" t="n">
        <v>86.40000000000001</v>
      </c>
      <c r="H53" s="185">
        <f>ROUND(F53*G53,2)</f>
        <v/>
      </c>
    </row>
    <row r="54" ht="47.25" customFormat="1" customHeight="1" s="148">
      <c r="A54" s="180" t="n">
        <v>40</v>
      </c>
      <c r="B54" s="180" t="n"/>
      <c r="C54" s="25" t="inlineStr">
        <is>
          <t>91.21.01-012</t>
        </is>
      </c>
      <c r="D54" s="181" t="inlineStr">
        <is>
          <t>Агрегаты окрасочные высокого давления для окраски поверхностей конструкций, мощность 1 кВт</t>
        </is>
      </c>
      <c r="E54" s="180" t="inlineStr">
        <is>
          <t>маш.час</t>
        </is>
      </c>
      <c r="F54" s="180" t="n">
        <v>9.89184</v>
      </c>
      <c r="G54" s="185" t="n">
        <v>6.82</v>
      </c>
      <c r="H54" s="185">
        <f>ROUND(F54*G54,2)</f>
        <v/>
      </c>
    </row>
    <row r="55" ht="31.7" customFormat="1" customHeight="1" s="148">
      <c r="A55" s="180" t="n">
        <v>41</v>
      </c>
      <c r="B55" s="180" t="n"/>
      <c r="C55" s="25" t="inlineStr">
        <is>
          <t>91.08.09-023</t>
        </is>
      </c>
      <c r="D55" s="181" t="inlineStr">
        <is>
          <t>Трамбовки пневматические при работе от передвижных компрессорных станций</t>
        </is>
      </c>
      <c r="E55" s="180" t="inlineStr">
        <is>
          <t>маш.час</t>
        </is>
      </c>
      <c r="F55" s="180" t="n">
        <v>103.089</v>
      </c>
      <c r="G55" s="185" t="n">
        <v>0.55</v>
      </c>
      <c r="H55" s="185">
        <f>ROUND(F55*G55,2)</f>
        <v/>
      </c>
    </row>
    <row r="56" ht="47.25" customFormat="1" customHeight="1" s="148">
      <c r="A56" s="180" t="n">
        <v>42</v>
      </c>
      <c r="B56" s="180" t="n"/>
      <c r="C56" s="25" t="inlineStr">
        <is>
          <t>91.21.10-003</t>
        </is>
      </c>
      <c r="D56" s="181" t="inlineStr">
        <is>
          <t>Молотки при работе от передвижных компрессорных станций отбойные пневматические</t>
        </is>
      </c>
      <c r="E56" s="180" t="inlineStr">
        <is>
          <t>маш.час</t>
        </is>
      </c>
      <c r="F56" s="180" t="n">
        <v>32.5329</v>
      </c>
      <c r="G56" s="185" t="n">
        <v>1.53</v>
      </c>
      <c r="H56" s="185">
        <f>ROUND(F56*G56,2)</f>
        <v/>
      </c>
    </row>
    <row r="57" ht="15.75" customFormat="1" customHeight="1" s="148">
      <c r="A57" s="180" t="n">
        <v>43</v>
      </c>
      <c r="B57" s="180" t="n"/>
      <c r="C57" s="25" t="inlineStr">
        <is>
          <t>91.17.04-042</t>
        </is>
      </c>
      <c r="D57" s="181" t="inlineStr">
        <is>
          <t>Аппараты для газовой сварки и резки</t>
        </is>
      </c>
      <c r="E57" s="180" t="inlineStr">
        <is>
          <t>маш.час</t>
        </is>
      </c>
      <c r="F57" s="180" t="n">
        <v>32.55516</v>
      </c>
      <c r="G57" s="185" t="n">
        <v>1.2</v>
      </c>
      <c r="H57" s="185">
        <f>ROUND(F57*G57,2)</f>
        <v/>
      </c>
    </row>
    <row r="58" ht="31.7" customFormat="1" customHeight="1" s="148">
      <c r="A58" s="180" t="n">
        <v>44</v>
      </c>
      <c r="B58" s="180" t="n"/>
      <c r="C58" s="25" t="inlineStr">
        <is>
          <t>91.08.09-024</t>
        </is>
      </c>
      <c r="D58" s="181" t="inlineStr">
        <is>
          <t>Трамбовки пневматические при работе от стационарного компрессора</t>
        </is>
      </c>
      <c r="E58" s="180" t="inlineStr">
        <is>
          <t>маш.час</t>
        </is>
      </c>
      <c r="F58" s="180" t="n">
        <v>6.54</v>
      </c>
      <c r="G58" s="185" t="n">
        <v>4.91</v>
      </c>
      <c r="H58" s="185">
        <f>ROUND(F58*G58,2)</f>
        <v/>
      </c>
    </row>
    <row r="59" ht="47.25" customFormat="1" customHeight="1" s="148">
      <c r="A59" s="180" t="n">
        <v>45</v>
      </c>
      <c r="B59" s="180" t="n"/>
      <c r="C59" s="25" t="inlineStr">
        <is>
          <t>91.06.05-057</t>
        </is>
      </c>
      <c r="D59" s="181" t="inlineStr">
        <is>
          <t>Погрузчики одноковшовые универсальные фронтальные пневмоколесные, грузоподъемность 3 т</t>
        </is>
      </c>
      <c r="E59" s="180" t="inlineStr">
        <is>
          <t>маш.час</t>
        </is>
      </c>
      <c r="F59" s="180" t="n">
        <v>0.112</v>
      </c>
      <c r="G59" s="185" t="n">
        <v>90.40000000000001</v>
      </c>
      <c r="H59" s="185">
        <f>ROUND(F59*G59,2)</f>
        <v/>
      </c>
    </row>
    <row r="60" ht="31.7" customFormat="1" customHeight="1" s="148">
      <c r="A60" s="180" t="n">
        <v>46</v>
      </c>
      <c r="B60" s="180" t="n"/>
      <c r="C60" s="25" t="inlineStr">
        <is>
          <t>91.14.03-001</t>
        </is>
      </c>
      <c r="D60" s="181" t="inlineStr">
        <is>
          <t>Автомобили-самосвалы, грузоподъемность до 7 т</t>
        </is>
      </c>
      <c r="E60" s="180" t="inlineStr">
        <is>
          <t>маш.час</t>
        </is>
      </c>
      <c r="F60" s="180" t="n">
        <v>0.1004</v>
      </c>
      <c r="G60" s="185" t="n">
        <v>89.54000000000001</v>
      </c>
      <c r="H60" s="185">
        <f>ROUND(F60*G60,2)</f>
        <v/>
      </c>
    </row>
    <row r="61" ht="31.7" customFormat="1" customHeight="1" s="148">
      <c r="A61" s="180" t="n">
        <v>47</v>
      </c>
      <c r="B61" s="180" t="n"/>
      <c r="C61" s="25" t="inlineStr">
        <is>
          <t>91.06.03-060</t>
        </is>
      </c>
      <c r="D61" s="181" t="inlineStr">
        <is>
          <t>Лебедки электрические тяговым усилием до 5,79 кН (0,59 т)</t>
        </is>
      </c>
      <c r="E61" s="180" t="inlineStr">
        <is>
          <t>маш.час</t>
        </is>
      </c>
      <c r="F61" s="180" t="n">
        <v>5.22696</v>
      </c>
      <c r="G61" s="185" t="n">
        <v>1.7</v>
      </c>
      <c r="H61" s="185">
        <f>ROUND(F61*G61,2)</f>
        <v/>
      </c>
    </row>
    <row r="62" ht="15.75" customFormat="1" customHeight="1" s="148">
      <c r="A62" s="180" t="n">
        <v>48</v>
      </c>
      <c r="B62" s="180" t="n"/>
      <c r="C62" s="25" t="inlineStr">
        <is>
          <t>91.06.09-061</t>
        </is>
      </c>
      <c r="D62" s="181" t="inlineStr">
        <is>
          <t>Подмости самоходные, высота подъема 12 м</t>
        </is>
      </c>
      <c r="E62" s="180" t="inlineStr">
        <is>
          <t>маш.час</t>
        </is>
      </c>
      <c r="F62" s="180" t="n">
        <v>0.12306</v>
      </c>
      <c r="G62" s="185" t="n">
        <v>35.3</v>
      </c>
      <c r="H62" s="185">
        <f>ROUND(F62*G62,2)</f>
        <v/>
      </c>
    </row>
    <row r="63" ht="31.7" customFormat="1" customHeight="1" s="148">
      <c r="A63" s="180" t="n">
        <v>49</v>
      </c>
      <c r="B63" s="180" t="n"/>
      <c r="C63" s="25" t="inlineStr">
        <is>
          <t>91.06.01-003</t>
        </is>
      </c>
      <c r="D63" s="181" t="inlineStr">
        <is>
          <t>Домкраты гидравлические, грузоподъемность 63-100 т</t>
        </is>
      </c>
      <c r="E63" s="180" t="inlineStr">
        <is>
          <t>маш.час</t>
        </is>
      </c>
      <c r="F63" s="180" t="n">
        <v>0.81504</v>
      </c>
      <c r="G63" s="185" t="n">
        <v>0.9</v>
      </c>
      <c r="H63" s="185">
        <f>ROUND(F63*G63,2)</f>
        <v/>
      </c>
    </row>
    <row r="64" ht="15.75" customFormat="1" customHeight="1" s="148">
      <c r="A64" s="180" t="n">
        <v>50</v>
      </c>
      <c r="B64" s="180" t="n"/>
      <c r="C64" s="25" t="inlineStr">
        <is>
          <t>91.07.04-002</t>
        </is>
      </c>
      <c r="D64" s="181" t="inlineStr">
        <is>
          <t>Вибраторы поверхностные</t>
        </is>
      </c>
      <c r="E64" s="180" t="inlineStr">
        <is>
          <t>маш.час</t>
        </is>
      </c>
      <c r="F64" s="180" t="n">
        <v>0.27278</v>
      </c>
      <c r="G64" s="185" t="n">
        <v>0.5</v>
      </c>
      <c r="H64" s="185">
        <f>ROUND(F64*G64,2)</f>
        <v/>
      </c>
    </row>
    <row r="65" ht="31.7" customFormat="1" customHeight="1" s="148">
      <c r="A65" s="180" t="n">
        <v>51</v>
      </c>
      <c r="B65" s="180" t="n"/>
      <c r="C65" s="25" t="inlineStr">
        <is>
          <t>91.03.19-092</t>
        </is>
      </c>
      <c r="D65" s="181" t="inlineStr">
        <is>
          <t>Сболчиватели пневматические (без сжатого воздуха)</t>
        </is>
      </c>
      <c r="E65" s="180" t="inlineStr">
        <is>
          <t>маш.час</t>
        </is>
      </c>
      <c r="F65" s="180" t="n">
        <v>0.04746</v>
      </c>
      <c r="G65" s="185" t="n">
        <v>2.19</v>
      </c>
      <c r="H65" s="185">
        <f>ROUND(F65*G65,2)</f>
        <v/>
      </c>
    </row>
    <row r="66" ht="31.7" customFormat="1" customHeight="1" s="148">
      <c r="A66" s="180" t="n">
        <v>52</v>
      </c>
      <c r="B66" s="180" t="n"/>
      <c r="C66" s="25" t="inlineStr">
        <is>
          <t>91.21.03-502</t>
        </is>
      </c>
      <c r="D66" s="181" t="inlineStr">
        <is>
          <t>Аппараты пескоструйные, объем до 19 л, расход воздуха 270-700 л/мин</t>
        </is>
      </c>
      <c r="E66" s="180" t="inlineStr">
        <is>
          <t>маш.час</t>
        </is>
      </c>
      <c r="F66" s="180" t="n">
        <v>0.00462</v>
      </c>
      <c r="G66" s="185" t="n">
        <v>0.14</v>
      </c>
      <c r="H66" s="185">
        <f>ROUND(F66*G66,2)</f>
        <v/>
      </c>
    </row>
    <row r="67" ht="15.75" customFormat="1" customHeight="1" s="15">
      <c r="A67" s="179" t="inlineStr">
        <is>
          <t>Материалы</t>
        </is>
      </c>
      <c r="B67" s="204" t="n"/>
      <c r="C67" s="204" t="n"/>
      <c r="D67" s="204" t="n"/>
      <c r="E67" s="205" t="n"/>
      <c r="F67" s="179" t="n"/>
      <c r="G67" s="20" t="n"/>
      <c r="H67" s="20">
        <f>SUM(H68:H117)</f>
        <v/>
      </c>
    </row>
    <row r="68" ht="47.25" customFormat="1" customHeight="1" s="148">
      <c r="A68" s="180" t="n">
        <v>53</v>
      </c>
      <c r="B68" s="180" t="n"/>
      <c r="C68" s="25" t="inlineStr">
        <is>
          <t>12.2.02.01-0002</t>
        </is>
      </c>
      <c r="D68" s="181" t="inlineStr">
        <is>
          <t>Панель звукоизолирующая стеновая "ЗИПС-Модуль", Rw=59-61 дБ, размером 1500х500х70 мм</t>
        </is>
      </c>
      <c r="E68" s="180" t="inlineStr">
        <is>
          <t>м2</t>
        </is>
      </c>
      <c r="F68" s="180" t="n">
        <v>1316.9668667</v>
      </c>
      <c r="G68" s="185" t="n">
        <v>304.02</v>
      </c>
      <c r="H68" s="185">
        <f>ROUND(F68*G68,2)</f>
        <v/>
      </c>
    </row>
    <row r="69" ht="47.25" customFormat="1" customHeight="1" s="148">
      <c r="A69" s="180" t="n">
        <v>54</v>
      </c>
      <c r="B69" s="180" t="n"/>
      <c r="C69" s="25" t="inlineStr">
        <is>
          <t>05.1.02.07-0082</t>
        </is>
      </c>
      <c r="D69" s="181" t="inlineStr">
        <is>
          <t>Стойка центрифугированная для опор линий электропередач, бетон B25, расход арматуры 120 кг/м3</t>
        </is>
      </c>
      <c r="E69" s="180" t="inlineStr">
        <is>
          <t>м3</t>
        </is>
      </c>
      <c r="F69" s="180" t="n">
        <v>62.721</v>
      </c>
      <c r="G69" s="185" t="n">
        <v>5494.54</v>
      </c>
      <c r="H69" s="185">
        <f>ROUND(F69*G69,2)</f>
        <v/>
      </c>
    </row>
    <row r="70" ht="15.75" customFormat="1" customHeight="1" s="148">
      <c r="A70" s="180" t="n">
        <v>55</v>
      </c>
      <c r="B70" s="180" t="n"/>
      <c r="C70" s="25" t="inlineStr">
        <is>
          <t>22.2.02.07-0003</t>
        </is>
      </c>
      <c r="D70" s="181" t="inlineStr">
        <is>
          <t>Конструкции стальные порталов ОРУ</t>
        </is>
      </c>
      <c r="E70" s="180" t="inlineStr">
        <is>
          <t>т</t>
        </is>
      </c>
      <c r="F70" s="180" t="n">
        <v>20.098</v>
      </c>
      <c r="G70" s="185" t="n">
        <v>12500</v>
      </c>
      <c r="H70" s="185">
        <f>ROUND(F70*G70,2)</f>
        <v/>
      </c>
    </row>
    <row r="71" ht="31.7" customFormat="1" customHeight="1" s="148">
      <c r="A71" s="180" t="n">
        <v>56</v>
      </c>
      <c r="B71" s="180" t="n"/>
      <c r="C71" s="25" t="inlineStr">
        <is>
          <t>14.2.02.12-0711</t>
        </is>
      </c>
      <c r="D71" s="181" t="inlineStr">
        <is>
          <t>Паста огнезащитная вспучивающаяся водоэмульсионная ВПМ-2</t>
        </is>
      </c>
      <c r="E71" s="180" t="inlineStr">
        <is>
          <t>т</t>
        </is>
      </c>
      <c r="F71" s="180" t="n">
        <v>5.2992</v>
      </c>
      <c r="G71" s="185" t="n">
        <v>38397</v>
      </c>
      <c r="H71" s="185">
        <f>ROUND(F71*G71,2)</f>
        <v/>
      </c>
    </row>
    <row r="72" ht="31.7" customFormat="1" customHeight="1" s="148">
      <c r="A72" s="180" t="n">
        <v>57</v>
      </c>
      <c r="B72" s="180" t="n"/>
      <c r="C72" s="25" t="inlineStr">
        <is>
          <t>02.3.01.02-0031</t>
        </is>
      </c>
      <c r="D72" s="181" t="inlineStr">
        <is>
          <t>Песок природный обогащенный для строительных работ мелкий</t>
        </is>
      </c>
      <c r="E72" s="180" t="inlineStr">
        <is>
          <t>м3</t>
        </is>
      </c>
      <c r="F72" s="180" t="n">
        <v>1350.03</v>
      </c>
      <c r="G72" s="185" t="n">
        <v>70.59999999999999</v>
      </c>
      <c r="H72" s="185">
        <f>ROUND(F72*G72,2)</f>
        <v/>
      </c>
    </row>
    <row r="73" ht="15.75" customFormat="1" customHeight="1" s="148">
      <c r="A73" s="180" t="n">
        <v>58</v>
      </c>
      <c r="B73" s="180" t="n"/>
      <c r="C73" s="25" t="inlineStr">
        <is>
          <t>12.2.03.11-0021</t>
        </is>
      </c>
      <c r="D73" s="181" t="inlineStr">
        <is>
          <t>Стоимость стеклоткани 4слоя;к расхода 1,05</t>
        </is>
      </c>
      <c r="E73" s="180" t="inlineStr">
        <is>
          <t>1000 м2</t>
        </is>
      </c>
      <c r="F73" s="180" t="n">
        <v>3.058</v>
      </c>
      <c r="G73" s="185" t="n">
        <v>23980</v>
      </c>
      <c r="H73" s="185">
        <f>ROUND(F73*G73,2)</f>
        <v/>
      </c>
    </row>
    <row r="74" ht="78.75" customFormat="1" customHeight="1" s="148">
      <c r="A74" s="180" t="n">
        <v>59</v>
      </c>
      <c r="B74" s="180" t="n"/>
      <c r="C74" s="25" t="inlineStr">
        <is>
          <t>04.3.01.02-0003</t>
        </is>
      </c>
      <c r="D74" s="181" t="inlineStr">
        <is>
          <t>Состав пастовый минеральный или полиминеральный декоративный для отделки фасадов, внутренних стен и потолков на латексной основе с наполнителем из: микроминерала (размер зерна 0,7 мм)</t>
        </is>
      </c>
      <c r="E74" s="180" t="inlineStr">
        <is>
          <t>т</t>
        </is>
      </c>
      <c r="F74" s="180" t="n">
        <v>4.212</v>
      </c>
      <c r="G74" s="185" t="n">
        <v>13166.74</v>
      </c>
      <c r="H74" s="185">
        <f>ROUND(F74*G74,2)</f>
        <v/>
      </c>
    </row>
    <row r="75" ht="47.25" customFormat="1" customHeight="1" s="148">
      <c r="A75" s="180" t="n">
        <v>60</v>
      </c>
      <c r="B75" s="180" t="n"/>
      <c r="C75" s="25" t="inlineStr">
        <is>
          <t>08.1.02.17-0089</t>
        </is>
      </c>
      <c r="D75" s="181" t="inlineStr">
        <is>
          <t>Сетка сварная из арматурной проволоки без покрытия, диаметр проволоки 4,0 мм, размер ячейки 50х50 мм</t>
        </is>
      </c>
      <c r="E75" s="180" t="inlineStr">
        <is>
          <t>м2</t>
        </is>
      </c>
      <c r="F75" s="180" t="n">
        <v>884.52</v>
      </c>
      <c r="G75" s="185" t="n">
        <v>33.74</v>
      </c>
      <c r="H75" s="185">
        <f>ROUND(F75*G75,2)</f>
        <v/>
      </c>
    </row>
    <row r="76" ht="15.75" customFormat="1" customHeight="1" s="148">
      <c r="A76" s="180" t="n">
        <v>61</v>
      </c>
      <c r="B76" s="180" t="n"/>
      <c r="C76" s="25" t="inlineStr">
        <is>
          <t>08.1.02.17-0052</t>
        </is>
      </c>
      <c r="D76" s="181" t="inlineStr">
        <is>
          <t>Стоимость сетки</t>
        </is>
      </c>
      <c r="E76" s="180" t="inlineStr">
        <is>
          <t>м2</t>
        </is>
      </c>
      <c r="F76" s="180" t="n">
        <v>1457</v>
      </c>
      <c r="G76" s="185" t="n">
        <v>18.87</v>
      </c>
      <c r="H76" s="185">
        <f>ROUND(F76*G76,2)</f>
        <v/>
      </c>
    </row>
    <row r="77" ht="15.75" customFormat="1" customHeight="1" s="148">
      <c r="A77" s="180" t="n">
        <v>62</v>
      </c>
      <c r="B77" s="180" t="n"/>
      <c r="C77" s="25" t="inlineStr">
        <is>
          <t>07.2.05.04-0001</t>
        </is>
      </c>
      <c r="D77" s="181" t="inlineStr">
        <is>
          <t>Ветровые ригели Р-18</t>
        </is>
      </c>
      <c r="E77" s="180" t="inlineStr">
        <is>
          <t>шт</t>
        </is>
      </c>
      <c r="F77" s="180" t="n">
        <v>145.4</v>
      </c>
      <c r="G77" s="185" t="n">
        <v>187.83</v>
      </c>
      <c r="H77" s="185">
        <f>ROUND(F77*G77,2)</f>
        <v/>
      </c>
    </row>
    <row r="78" ht="31.7" customFormat="1" customHeight="1" s="148">
      <c r="A78" s="180" t="n">
        <v>63</v>
      </c>
      <c r="B78" s="180" t="n"/>
      <c r="C78" s="25" t="inlineStr">
        <is>
          <t>08.1.02.17-0161</t>
        </is>
      </c>
      <c r="D78" s="181" t="inlineStr">
        <is>
          <t>Сетка тканая с квадратными ячейками № 05, без покрытия</t>
        </is>
      </c>
      <c r="E78" s="180" t="inlineStr">
        <is>
          <t>м2</t>
        </is>
      </c>
      <c r="F78" s="180" t="n">
        <v>909.792</v>
      </c>
      <c r="G78" s="185" t="n">
        <v>28.25</v>
      </c>
      <c r="H78" s="185">
        <f>ROUND(F78*G78,2)</f>
        <v/>
      </c>
    </row>
    <row r="79" ht="47.25" customFormat="1" customHeight="1" s="148">
      <c r="A79" s="180" t="n">
        <v>64</v>
      </c>
      <c r="B79" s="180" t="n"/>
      <c r="C79" s="25" t="inlineStr">
        <is>
          <t>12.2.05.05-0009</t>
        </is>
      </c>
      <c r="D79" s="181" t="inlineStr">
        <is>
          <t>Плиты из минеральной ваты на синтетическом связующем, теплоизоляционные, ПЖ-120, толщина 60 мм</t>
        </is>
      </c>
      <c r="E79" s="180" t="inlineStr">
        <is>
          <t>м3</t>
        </is>
      </c>
      <c r="F79" s="180" t="n">
        <v>46.6</v>
      </c>
      <c r="G79" s="185" t="n">
        <v>359.64</v>
      </c>
      <c r="H79" s="185">
        <f>ROUND(F79*G79,2)</f>
        <v/>
      </c>
    </row>
    <row r="80" ht="31.7" customFormat="1" customHeight="1" s="148">
      <c r="A80" s="180" t="n">
        <v>65</v>
      </c>
      <c r="B80" s="180" t="n"/>
      <c r="C80" s="25" t="inlineStr">
        <is>
          <t>04.3.01.07-0012</t>
        </is>
      </c>
      <c r="D80" s="181" t="inlineStr">
        <is>
          <t>Раствор готовый отделочный тяжелый, известковый, состав 1:2,5</t>
        </is>
      </c>
      <c r="E80" s="180" t="inlineStr">
        <is>
          <t>м3</t>
        </is>
      </c>
      <c r="F80" s="180" t="n">
        <v>26.1144</v>
      </c>
      <c r="G80" s="185" t="n">
        <v>510.4</v>
      </c>
      <c r="H80" s="185">
        <f>ROUND(F80*G80,2)</f>
        <v/>
      </c>
    </row>
    <row r="81" ht="15.75" customFormat="1" customHeight="1" s="148">
      <c r="A81" s="180" t="n">
        <v>66</v>
      </c>
      <c r="B81" s="180" t="n"/>
      <c r="C81" s="25" t="inlineStr">
        <is>
          <t>05.1.03.13-0183</t>
        </is>
      </c>
      <c r="D81" s="181" t="inlineStr">
        <is>
          <t>Ригели сборные железобетонные ВЛ и ОРУ</t>
        </is>
      </c>
      <c r="E81" s="180" t="inlineStr">
        <is>
          <t>м3</t>
        </is>
      </c>
      <c r="F81" s="180" t="n">
        <v>3.636</v>
      </c>
      <c r="G81" s="185" t="n">
        <v>1733.42</v>
      </c>
      <c r="H81" s="185">
        <f>ROUND(F81*G81,2)</f>
        <v/>
      </c>
    </row>
    <row r="82" ht="15.75" customFormat="1" customHeight="1" s="148">
      <c r="A82" s="180" t="n">
        <v>67</v>
      </c>
      <c r="B82" s="180" t="n"/>
      <c r="C82" s="25" t="inlineStr">
        <is>
          <t>14.4.01.03-0101</t>
        </is>
      </c>
      <c r="D82" s="181" t="inlineStr">
        <is>
          <t>Состав грунтовочный на латексной основе</t>
        </is>
      </c>
      <c r="E82" s="180" t="inlineStr">
        <is>
          <t>т</t>
        </is>
      </c>
      <c r="F82" s="180" t="n">
        <v>0.151632</v>
      </c>
      <c r="G82" s="185" t="n">
        <v>40052</v>
      </c>
      <c r="H82" s="185">
        <f>ROUND(F82*G82,2)</f>
        <v/>
      </c>
    </row>
    <row r="83" ht="31.7" customFormat="1" customHeight="1" s="148">
      <c r="A83" s="180" t="n">
        <v>68</v>
      </c>
      <c r="B83" s="180" t="n"/>
      <c r="C83" s="25" t="inlineStr">
        <is>
          <t>08.1.02.11-0015</t>
        </is>
      </c>
      <c r="D83" s="181" t="inlineStr">
        <is>
          <t>Стоимость деталей крепления ригелей,оцинкованные</t>
        </is>
      </c>
      <c r="E83" s="180" t="inlineStr">
        <is>
          <t>т</t>
        </is>
      </c>
      <c r="F83" s="180" t="n">
        <v>0.47</v>
      </c>
      <c r="G83" s="185" t="n">
        <v>10869.98</v>
      </c>
      <c r="H83" s="185">
        <f>ROUND(F83*G83,2)</f>
        <v/>
      </c>
    </row>
    <row r="84" ht="15.75" customFormat="1" customHeight="1" s="148">
      <c r="A84" s="180" t="n">
        <v>69</v>
      </c>
      <c r="B84" s="180" t="n"/>
      <c r="C84" s="25" t="inlineStr">
        <is>
          <t>01.2.03.02-0001</t>
        </is>
      </c>
      <c r="D84" s="181" t="inlineStr">
        <is>
          <t>Грунтовка битумная</t>
        </is>
      </c>
      <c r="E84" s="180" t="inlineStr">
        <is>
          <t>т</t>
        </is>
      </c>
      <c r="F84" s="180" t="n">
        <v>0.15</v>
      </c>
      <c r="G84" s="185" t="n">
        <v>31060</v>
      </c>
      <c r="H84" s="185">
        <f>ROUND(F84*G84,2)</f>
        <v/>
      </c>
    </row>
    <row r="85" ht="31.7" customFormat="1" customHeight="1" s="148">
      <c r="A85" s="180" t="n">
        <v>70</v>
      </c>
      <c r="B85" s="180" t="n"/>
      <c r="C85" s="25" t="inlineStr">
        <is>
          <t>04.1.02.05-0003</t>
        </is>
      </c>
      <c r="D85" s="181" t="inlineStr">
        <is>
          <t>Смеси бетонные тяжелого бетона (БСТ), класс В7,5 (М100)</t>
        </is>
      </c>
      <c r="E85" s="180" t="inlineStr">
        <is>
          <t>м3</t>
        </is>
      </c>
      <c r="F85" s="180" t="n">
        <v>4.692</v>
      </c>
      <c r="G85" s="185" t="n">
        <v>560</v>
      </c>
      <c r="H85" s="185">
        <f>ROUND(F85*G85,2)</f>
        <v/>
      </c>
    </row>
    <row r="86" ht="47.25" customFormat="1" customHeight="1" s="148">
      <c r="A86" s="180" t="n">
        <v>71</v>
      </c>
      <c r="B86" s="180" t="n"/>
      <c r="C86" s="25" t="inlineStr">
        <is>
          <t>01.7.16.02-0003</t>
        </is>
      </c>
      <c r="D86" s="181" t="inlineStr">
        <is>
          <t>Детали стальных трубчатых лесов, укомплектованные пробками, крючками и хомутами, окрашенные</t>
        </is>
      </c>
      <c r="E86" s="180" t="inlineStr">
        <is>
          <t>т</t>
        </is>
      </c>
      <c r="F86" s="180" t="n">
        <v>0.29484</v>
      </c>
      <c r="G86" s="185" t="n">
        <v>6102</v>
      </c>
      <c r="H86" s="185">
        <f>ROUND(F86*G86,2)</f>
        <v/>
      </c>
    </row>
    <row r="87" ht="15.75" customFormat="1" customHeight="1" s="148">
      <c r="A87" s="180" t="n">
        <v>72</v>
      </c>
      <c r="B87" s="180" t="n"/>
      <c r="C87" s="25" t="inlineStr">
        <is>
          <t>01.2.01.02-0031</t>
        </is>
      </c>
      <c r="D87" s="181" t="inlineStr">
        <is>
          <t>Стоимость битума</t>
        </is>
      </c>
      <c r="E87" s="180" t="inlineStr">
        <is>
          <t>т</t>
        </is>
      </c>
      <c r="F87" s="180" t="n">
        <v>1</v>
      </c>
      <c r="G87" s="185" t="n">
        <v>1412.5</v>
      </c>
      <c r="H87" s="185">
        <f>ROUND(F87*G87,2)</f>
        <v/>
      </c>
    </row>
    <row r="88" ht="15.75" customFormat="1" customHeight="1" s="148">
      <c r="A88" s="180" t="n">
        <v>73</v>
      </c>
      <c r="B88" s="180" t="n"/>
      <c r="C88" s="25" t="inlineStr">
        <is>
          <t>01.7.15.03-0042</t>
        </is>
      </c>
      <c r="D88" s="181" t="inlineStr">
        <is>
          <t>Болты с гайками и шайбами строительные</t>
        </is>
      </c>
      <c r="E88" s="180" t="inlineStr">
        <is>
          <t>кг</t>
        </is>
      </c>
      <c r="F88" s="180" t="n">
        <v>133</v>
      </c>
      <c r="G88" s="185" t="n">
        <v>9.039999999999999</v>
      </c>
      <c r="H88" s="185">
        <f>ROUND(F88*G88,2)</f>
        <v/>
      </c>
    </row>
    <row r="89" ht="15.75" customFormat="1" customHeight="1" s="148">
      <c r="A89" s="180" t="n">
        <v>74</v>
      </c>
      <c r="B89" s="180" t="n"/>
      <c r="C89" s="25" t="inlineStr">
        <is>
          <t>04.3.01.09-0014</t>
        </is>
      </c>
      <c r="D89" s="181" t="inlineStr">
        <is>
          <t>Раствор готовый кладочный, цементный, М100</t>
        </is>
      </c>
      <c r="E89" s="180" t="inlineStr">
        <is>
          <t>м3</t>
        </is>
      </c>
      <c r="F89" s="180" t="n">
        <v>2.14412</v>
      </c>
      <c r="G89" s="185" t="n">
        <v>519.8</v>
      </c>
      <c r="H89" s="185">
        <f>ROUND(F89*G89,2)</f>
        <v/>
      </c>
    </row>
    <row r="90" ht="15.75" customFormat="1" customHeight="1" s="148">
      <c r="A90" s="180" t="n">
        <v>75</v>
      </c>
      <c r="B90" s="180" t="n"/>
      <c r="C90" s="25" t="inlineStr">
        <is>
          <t>01.7.15.03-0042</t>
        </is>
      </c>
      <c r="D90" s="181" t="inlineStr">
        <is>
          <t>Болты с гайками и шайбами строительные</t>
        </is>
      </c>
      <c r="E90" s="180" t="inlineStr">
        <is>
          <t>кг</t>
        </is>
      </c>
      <c r="F90" s="180" t="n">
        <v>121.296</v>
      </c>
      <c r="G90" s="185" t="n">
        <v>9.039999999999999</v>
      </c>
      <c r="H90" s="185">
        <f>ROUND(F90*G90,2)</f>
        <v/>
      </c>
    </row>
    <row r="91" ht="15.75" customFormat="1" customHeight="1" s="148">
      <c r="A91" s="180" t="n">
        <v>76</v>
      </c>
      <c r="B91" s="180" t="n"/>
      <c r="C91" s="25" t="inlineStr">
        <is>
          <t>11.2.13.06-0011</t>
        </is>
      </c>
      <c r="D91" s="181" t="inlineStr">
        <is>
          <t>Щиты настила, все толщины</t>
        </is>
      </c>
      <c r="E91" s="180" t="inlineStr">
        <is>
          <t>м2</t>
        </is>
      </c>
      <c r="F91" s="180" t="n">
        <v>28.6416</v>
      </c>
      <c r="G91" s="185" t="n">
        <v>35.22</v>
      </c>
      <c r="H91" s="185">
        <f>ROUND(F91*G91,2)</f>
        <v/>
      </c>
    </row>
    <row r="92" ht="15.75" customFormat="1" customHeight="1" s="148">
      <c r="A92" s="180" t="n">
        <v>77</v>
      </c>
      <c r="B92" s="180" t="n"/>
      <c r="C92" s="25" t="inlineStr">
        <is>
          <t>01.7.07.29-0111</t>
        </is>
      </c>
      <c r="D92" s="181" t="inlineStr">
        <is>
          <t>Пакля пропитанная</t>
        </is>
      </c>
      <c r="E92" s="180" t="inlineStr">
        <is>
          <t>кг</t>
        </is>
      </c>
      <c r="F92" s="180" t="n">
        <v>101.088</v>
      </c>
      <c r="G92" s="185" t="n">
        <v>9.039999999999999</v>
      </c>
      <c r="H92" s="185">
        <f>ROUND(F92*G92,2)</f>
        <v/>
      </c>
    </row>
    <row r="93" ht="15.75" customFormat="1" customHeight="1" s="148">
      <c r="A93" s="180" t="n">
        <v>78</v>
      </c>
      <c r="B93" s="180" t="n"/>
      <c r="C93" s="25" t="inlineStr">
        <is>
          <t>01.7.11.07-0032</t>
        </is>
      </c>
      <c r="D93" s="181" t="inlineStr">
        <is>
          <t>Электроды сварочные Э42, диаметр 4 мм</t>
        </is>
      </c>
      <c r="E93" s="180" t="inlineStr">
        <is>
          <t>т</t>
        </is>
      </c>
      <c r="F93" s="180" t="n">
        <v>0.0590236</v>
      </c>
      <c r="G93" s="185" t="n">
        <v>10315.01</v>
      </c>
      <c r="H93" s="185">
        <f>ROUND(F93*G93,2)</f>
        <v/>
      </c>
    </row>
    <row r="94" ht="15.75" customFormat="1" customHeight="1" s="148">
      <c r="A94" s="180" t="n">
        <v>79</v>
      </c>
      <c r="B94" s="180" t="n"/>
      <c r="C94" s="25" t="inlineStr">
        <is>
          <t>02.1.01.01-0001</t>
        </is>
      </c>
      <c r="D94" s="181" t="inlineStr">
        <is>
          <t>Глина</t>
        </is>
      </c>
      <c r="E94" s="180" t="inlineStr">
        <is>
          <t>м3</t>
        </is>
      </c>
      <c r="F94" s="180" t="n">
        <v>6.785</v>
      </c>
      <c r="G94" s="185" t="n">
        <v>87.8</v>
      </c>
      <c r="H94" s="185">
        <f>ROUND(F94*G94,2)</f>
        <v/>
      </c>
    </row>
    <row r="95" ht="47.25" customFormat="1" customHeight="1" s="148">
      <c r="A95" s="180" t="n">
        <v>80</v>
      </c>
      <c r="B95" s="180" t="n"/>
      <c r="C95" s="25" t="inlineStr">
        <is>
          <t>07.2.07.01-0055</t>
        </is>
      </c>
      <c r="D95" s="181" t="inlineStr">
        <is>
          <t>Комплекты (секция СКБ) с пространственной (решетчатой) конструкцией покрытия, стойки фахверка связевые СВ-7.2-П</t>
        </is>
      </c>
      <c r="E95" s="180" t="inlineStr">
        <is>
          <t>шт</t>
        </is>
      </c>
      <c r="F95" s="180" t="n">
        <v>0.08799999999999999</v>
      </c>
      <c r="G95" s="185" t="n">
        <v>3627.99</v>
      </c>
      <c r="H95" s="185">
        <f>ROUND(F95*G95,2)</f>
        <v/>
      </c>
    </row>
    <row r="96" ht="31.7" customFormat="1" customHeight="1" s="148">
      <c r="A96" s="180" t="n">
        <v>81</v>
      </c>
      <c r="B96" s="180" t="n"/>
      <c r="C96" s="25" t="inlineStr">
        <is>
          <t>08.3.03.04-0031</t>
        </is>
      </c>
      <c r="D96" s="181" t="inlineStr">
        <is>
          <t>Проволока стальная низкоуглеродистая отожженная, диаметр 0,8 мм</t>
        </is>
      </c>
      <c r="E96" s="180" t="inlineStr">
        <is>
          <t>т</t>
        </is>
      </c>
      <c r="F96" s="180" t="n">
        <v>0.025272</v>
      </c>
      <c r="G96" s="185" t="n">
        <v>10730</v>
      </c>
      <c r="H96" s="185">
        <f>ROUND(F96*G96,2)</f>
        <v/>
      </c>
    </row>
    <row r="97" ht="15.75" customFormat="1" customHeight="1" s="148">
      <c r="A97" s="180" t="n">
        <v>82</v>
      </c>
      <c r="B97" s="180" t="n"/>
      <c r="C97" s="25" t="inlineStr">
        <is>
          <t>02.2.05.04-1762</t>
        </is>
      </c>
      <c r="D97" s="181" t="inlineStr">
        <is>
          <t>Щебень М 300, фракция 20-40 мм, группа 2</t>
        </is>
      </c>
      <c r="E97" s="180" t="inlineStr">
        <is>
          <t>м3</t>
        </is>
      </c>
      <c r="F97" s="180" t="n">
        <v>1.84</v>
      </c>
      <c r="G97" s="185" t="n">
        <v>136.84</v>
      </c>
      <c r="H97" s="185">
        <f>ROUND(F97*G97,2)</f>
        <v/>
      </c>
    </row>
    <row r="98" ht="15.75" customFormat="1" customHeight="1" s="148">
      <c r="A98" s="180" t="n">
        <v>83</v>
      </c>
      <c r="B98" s="180" t="n"/>
      <c r="C98" s="25" t="inlineStr">
        <is>
          <t>01.7.03.04-0001</t>
        </is>
      </c>
      <c r="D98" s="181" t="inlineStr">
        <is>
          <t>Электроэнергия</t>
        </is>
      </c>
      <c r="E98" s="180" t="inlineStr">
        <is>
          <t>кВт-ч</t>
        </is>
      </c>
      <c r="F98" s="180" t="n">
        <v>468.44928</v>
      </c>
      <c r="G98" s="185" t="n">
        <v>0.4</v>
      </c>
      <c r="H98" s="185">
        <f>ROUND(F98*G98,2)</f>
        <v/>
      </c>
    </row>
    <row r="99" ht="15.75" customFormat="1" customHeight="1" s="148">
      <c r="A99" s="180" t="n">
        <v>84</v>
      </c>
      <c r="B99" s="180" t="n"/>
      <c r="C99" s="25" t="inlineStr">
        <is>
          <t>08.3.11.01-0091</t>
        </is>
      </c>
      <c r="D99" s="181" t="inlineStr">
        <is>
          <t>Швеллеры № 40, марка стали Ст0</t>
        </is>
      </c>
      <c r="E99" s="180" t="inlineStr">
        <is>
          <t>т</t>
        </is>
      </c>
      <c r="F99" s="180" t="n">
        <v>0.0374459</v>
      </c>
      <c r="G99" s="185" t="n">
        <v>4920</v>
      </c>
      <c r="H99" s="185">
        <f>ROUND(F99*G99,2)</f>
        <v/>
      </c>
    </row>
    <row r="100" ht="31.7" customFormat="1" customHeight="1" s="148">
      <c r="A100" s="180" t="n">
        <v>85</v>
      </c>
      <c r="B100" s="180" t="n"/>
      <c r="C100" s="25" t="inlineStr">
        <is>
          <t>01.7.15.06-0121</t>
        </is>
      </c>
      <c r="D100" s="181" t="inlineStr">
        <is>
          <t>Гвозди строительные с плоской головкой, размер 1,6х50 мм</t>
        </is>
      </c>
      <c r="E100" s="180" t="inlineStr">
        <is>
          <t>т</t>
        </is>
      </c>
      <c r="F100" s="180" t="n">
        <v>0.02106</v>
      </c>
      <c r="G100" s="185" t="n">
        <v>8475</v>
      </c>
      <c r="H100" s="185">
        <f>ROUND(F100*G100,2)</f>
        <v/>
      </c>
    </row>
    <row r="101" ht="15.75" customFormat="1" customHeight="1" s="148">
      <c r="A101" s="180" t="n">
        <v>86</v>
      </c>
      <c r="B101" s="180" t="n"/>
      <c r="C101" s="25" t="inlineStr">
        <is>
          <t>01.3.02.08-0001</t>
        </is>
      </c>
      <c r="D101" s="181" t="inlineStr">
        <is>
          <t>Кислород газообразный технический</t>
        </is>
      </c>
      <c r="E101" s="180" t="inlineStr">
        <is>
          <t>м3</t>
        </is>
      </c>
      <c r="F101" s="180" t="n">
        <v>25.3224</v>
      </c>
      <c r="G101" s="185" t="n">
        <v>6.22</v>
      </c>
      <c r="H101" s="185">
        <f>ROUND(F101*G101,2)</f>
        <v/>
      </c>
    </row>
    <row r="102" ht="15.75" customFormat="1" customHeight="1" s="148">
      <c r="A102" s="180" t="n">
        <v>87</v>
      </c>
      <c r="B102" s="180" t="n"/>
      <c r="C102" s="25" t="inlineStr">
        <is>
          <t>14.5.09.07-0030</t>
        </is>
      </c>
      <c r="D102" s="181" t="inlineStr">
        <is>
          <t>Растворитель Р-4</t>
        </is>
      </c>
      <c r="E102" s="180" t="inlineStr">
        <is>
          <t>кг</t>
        </is>
      </c>
      <c r="F102" s="180" t="n">
        <v>11.5812</v>
      </c>
      <c r="G102" s="185" t="n">
        <v>9.42</v>
      </c>
      <c r="H102" s="185">
        <f>ROUND(F102*G102,2)</f>
        <v/>
      </c>
    </row>
    <row r="103" ht="15.75" customFormat="1" customHeight="1" s="148">
      <c r="A103" s="180" t="n">
        <v>88</v>
      </c>
      <c r="B103" s="180" t="n"/>
      <c r="C103" s="25" t="inlineStr">
        <is>
          <t>14.4.01.01-0003</t>
        </is>
      </c>
      <c r="D103" s="181" t="inlineStr">
        <is>
          <t>Грунтовка ГФ-021</t>
        </is>
      </c>
      <c r="E103" s="180" t="inlineStr">
        <is>
          <t>т</t>
        </is>
      </c>
      <c r="F103" s="180" t="n">
        <v>0.0059836</v>
      </c>
      <c r="G103" s="185" t="n">
        <v>15620</v>
      </c>
      <c r="H103" s="185">
        <f>ROUND(F103*G103,2)</f>
        <v/>
      </c>
    </row>
    <row r="104" ht="31.7" customFormat="1" customHeight="1" s="148">
      <c r="A104" s="180" t="n">
        <v>89</v>
      </c>
      <c r="B104" s="180" t="n"/>
      <c r="C104" s="25" t="inlineStr">
        <is>
          <t>01.7.16.02-0001</t>
        </is>
      </c>
      <c r="D104" s="181" t="inlineStr">
        <is>
          <t>Детали деревянные лесов из пиломатериалов хвойных пород</t>
        </is>
      </c>
      <c r="E104" s="180" t="inlineStr">
        <is>
          <t>м3</t>
        </is>
      </c>
      <c r="F104" s="180" t="n">
        <v>0.07581599999999999</v>
      </c>
      <c r="G104" s="185" t="n">
        <v>1100</v>
      </c>
      <c r="H104" s="185">
        <f>ROUND(F104*G104,2)</f>
        <v/>
      </c>
    </row>
    <row r="105" ht="15.75" customFormat="1" customHeight="1" s="148">
      <c r="A105" s="180" t="n">
        <v>90</v>
      </c>
      <c r="B105" s="180" t="n"/>
      <c r="C105" s="25" t="inlineStr">
        <is>
          <t>01.7.20.08-0071</t>
        </is>
      </c>
      <c r="D105" s="181" t="inlineStr">
        <is>
          <t>Канат пеньковый пропитанный</t>
        </is>
      </c>
      <c r="E105" s="180" t="inlineStr">
        <is>
          <t>т</t>
        </is>
      </c>
      <c r="F105" s="180" t="n">
        <v>0.0019302</v>
      </c>
      <c r="G105" s="185" t="n">
        <v>37900</v>
      </c>
      <c r="H105" s="185">
        <f>ROUND(F105*G105,2)</f>
        <v/>
      </c>
    </row>
    <row r="106" ht="15.75" customFormat="1" customHeight="1" s="148">
      <c r="A106" s="180" t="n">
        <v>91</v>
      </c>
      <c r="B106" s="180" t="n"/>
      <c r="C106" s="25" t="inlineStr">
        <is>
          <t>01.7.11.07-0036</t>
        </is>
      </c>
      <c r="D106" s="181" t="inlineStr">
        <is>
          <t>Электроды сварочные Э46, диаметр 4 мм</t>
        </is>
      </c>
      <c r="E106" s="180" t="inlineStr">
        <is>
          <t>кг</t>
        </is>
      </c>
      <c r="F106" s="180" t="n">
        <v>6.75</v>
      </c>
      <c r="G106" s="185" t="n">
        <v>10.75</v>
      </c>
      <c r="H106" s="185">
        <f>ROUND(F106*G106,2)</f>
        <v/>
      </c>
    </row>
    <row r="107" ht="47.25" customFormat="1" customHeight="1" s="148">
      <c r="A107" s="180" t="n">
        <v>92</v>
      </c>
      <c r="B107" s="180" t="n"/>
      <c r="C107" s="25" t="inlineStr">
        <is>
          <t>03.2.01.01-0001</t>
        </is>
      </c>
      <c r="D107" s="181" t="inlineStr">
        <is>
          <t>Портландцемент общестроительного назначения бездобавочный М400 Д0 (ЦЕМ I 32,5Н)</t>
        </is>
      </c>
      <c r="E107" s="180" t="inlineStr">
        <is>
          <t>т</t>
        </is>
      </c>
      <c r="F107" s="180" t="n">
        <v>0.109512</v>
      </c>
      <c r="G107" s="185" t="n">
        <v>412</v>
      </c>
      <c r="H107" s="185">
        <f>ROUND(F107*G107,2)</f>
        <v/>
      </c>
    </row>
    <row r="108" ht="15.75" customFormat="1" customHeight="1" s="148">
      <c r="A108" s="180" t="n">
        <v>93</v>
      </c>
      <c r="B108" s="180" t="n"/>
      <c r="C108" s="25" t="inlineStr">
        <is>
          <t>01.3.02.03-0001</t>
        </is>
      </c>
      <c r="D108" s="181" t="inlineStr">
        <is>
          <t>Ацетилен газообразный технический</t>
        </is>
      </c>
      <c r="E108" s="180" t="inlineStr">
        <is>
          <t>м3</t>
        </is>
      </c>
      <c r="F108" s="180" t="n">
        <v>1.152</v>
      </c>
      <c r="G108" s="185" t="n">
        <v>38.51</v>
      </c>
      <c r="H108" s="185">
        <f>ROUND(F108*G108,2)</f>
        <v/>
      </c>
    </row>
    <row r="109" ht="15.75" customFormat="1" customHeight="1" s="148">
      <c r="A109" s="180" t="n">
        <v>94</v>
      </c>
      <c r="B109" s="180" t="n"/>
      <c r="C109" s="25" t="inlineStr">
        <is>
          <t>01.7.07.12-0024</t>
        </is>
      </c>
      <c r="D109" s="181" t="inlineStr">
        <is>
          <t>Пленка полиэтиленовая, толщина 0,15 мм</t>
        </is>
      </c>
      <c r="E109" s="180" t="inlineStr">
        <is>
          <t>м2</t>
        </is>
      </c>
      <c r="F109" s="180" t="n">
        <v>11.5</v>
      </c>
      <c r="G109" s="185" t="n">
        <v>3.62</v>
      </c>
      <c r="H109" s="185">
        <f>ROUND(F109*G109,2)</f>
        <v/>
      </c>
    </row>
    <row r="110" ht="63" customFormat="1" customHeight="1" s="148">
      <c r="A110" s="180" t="n">
        <v>95</v>
      </c>
      <c r="B110" s="180" t="n"/>
      <c r="C110" s="25" t="inlineStr">
        <is>
          <t>07.2.07.12-0020</t>
        </is>
      </c>
      <c r="D110" s="181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10" s="180" t="inlineStr">
        <is>
          <t>т</t>
        </is>
      </c>
      <c r="F110" s="180" t="n">
        <v>0.004818</v>
      </c>
      <c r="G110" s="185" t="n">
        <v>7712</v>
      </c>
      <c r="H110" s="185">
        <f>ROUND(F110*G110,2)</f>
        <v/>
      </c>
    </row>
    <row r="111" ht="31.7" customFormat="1" customHeight="1" s="148">
      <c r="A111" s="180" t="n">
        <v>96</v>
      </c>
      <c r="B111" s="180" t="n"/>
      <c r="C111" s="25" t="inlineStr">
        <is>
          <t>11.1.03.01-0077</t>
        </is>
      </c>
      <c r="D111" s="181" t="inlineStr">
        <is>
          <t>Бруски обрезные, хвойных пород, длина 4-6,5 м, ширина 75-150 мм, толщина 40-75 мм, сорт I</t>
        </is>
      </c>
      <c r="E111" s="180" t="inlineStr">
        <is>
          <t>м3</t>
        </is>
      </c>
      <c r="F111" s="180" t="n">
        <v>0.0198672</v>
      </c>
      <c r="G111" s="185" t="n">
        <v>1700</v>
      </c>
      <c r="H111" s="185">
        <f>ROUND(F111*G111,2)</f>
        <v/>
      </c>
    </row>
    <row r="112" ht="15.75" customFormat="1" customHeight="1" s="148">
      <c r="A112" s="180" t="n">
        <v>97</v>
      </c>
      <c r="B112" s="180" t="n"/>
      <c r="C112" s="25" t="inlineStr">
        <is>
          <t>01.3.02.09-0022</t>
        </is>
      </c>
      <c r="D112" s="181" t="inlineStr">
        <is>
          <t>Пропан-бутан смесь техническая</t>
        </is>
      </c>
      <c r="E112" s="180" t="inlineStr">
        <is>
          <t>кг</t>
        </is>
      </c>
      <c r="F112" s="180" t="n">
        <v>5.32872</v>
      </c>
      <c r="G112" s="185" t="n">
        <v>6.09</v>
      </c>
      <c r="H112" s="185">
        <f>ROUND(F112*G112,2)</f>
        <v/>
      </c>
    </row>
    <row r="113" ht="63" customFormat="1" customHeight="1" s="148">
      <c r="A113" s="180" t="n">
        <v>98</v>
      </c>
      <c r="B113" s="180" t="n"/>
      <c r="C113" s="25" t="inlineStr">
        <is>
          <t>08.2.02.11-0007</t>
        </is>
      </c>
      <c r="D113" s="18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13" s="180" t="inlineStr">
        <is>
          <t>10 м</t>
        </is>
      </c>
      <c r="F113" s="180" t="n">
        <v>0.3609474</v>
      </c>
      <c r="G113" s="185" t="n">
        <v>50.24</v>
      </c>
      <c r="H113" s="185">
        <f>ROUND(F113*G113,2)</f>
        <v/>
      </c>
    </row>
    <row r="114" ht="15.75" customFormat="1" customHeight="1" s="148">
      <c r="A114" s="180" t="n">
        <v>99</v>
      </c>
      <c r="B114" s="180" t="n"/>
      <c r="C114" s="25" t="inlineStr">
        <is>
          <t>02.2.05.04-1777</t>
        </is>
      </c>
      <c r="D114" s="181" t="inlineStr">
        <is>
          <t>Щебень М 800, фракция 20-40 мм, группа 2</t>
        </is>
      </c>
      <c r="E114" s="180" t="inlineStr">
        <is>
          <t>м3</t>
        </is>
      </c>
      <c r="F114" s="180" t="n">
        <v>0.11295</v>
      </c>
      <c r="G114" s="185" t="n">
        <v>108.4</v>
      </c>
      <c r="H114" s="185">
        <f>ROUND(F114*G114,2)</f>
        <v/>
      </c>
    </row>
    <row r="115" ht="15.75" customFormat="1" customHeight="1" s="148">
      <c r="A115" s="180" t="n">
        <v>100</v>
      </c>
      <c r="B115" s="180" t="n"/>
      <c r="C115" s="25" t="inlineStr">
        <is>
          <t>01.7.03.01-0001</t>
        </is>
      </c>
      <c r="D115" s="181" t="inlineStr">
        <is>
          <t>Вода</t>
        </is>
      </c>
      <c r="E115" s="180" t="inlineStr">
        <is>
          <t>м3</t>
        </is>
      </c>
      <c r="F115" s="180" t="n">
        <v>2.208116</v>
      </c>
      <c r="G115" s="185" t="n">
        <v>2.44</v>
      </c>
      <c r="H115" s="185">
        <f>ROUND(F115*G115,2)</f>
        <v/>
      </c>
    </row>
    <row r="116" ht="31.7" customFormat="1" customHeight="1" s="148">
      <c r="A116" s="180" t="n">
        <v>101</v>
      </c>
      <c r="B116" s="180" t="n"/>
      <c r="C116" s="25" t="inlineStr">
        <is>
          <t>08.3.03.06-0002</t>
        </is>
      </c>
      <c r="D116" s="181" t="inlineStr">
        <is>
          <t>Проволока горячекатаная в мотках, диаметр 6,3-6,5 мм</t>
        </is>
      </c>
      <c r="E116" s="180" t="inlineStr">
        <is>
          <t>т</t>
        </is>
      </c>
      <c r="F116" s="180" t="n">
        <v>0.0005791</v>
      </c>
      <c r="G116" s="185" t="n">
        <v>4455.2</v>
      </c>
      <c r="H116" s="185">
        <f>ROUND(F116*G116,2)</f>
        <v/>
      </c>
    </row>
    <row r="117" ht="15.75" customFormat="1" customHeight="1" s="148">
      <c r="A117" s="180" t="n">
        <v>102</v>
      </c>
      <c r="B117" s="180" t="n"/>
      <c r="C117" s="25" t="inlineStr">
        <is>
          <t>01.7.15.06-0111</t>
        </is>
      </c>
      <c r="D117" s="181" t="inlineStr">
        <is>
          <t>Гвозди строительные</t>
        </is>
      </c>
      <c r="E117" s="180" t="inlineStr">
        <is>
          <t>т</t>
        </is>
      </c>
      <c r="F117" s="180" t="n">
        <v>0.000193</v>
      </c>
      <c r="G117" s="185" t="n">
        <v>11978</v>
      </c>
      <c r="H117" s="185">
        <f>ROUND(F117*G117,2)</f>
        <v/>
      </c>
    </row>
    <row r="118" ht="15.75" customFormat="1" customHeight="1" s="148"/>
    <row r="119" ht="15.75" customFormat="1" customHeight="1" s="148"/>
    <row r="120" ht="15.75" customFormat="1" customHeight="1" s="148"/>
    <row r="121" ht="15.75" customFormat="1" customHeight="1" s="148"/>
    <row r="122" ht="15.75" customFormat="1" customHeight="1" s="148">
      <c r="B122" s="148" t="inlineStr">
        <is>
          <t>Составил ______________________        М.С. Колотиевская</t>
        </is>
      </c>
      <c r="C122" s="148" t="n"/>
    </row>
    <row r="123" ht="15.75" customFormat="1" customHeight="1" s="148">
      <c r="B123" s="99" t="inlineStr">
        <is>
          <t xml:space="preserve">                         (подпись, инициалы, фамилия)</t>
        </is>
      </c>
      <c r="C123" s="148" t="n"/>
    </row>
    <row r="124" ht="15.75" customFormat="1" customHeight="1" s="148">
      <c r="B124" s="148" t="n"/>
      <c r="C124" s="148" t="n"/>
    </row>
    <row r="125" ht="15.75" customFormat="1" customHeight="1" s="148">
      <c r="B125" s="148" t="inlineStr">
        <is>
          <t>Проверил ______________________          А.В. Костянецкая</t>
        </is>
      </c>
      <c r="C125" s="148" t="n"/>
    </row>
    <row r="126" ht="15.75" customFormat="1" customHeight="1" s="148">
      <c r="B126" s="99" t="inlineStr">
        <is>
          <t xml:space="preserve">                        (подпись, инициалы, фамилия)</t>
        </is>
      </c>
      <c r="C126" s="148" t="n"/>
    </row>
    <row r="127" ht="15.75" customFormat="1" customHeight="1" s="148"/>
  </sheetData>
  <mergeCells count="15">
    <mergeCell ref="A30:E30"/>
    <mergeCell ref="C9:C10"/>
    <mergeCell ref="B9:B10"/>
    <mergeCell ref="A12:E12"/>
    <mergeCell ref="A3:H3"/>
    <mergeCell ref="D9:D10"/>
    <mergeCell ref="E9:E10"/>
    <mergeCell ref="F9:F10"/>
    <mergeCell ref="A7:H7"/>
    <mergeCell ref="A9:A10"/>
    <mergeCell ref="A2:H2"/>
    <mergeCell ref="A32:E32"/>
    <mergeCell ref="C4:H4"/>
    <mergeCell ref="G9:H9"/>
    <mergeCell ref="A67:E67"/>
  </mergeCells>
  <conditionalFormatting sqref="F11:F117">
    <cfRule type="expression" priority="1" dxfId="0" stopIfTrue="1">
      <formula>ROUND(F11*10000,0)/10000=F11</formula>
    </cfRule>
  </conditionalFormatting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view="pageBreakPreview" topLeftCell="A11" zoomScale="60" zoomScaleNormal="100" workbookViewId="0">
      <selection activeCell="B46" sqref="B46"/>
    </sheetView>
  </sheetViews>
  <sheetFormatPr baseColWidth="8" defaultColWidth="9.140625" defaultRowHeight="15"/>
  <cols>
    <col width="4.140625" customWidth="1" style="146" min="1" max="1"/>
    <col width="36.28515625" customWidth="1" style="146" min="2" max="2"/>
    <col width="18.85546875" customWidth="1" style="146" min="3" max="3"/>
    <col width="18.28515625" customWidth="1" style="146" min="4" max="4"/>
    <col width="20.85546875" customWidth="1" style="146" min="5" max="5"/>
    <col width="9.140625" customWidth="1" style="146" min="6" max="10"/>
    <col width="13.5703125" customWidth="1" style="146" min="11" max="11"/>
    <col width="9.140625" customWidth="1" style="146" min="12" max="12"/>
  </cols>
  <sheetData>
    <row r="1" ht="15.75" customHeight="1" s="146">
      <c r="A1" s="74" t="n"/>
      <c r="B1" s="148" t="n"/>
      <c r="C1" s="148" t="n"/>
      <c r="D1" s="148" t="n"/>
      <c r="E1" s="148" t="n"/>
    </row>
    <row r="2" ht="15.75" customHeight="1" s="146">
      <c r="B2" s="148" t="n"/>
      <c r="C2" s="148" t="n"/>
      <c r="D2" s="148" t="n"/>
      <c r="E2" s="190" t="inlineStr">
        <is>
          <t>Приложение № 4</t>
        </is>
      </c>
    </row>
    <row r="3" ht="15.75" customHeight="1" s="146">
      <c r="B3" s="148" t="n"/>
      <c r="C3" s="148" t="n"/>
      <c r="D3" s="148" t="n"/>
      <c r="E3" s="148" t="n"/>
    </row>
    <row r="4" ht="15.75" customHeight="1" s="146">
      <c r="B4" s="148" t="n"/>
      <c r="C4" s="148" t="n"/>
      <c r="D4" s="148" t="n"/>
      <c r="E4" s="148" t="n"/>
    </row>
    <row r="5" ht="15.75" customHeight="1" s="146">
      <c r="B5" s="167" t="inlineStr">
        <is>
          <t>Ресурсная модель</t>
        </is>
      </c>
    </row>
    <row r="6" ht="15.75" customHeight="1" s="146">
      <c r="B6" s="168" t="n"/>
      <c r="C6" s="148" t="n"/>
      <c r="D6" s="148" t="n"/>
      <c r="E6" s="148" t="n"/>
    </row>
    <row r="7" ht="15.75" customHeight="1" s="146">
      <c r="B7" s="169" t="inlineStr">
        <is>
          <t>Наименование разрабатываемой расценки УНЦ —  Шумозащитная стенка</t>
        </is>
      </c>
    </row>
    <row r="8" ht="15.75" customHeight="1" s="146">
      <c r="B8" s="169" t="inlineStr">
        <is>
          <t>Единица измерения  — м2</t>
        </is>
      </c>
    </row>
    <row r="9">
      <c r="B9" s="79" t="n"/>
      <c r="C9" s="132" t="n"/>
      <c r="D9" s="132" t="n"/>
      <c r="E9" s="132" t="n"/>
    </row>
    <row r="10" ht="78.75" customFormat="1" customHeight="1" s="148">
      <c r="B10" s="184" t="inlineStr">
        <is>
          <t>Наименование</t>
        </is>
      </c>
      <c r="C10" s="184" t="inlineStr">
        <is>
          <t>Сметная стоимость в ценах на 01.01.2023
 (руб.)</t>
        </is>
      </c>
      <c r="D10" s="184" t="inlineStr">
        <is>
          <t>Удельный вес, 
(в СМР)</t>
        </is>
      </c>
      <c r="E10" s="184" t="inlineStr">
        <is>
          <t>Удельный вес, % 
(от всего по РМ)</t>
        </is>
      </c>
    </row>
    <row r="11" ht="15" customFormat="1" customHeight="1" s="148">
      <c r="B11" s="194" t="inlineStr">
        <is>
          <t>Оплата труда рабочих</t>
        </is>
      </c>
      <c r="C11" s="83">
        <f>'Прил.5 Расчет СМР и ОБ'!J14</f>
        <v/>
      </c>
      <c r="D11" s="84">
        <f>C11/C24</f>
        <v/>
      </c>
      <c r="E11" s="84">
        <f>C11/C40</f>
        <v/>
      </c>
    </row>
    <row r="12" ht="15" customFormat="1" customHeight="1" s="148">
      <c r="B12" s="194" t="inlineStr">
        <is>
          <t>Эксплуатация машин основных</t>
        </is>
      </c>
      <c r="C12" s="83">
        <f>'Прил.5 Расчет СМР и ОБ'!J26</f>
        <v/>
      </c>
      <c r="D12" s="84">
        <f>C12/C24</f>
        <v/>
      </c>
      <c r="E12" s="84">
        <f>C12/C40</f>
        <v/>
      </c>
    </row>
    <row r="13" ht="15" customFormat="1" customHeight="1" s="148">
      <c r="B13" s="194" t="inlineStr">
        <is>
          <t>Эксплуатация машин прочих</t>
        </is>
      </c>
      <c r="C13" s="83">
        <f>'Прил.5 Расчет СМР и ОБ'!J54</f>
        <v/>
      </c>
      <c r="D13" s="84">
        <f>C13/C24</f>
        <v/>
      </c>
      <c r="E13" s="84">
        <f>C13/C40</f>
        <v/>
      </c>
    </row>
    <row r="14" ht="15" customFormat="1" customHeight="1" s="148">
      <c r="B14" s="194" t="inlineStr">
        <is>
          <t>ЭКСПЛУАТАЦИЯ МАШИН, ВСЕГО:</t>
        </is>
      </c>
      <c r="C14" s="83">
        <f>C13+C12</f>
        <v/>
      </c>
      <c r="D14" s="84">
        <f>C14/C24</f>
        <v/>
      </c>
      <c r="E14" s="84">
        <f>C14/C40</f>
        <v/>
      </c>
    </row>
    <row r="15" ht="15" customFormat="1" customHeight="1" s="148">
      <c r="B15" s="194" t="inlineStr">
        <is>
          <t>в том числе зарплата машинистов</t>
        </is>
      </c>
      <c r="C15" s="83">
        <f>'Прил.5 Расчет СМР и ОБ'!J16</f>
        <v/>
      </c>
      <c r="D15" s="84">
        <f>C15/C24</f>
        <v/>
      </c>
      <c r="E15" s="84">
        <f>C15/C40</f>
        <v/>
      </c>
    </row>
    <row r="16" ht="15" customFormat="1" customHeight="1" s="148">
      <c r="B16" s="194" t="inlineStr">
        <is>
          <t>Материалы основные</t>
        </is>
      </c>
      <c r="C16" s="83">
        <f>'Прил.5 Расчет СМР и ОБ'!J71</f>
        <v/>
      </c>
      <c r="D16" s="84">
        <f>C16/C24</f>
        <v/>
      </c>
      <c r="E16" s="84">
        <f>C16/C40</f>
        <v/>
      </c>
    </row>
    <row r="17" ht="15" customFormat="1" customHeight="1" s="148">
      <c r="B17" s="194" t="inlineStr">
        <is>
          <t>Материалы прочие</t>
        </is>
      </c>
      <c r="C17" s="83">
        <f>'Прил.5 Расчет СМР и ОБ'!J116</f>
        <v/>
      </c>
      <c r="D17" s="84">
        <f>C17/C24</f>
        <v/>
      </c>
      <c r="E17" s="84">
        <f>C17/C40</f>
        <v/>
      </c>
    </row>
    <row r="18" ht="15" customFormat="1" customHeight="1" s="148">
      <c r="B18" s="194" t="inlineStr">
        <is>
          <t>МАТЕРИАЛЫ, ВСЕГО:</t>
        </is>
      </c>
      <c r="C18" s="83">
        <f>C17+C16</f>
        <v/>
      </c>
      <c r="D18" s="84">
        <f>C18/C24</f>
        <v/>
      </c>
      <c r="E18" s="84">
        <f>C18/C40</f>
        <v/>
      </c>
    </row>
    <row r="19" ht="15" customFormat="1" customHeight="1" s="148">
      <c r="B19" s="194" t="inlineStr">
        <is>
          <t>ИТОГО</t>
        </is>
      </c>
      <c r="C19" s="83">
        <f>C18+C14+C11</f>
        <v/>
      </c>
      <c r="D19" s="84">
        <f>C19/C24</f>
        <v/>
      </c>
      <c r="E19" s="85">
        <f>C19/C40</f>
        <v/>
      </c>
    </row>
    <row r="20" ht="15" customFormat="1" customHeight="1" s="148">
      <c r="B20" s="194" t="inlineStr">
        <is>
          <t>Сметная прибыль, руб.</t>
        </is>
      </c>
      <c r="C20" s="83" t="n">
        <v>1781539.1395685</v>
      </c>
      <c r="D20" s="84">
        <f>C20/C24</f>
        <v/>
      </c>
      <c r="E20" s="84">
        <f>C20/C40</f>
        <v/>
      </c>
    </row>
    <row r="21" ht="15" customFormat="1" customHeight="1" s="148">
      <c r="B21" s="194" t="inlineStr">
        <is>
          <t>Сметная прибыль, %</t>
        </is>
      </c>
      <c r="C21" s="86">
        <f>C20/(C11+C15)</f>
        <v/>
      </c>
      <c r="D21" s="84" t="n"/>
      <c r="E21" s="85" t="n"/>
    </row>
    <row r="22" ht="15" customFormat="1" customHeight="1" s="148">
      <c r="B22" s="194" t="inlineStr">
        <is>
          <t>Накладные расходы, руб.</t>
        </is>
      </c>
      <c r="C22" s="83" t="n">
        <v>3283041.7231211</v>
      </c>
      <c r="D22" s="84">
        <f>C22/C24</f>
        <v/>
      </c>
      <c r="E22" s="84">
        <f>C22/C40</f>
        <v/>
      </c>
    </row>
    <row r="23" ht="15" customFormat="1" customHeight="1" s="148">
      <c r="B23" s="194" t="inlineStr">
        <is>
          <t>Накладные расходы, %</t>
        </is>
      </c>
      <c r="C23" s="86">
        <f>C22/(C11+C15)</f>
        <v/>
      </c>
      <c r="D23" s="84" t="n"/>
      <c r="E23" s="85" t="n"/>
    </row>
    <row r="24" ht="15" customFormat="1" customHeight="1" s="148">
      <c r="B24" s="194" t="inlineStr">
        <is>
          <t>ВСЕГО СМР с НР и СП</t>
        </is>
      </c>
      <c r="C24" s="83">
        <f>C19+C20+C22</f>
        <v/>
      </c>
      <c r="D24" s="84">
        <f>C24/C24</f>
        <v/>
      </c>
      <c r="E24" s="84">
        <f>C24/C40</f>
        <v/>
      </c>
    </row>
    <row r="25" ht="31.7" customFormat="1" customHeight="1" s="148">
      <c r="B25" s="194" t="inlineStr">
        <is>
          <t>ВСЕГО стоимость оборудования, в том числе</t>
        </is>
      </c>
      <c r="C25" s="83">
        <f>'Прил.5 Расчет СМР и ОБ'!J61</f>
        <v/>
      </c>
      <c r="D25" s="84" t="n"/>
      <c r="E25" s="84">
        <f>C25/C40</f>
        <v/>
      </c>
    </row>
    <row r="26" ht="31.7" customFormat="1" customHeight="1" s="148">
      <c r="B26" s="194" t="inlineStr">
        <is>
          <t>стоимость оборудования технологического</t>
        </is>
      </c>
      <c r="C26" s="83">
        <f>C25</f>
        <v/>
      </c>
      <c r="D26" s="84" t="n"/>
      <c r="E26" s="84">
        <f>C26/C40</f>
        <v/>
      </c>
    </row>
    <row r="27" ht="15" customFormat="1" customHeight="1" s="148">
      <c r="B27" s="194" t="inlineStr">
        <is>
          <t>ИТОГО (СМР + ОБОРУДОВАНИЕ)</t>
        </is>
      </c>
      <c r="C27" s="87">
        <f>C24+C25</f>
        <v/>
      </c>
      <c r="D27" s="84" t="n"/>
      <c r="E27" s="84">
        <f>C27/C40</f>
        <v/>
      </c>
    </row>
    <row r="28" ht="33" customFormat="1" customHeight="1" s="148">
      <c r="B28" s="194" t="inlineStr">
        <is>
          <t>ПРОЧ. ЗАТР., УЧТЕННЫЕ ПОКАЗАТЕЛЕМ,  в том числе</t>
        </is>
      </c>
      <c r="C28" s="194" t="n"/>
      <c r="D28" s="85" t="n"/>
      <c r="E28" s="85" t="n"/>
    </row>
    <row r="29" ht="31.7" customFormat="1" customHeight="1" s="148">
      <c r="B29" s="194" t="inlineStr">
        <is>
          <t>Временные здания и сооружения - 3,9%</t>
        </is>
      </c>
      <c r="C29" s="87">
        <f>ROUND(C24*0.039,2)</f>
        <v/>
      </c>
      <c r="D29" s="85" t="n"/>
      <c r="E29" s="84">
        <f>C29/C40</f>
        <v/>
      </c>
    </row>
    <row r="30" ht="63" customFormat="1" customHeight="1" s="148">
      <c r="B30" s="194" t="inlineStr">
        <is>
          <t>Дополнительные затраты при производстве строительно-монтажных работ в зимнее время - 2,1%</t>
        </is>
      </c>
      <c r="C30" s="87">
        <f>ROUND((C24+C29)*0.021,2)</f>
        <v/>
      </c>
      <c r="D30" s="85" t="n"/>
      <c r="E30" s="84">
        <f>C30/C40</f>
        <v/>
      </c>
    </row>
    <row r="31" ht="15.75" customFormat="1" customHeight="1" s="148">
      <c r="B31" s="194" t="inlineStr">
        <is>
          <t>Пусконаладочные работы</t>
        </is>
      </c>
      <c r="C31" s="87">
        <f>ROUND(C25*80%*7%,2)</f>
        <v/>
      </c>
      <c r="D31" s="85" t="n"/>
      <c r="E31" s="84">
        <f>C31/C40</f>
        <v/>
      </c>
    </row>
    <row r="32" ht="31.7" customFormat="1" customHeight="1" s="148">
      <c r="B32" s="194" t="inlineStr">
        <is>
          <t>Затраты по перевозке работников к месту работы и обратно</t>
        </is>
      </c>
      <c r="C32" s="87" t="n">
        <v>0</v>
      </c>
      <c r="D32" s="85" t="n"/>
      <c r="E32" s="84">
        <f>C32/C40</f>
        <v/>
      </c>
    </row>
    <row r="33" ht="47.25" customFormat="1" customHeight="1" s="148">
      <c r="B33" s="194" t="inlineStr">
        <is>
          <t>Затраты, связанные с осуществлением работ вахтовым методом</t>
        </is>
      </c>
      <c r="C33" s="87" t="n">
        <v>0</v>
      </c>
      <c r="D33" s="85" t="n"/>
      <c r="E33" s="84">
        <f>C33/C40</f>
        <v/>
      </c>
    </row>
    <row r="34" ht="63" customFormat="1" customHeight="1" s="148">
      <c r="B34" s="19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7" t="n">
        <v>0</v>
      </c>
      <c r="D34" s="85" t="n"/>
      <c r="E34" s="84">
        <f>C34/C40</f>
        <v/>
      </c>
    </row>
    <row r="35" ht="94.7" customFormat="1" customHeight="1" s="148">
      <c r="B35" s="19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7" t="n">
        <v>0</v>
      </c>
      <c r="D35" s="85" t="n"/>
      <c r="E35" s="84">
        <f>C35/C40</f>
        <v/>
      </c>
    </row>
    <row r="36" ht="47.25" customFormat="1" customHeight="1" s="148">
      <c r="B36" s="88" t="inlineStr">
        <is>
          <t>Строительный контроль и содержание службы заказчика - 2,14%</t>
        </is>
      </c>
      <c r="C36" s="89">
        <f>ROUND((C27+C29+C31+C30)*0.0214,2)</f>
        <v/>
      </c>
      <c r="D36" s="90" t="n"/>
      <c r="E36" s="91">
        <f>C36/C40</f>
        <v/>
      </c>
      <c r="K36" s="92" t="n"/>
    </row>
    <row r="37" ht="15.75" customFormat="1" customHeight="1" s="148">
      <c r="B37" s="188" t="inlineStr">
        <is>
          <t>Авторский надзор - 0,2%</t>
        </is>
      </c>
      <c r="C37" s="188">
        <f>ROUND((C27+C29+C30+C31)*0.002,2)</f>
        <v/>
      </c>
      <c r="D37" s="94" t="n"/>
      <c r="E37" s="94">
        <f>C37/C40</f>
        <v/>
      </c>
    </row>
    <row r="38" ht="63" customFormat="1" customHeight="1" s="148">
      <c r="B38" s="95" t="inlineStr">
        <is>
          <t>ИТОГО (СМР+ОБОРУДОВАНИЕ+ПРОЧ. ЗАТР., УЧТЕННЫЕ ПОКАЗАТЕЛЕМ)</t>
        </is>
      </c>
      <c r="C38" s="96">
        <f>C27+C29+C30+C31+C36+C37</f>
        <v/>
      </c>
      <c r="D38" s="97" t="n"/>
      <c r="E38" s="98">
        <f>C38/C40</f>
        <v/>
      </c>
    </row>
    <row r="39" ht="15.75" customFormat="1" customHeight="1" s="148">
      <c r="B39" s="194" t="inlineStr">
        <is>
          <t>Непредвиденные расходы</t>
        </is>
      </c>
      <c r="C39" s="83">
        <f>ROUND(C38*0.03,2)</f>
        <v/>
      </c>
      <c r="D39" s="85" t="n"/>
      <c r="E39" s="84">
        <f>C39/C40</f>
        <v/>
      </c>
    </row>
    <row r="40" ht="15.75" customFormat="1" customHeight="1" s="148">
      <c r="B40" s="194" t="inlineStr">
        <is>
          <t>ВСЕГО:</t>
        </is>
      </c>
      <c r="C40" s="83">
        <f>C39+C38</f>
        <v/>
      </c>
      <c r="D40" s="85" t="n"/>
      <c r="E40" s="84">
        <f>C40/C40</f>
        <v/>
      </c>
    </row>
    <row r="41" ht="31.7" customFormat="1" customHeight="1" s="148">
      <c r="B41" s="194" t="inlineStr">
        <is>
          <t>ИТОГО ПОКАЗАТЕЛЬ НА ЕД. ИЗМ.</t>
        </is>
      </c>
      <c r="C41" s="83">
        <f>C40/'Прил.5 Расчет СМР и ОБ'!E123</f>
        <v/>
      </c>
      <c r="D41" s="85" t="n"/>
      <c r="E41" s="85" t="n"/>
    </row>
    <row r="42" ht="15.75" customFormat="1" customHeight="1" s="148">
      <c r="B42" s="99" t="n"/>
    </row>
    <row r="43" ht="15.75" customFormat="1" customHeight="1" s="148">
      <c r="B43" s="99" t="inlineStr">
        <is>
          <t>Составил ____________________________ М.С. Колотиевская</t>
        </is>
      </c>
    </row>
    <row r="44" ht="15.75" customFormat="1" customHeight="1" s="148">
      <c r="B44" s="99" t="inlineStr">
        <is>
          <t xml:space="preserve">(должность, подпись, инициалы, фамилия) </t>
        </is>
      </c>
    </row>
    <row r="45" ht="15.75" customFormat="1" customHeight="1" s="148">
      <c r="B45" s="99" t="n"/>
    </row>
    <row r="46" ht="15.75" customFormat="1" customHeight="1" s="148">
      <c r="B46" s="148" t="inlineStr">
        <is>
          <t>Проверил ______________________          А.В. Костянецкая</t>
        </is>
      </c>
    </row>
    <row r="47" ht="15.75" customFormat="1" customHeight="1" s="148">
      <c r="B47" s="169" t="inlineStr">
        <is>
          <t>(должность, подпись, инициалы, фамилия)</t>
        </is>
      </c>
      <c r="C47" s="169" t="n"/>
    </row>
    <row r="48" ht="15.75" customFormat="1" customHeight="1" s="148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0"/>
  <sheetViews>
    <sheetView view="pageBreakPreview" topLeftCell="A62" zoomScale="115" zoomScaleNormal="100" zoomScaleSheetLayoutView="115" workbookViewId="0">
      <selection activeCell="A128" sqref="A128"/>
    </sheetView>
  </sheetViews>
  <sheetFormatPr baseColWidth="8" defaultColWidth="9.140625" defaultRowHeight="15" outlineLevelRow="1"/>
  <cols>
    <col width="5.7109375" customWidth="1" style="138" min="1" max="1"/>
    <col width="22.5703125" customWidth="1" style="138" min="2" max="2"/>
    <col width="39.140625" customWidth="1" style="138" min="3" max="3"/>
    <col width="10.7109375" customWidth="1" style="138" min="4" max="4"/>
    <col width="12.7109375" customWidth="1" style="138" min="5" max="5"/>
    <col width="14.5703125" customWidth="1" style="138" min="6" max="6"/>
    <col width="13.42578125" customWidth="1" style="138" min="7" max="7"/>
    <col width="12.7109375" customWidth="1" style="138" min="8" max="8"/>
    <col width="14.5703125" customWidth="1" style="138" min="9" max="9"/>
    <col width="15.140625" customWidth="1" style="138" min="10" max="10"/>
    <col width="22.42578125" customWidth="1" style="138" min="11" max="11"/>
    <col width="16.28515625" customWidth="1" style="138" min="12" max="12"/>
    <col width="10.85546875" customWidth="1" style="138" min="13" max="13"/>
    <col width="9.140625" customWidth="1" style="138" min="14" max="14"/>
    <col width="9.140625" customWidth="1" style="146" min="15" max="15"/>
  </cols>
  <sheetData>
    <row r="1" ht="14.25" customFormat="1" customHeight="1" s="138">
      <c r="A1" s="132" t="n"/>
    </row>
    <row r="2" ht="15.75" customFormat="1" customHeight="1" s="138">
      <c r="A2" s="148" t="n"/>
      <c r="B2" s="148" t="n"/>
      <c r="C2" s="148" t="n"/>
      <c r="D2" s="148" t="n"/>
      <c r="E2" s="148" t="n"/>
      <c r="F2" s="148" t="n"/>
      <c r="G2" s="148" t="n"/>
      <c r="H2" s="190" t="inlineStr">
        <is>
          <t>Приложение №5</t>
        </is>
      </c>
    </row>
    <row r="3" ht="15.75" customFormat="1" customHeight="1" s="138">
      <c r="A3" s="148" t="n"/>
      <c r="B3" s="148" t="n"/>
      <c r="C3" s="148" t="n"/>
      <c r="D3" s="148" t="n"/>
      <c r="E3" s="148" t="n"/>
      <c r="F3" s="148" t="n"/>
      <c r="G3" s="148" t="n"/>
      <c r="H3" s="148" t="n"/>
      <c r="I3" s="148" t="n"/>
      <c r="J3" s="148" t="n"/>
    </row>
    <row r="4" ht="15.75" customFormat="1" customHeight="1" s="132">
      <c r="A4" s="167" t="inlineStr">
        <is>
          <t>Расчет стоимости СМР и оборудования</t>
        </is>
      </c>
      <c r="I4" s="167" t="n"/>
      <c r="J4" s="167" t="n"/>
    </row>
    <row r="5" ht="15.75" customFormat="1" customHeight="1" s="132">
      <c r="A5" s="167" t="n"/>
      <c r="B5" s="167" t="n"/>
      <c r="C5" s="167" t="n"/>
      <c r="D5" s="167" t="n"/>
      <c r="E5" s="167" t="n"/>
      <c r="F5" s="167" t="n"/>
      <c r="G5" s="167" t="n"/>
      <c r="H5" s="167" t="n"/>
      <c r="I5" s="167" t="n"/>
      <c r="J5" s="167" t="n"/>
    </row>
    <row r="6" customFormat="1" s="132">
      <c r="A6" s="191" t="inlineStr">
        <is>
          <t xml:space="preserve">Наименование разрабатываемого показателя УНЦ — </t>
        </is>
      </c>
      <c r="D6" s="191" t="inlineStr">
        <is>
          <t>Шумозащитная стенка</t>
        </is>
      </c>
    </row>
    <row r="7" ht="15.75" customFormat="1" customHeight="1" s="132">
      <c r="A7" s="191" t="inlineStr">
        <is>
          <t>Единица измерения  — м2</t>
        </is>
      </c>
      <c r="D7" s="33" t="n"/>
      <c r="E7" s="33" t="n"/>
      <c r="F7" s="33" t="n"/>
      <c r="G7" s="33" t="n"/>
      <c r="H7" s="33" t="n"/>
      <c r="I7" s="33" t="n"/>
      <c r="J7" s="33" t="n"/>
    </row>
    <row r="8" ht="15.75" customFormat="1" customHeight="1" s="132">
      <c r="A8" s="148" t="n"/>
      <c r="B8" s="148" t="n"/>
      <c r="C8" s="148" t="n"/>
      <c r="D8" s="148" t="n"/>
      <c r="E8" s="148" t="n"/>
      <c r="F8" s="148" t="n"/>
      <c r="G8" s="148" t="n"/>
      <c r="H8" s="148" t="n"/>
      <c r="I8" s="148" t="n"/>
      <c r="J8" s="148" t="n"/>
    </row>
    <row r="9" ht="27" customFormat="1" customHeight="1" s="148">
      <c r="A9" s="194" t="inlineStr">
        <is>
          <t>№ пп.</t>
        </is>
      </c>
      <c r="B9" s="184" t="inlineStr">
        <is>
          <t>Код ресурса</t>
        </is>
      </c>
      <c r="C9" s="184" t="inlineStr">
        <is>
          <t>Наименование</t>
        </is>
      </c>
      <c r="D9" s="184" t="inlineStr">
        <is>
          <t>Ед. изм.</t>
        </is>
      </c>
      <c r="E9" s="184" t="inlineStr">
        <is>
          <t>Кол-во единиц по проектным данным</t>
        </is>
      </c>
      <c r="F9" s="184" t="inlineStr">
        <is>
          <t>Сметная стоимость в ценах на 01.01.2000 (руб.)</t>
        </is>
      </c>
      <c r="G9" s="205" t="n"/>
      <c r="H9" s="184" t="inlineStr">
        <is>
          <t>Удельный вес, %</t>
        </is>
      </c>
      <c r="I9" s="184" t="inlineStr">
        <is>
          <t>Сметная стоимость в ценах на 01.01.2023 (руб.)</t>
        </is>
      </c>
      <c r="J9" s="205" t="n"/>
      <c r="K9" s="102" t="n"/>
    </row>
    <row r="10" ht="28.5" customFormat="1" customHeight="1" s="148">
      <c r="A10" s="207" t="n"/>
      <c r="B10" s="207" t="n"/>
      <c r="C10" s="207" t="n"/>
      <c r="D10" s="207" t="n"/>
      <c r="E10" s="207" t="n"/>
      <c r="F10" s="184" t="inlineStr">
        <is>
          <t>на ед. изм.</t>
        </is>
      </c>
      <c r="G10" s="184" t="inlineStr">
        <is>
          <t>общая</t>
        </is>
      </c>
      <c r="H10" s="207" t="n"/>
      <c r="I10" s="184" t="inlineStr">
        <is>
          <t>на ед. изм.</t>
        </is>
      </c>
      <c r="J10" s="184" t="inlineStr">
        <is>
          <t>общая</t>
        </is>
      </c>
    </row>
    <row r="11" ht="15.75" customFormat="1" customHeight="1" s="148">
      <c r="A11" s="194" t="n">
        <v>1</v>
      </c>
      <c r="B11" s="184" t="n">
        <v>2</v>
      </c>
      <c r="C11" s="184" t="n">
        <v>3</v>
      </c>
      <c r="D11" s="184" t="n">
        <v>4</v>
      </c>
      <c r="E11" s="184" t="n">
        <v>5</v>
      </c>
      <c r="F11" s="184" t="n">
        <v>6</v>
      </c>
      <c r="G11" s="184" t="n">
        <v>7</v>
      </c>
      <c r="H11" s="184" t="n">
        <v>8</v>
      </c>
      <c r="I11" s="184" t="n">
        <v>9</v>
      </c>
      <c r="J11" s="184" t="n">
        <v>10</v>
      </c>
    </row>
    <row r="12" ht="15.75" customFormat="1" customHeight="1" s="148">
      <c r="A12" s="188" t="n"/>
      <c r="B12" s="187" t="inlineStr">
        <is>
          <t>Затраты труда рабочих-строителей</t>
        </is>
      </c>
      <c r="C12" s="204" t="n"/>
      <c r="D12" s="204" t="n"/>
      <c r="E12" s="204" t="n"/>
      <c r="F12" s="204" t="n"/>
      <c r="G12" s="204" t="n"/>
      <c r="H12" s="205" t="n"/>
      <c r="I12" s="188" t="n"/>
      <c r="J12" s="188" t="n"/>
    </row>
    <row r="13" ht="31.7" customFormat="1" customHeight="1" s="148">
      <c r="A13" s="180" t="n">
        <v>1</v>
      </c>
      <c r="B13" s="180" t="inlineStr">
        <is>
          <t>1-100-33</t>
        </is>
      </c>
      <c r="C13" s="181" t="inlineStr">
        <is>
          <t>Затраты труда рабочих (Средний разряд работы 3,3)</t>
        </is>
      </c>
      <c r="D13" s="180" t="inlineStr">
        <is>
          <t>чел.-ч</t>
        </is>
      </c>
      <c r="E13" s="180" t="n">
        <v>7661.8905191874</v>
      </c>
      <c r="F13" s="185" t="n">
        <v>8.859999999999999</v>
      </c>
      <c r="G13" s="185">
        <f>ROUND(E13*F13,2)</f>
        <v/>
      </c>
      <c r="H13" s="43">
        <f>G13/G14</f>
        <v/>
      </c>
      <c r="I13" s="185">
        <f>ФОТр.тек.!E13</f>
        <v/>
      </c>
      <c r="J13" s="185">
        <f>ROUND(E13*I13,2)</f>
        <v/>
      </c>
    </row>
    <row r="14" ht="31.7" customFormat="1" customHeight="1" s="148">
      <c r="A14" s="180" t="n"/>
      <c r="B14" s="180" t="n"/>
      <c r="C14" s="181" t="inlineStr">
        <is>
          <t>Итого по разделу "Затраты труда рабочих-строителей"</t>
        </is>
      </c>
      <c r="D14" s="180" t="inlineStr">
        <is>
          <t>чел.-ч</t>
        </is>
      </c>
      <c r="E14" s="180">
        <f>SUM(E13:E13)</f>
        <v/>
      </c>
      <c r="F14" s="185" t="n"/>
      <c r="G14" s="185">
        <f>SUM(G13:G13)</f>
        <v/>
      </c>
      <c r="H14" s="43" t="n">
        <v>1</v>
      </c>
      <c r="I14" s="185" t="n"/>
      <c r="J14" s="185">
        <f>SUM(J13:J13)</f>
        <v/>
      </c>
    </row>
    <row r="15" ht="15.75" customFormat="1" customHeight="1" s="148">
      <c r="A15" s="180" t="n"/>
      <c r="B15" s="180" t="inlineStr">
        <is>
          <t>Затраты труда машинистов</t>
        </is>
      </c>
      <c r="C15" s="204" t="n"/>
      <c r="D15" s="204" t="n"/>
      <c r="E15" s="204" t="n"/>
      <c r="F15" s="204" t="n"/>
      <c r="G15" s="204" t="n"/>
      <c r="H15" s="205" t="n"/>
      <c r="I15" s="185" t="n"/>
      <c r="J15" s="185" t="n"/>
    </row>
    <row r="16" ht="15.75" customFormat="1" customHeight="1" s="148">
      <c r="A16" s="180" t="n">
        <v>2</v>
      </c>
      <c r="B16" s="180" t="n">
        <v>2</v>
      </c>
      <c r="C16" s="181" t="inlineStr">
        <is>
          <t>Затраты труда машинистов</t>
        </is>
      </c>
      <c r="D16" s="180" t="inlineStr">
        <is>
          <t>чел.-ч</t>
        </is>
      </c>
      <c r="E16" s="180" t="n">
        <v>632.86563</v>
      </c>
      <c r="F16" s="185" t="n">
        <v>13.19</v>
      </c>
      <c r="G16" s="185">
        <f>ROUND(E16*F16,2)</f>
        <v/>
      </c>
      <c r="H16" s="43" t="n">
        <v>1</v>
      </c>
      <c r="I16" s="185">
        <f>ROUND(F16*Прил.10!$D$10,2)</f>
        <v/>
      </c>
      <c r="J16" s="185">
        <f>ROUND(E16*I16,2)</f>
        <v/>
      </c>
    </row>
    <row r="17" ht="15.75" customFormat="1" customHeight="1" s="148">
      <c r="A17" s="180" t="n"/>
      <c r="B17" s="179" t="inlineStr">
        <is>
          <t>Машины и механизмы</t>
        </is>
      </c>
      <c r="C17" s="204" t="n"/>
      <c r="D17" s="204" t="n"/>
      <c r="E17" s="204" t="n"/>
      <c r="F17" s="204" t="n"/>
      <c r="G17" s="204" t="n"/>
      <c r="H17" s="205" t="n"/>
      <c r="I17" s="185" t="n"/>
      <c r="J17" s="185" t="n"/>
    </row>
    <row r="18" ht="15.75" customFormat="1" customHeight="1" s="148">
      <c r="A18" s="180" t="n"/>
      <c r="B18" s="180" t="inlineStr">
        <is>
          <t>Основные Машины и механизмы</t>
        </is>
      </c>
      <c r="C18" s="204" t="n"/>
      <c r="D18" s="204" t="n"/>
      <c r="E18" s="204" t="n"/>
      <c r="F18" s="204" t="n"/>
      <c r="G18" s="204" t="n"/>
      <c r="H18" s="205" t="n"/>
      <c r="I18" s="185" t="n"/>
      <c r="J18" s="185" t="n"/>
    </row>
    <row r="19" ht="31.7" customFormat="1" customHeight="1" s="148">
      <c r="A19" s="180" t="n">
        <v>3</v>
      </c>
      <c r="B19" s="186" t="inlineStr">
        <is>
          <t>91.05.05-015</t>
        </is>
      </c>
      <c r="C19" s="196" t="inlineStr">
        <is>
          <t>Краны на автомобильном ходу, грузоподъемность 16 т</t>
        </is>
      </c>
      <c r="D19" s="199" t="inlineStr">
        <is>
          <t>маш.час</t>
        </is>
      </c>
      <c r="E19" s="197" t="n">
        <v>260.4832</v>
      </c>
      <c r="F19" s="48" t="n">
        <v>115.4</v>
      </c>
      <c r="G19" s="48">
        <f>ROUND(E19*F19,2)</f>
        <v/>
      </c>
      <c r="H19" s="43">
        <f>G19/G55</f>
        <v/>
      </c>
      <c r="I19" s="185">
        <f>ROUND(F19*Прил.10!$D$11,2)</f>
        <v/>
      </c>
      <c r="J19" s="185">
        <f>ROUND(E19*I19,2)</f>
        <v/>
      </c>
    </row>
    <row r="20" ht="31.7" customFormat="1" customHeight="1" s="148">
      <c r="A20" s="180" t="n">
        <v>4</v>
      </c>
      <c r="B20" s="186" t="inlineStr">
        <is>
          <t>91.05.06-007</t>
        </is>
      </c>
      <c r="C20" s="196" t="inlineStr">
        <is>
          <t>Краны на гусеничном ходу, грузоподъемность 25 т</t>
        </is>
      </c>
      <c r="D20" s="199" t="inlineStr">
        <is>
          <t>маш.час</t>
        </is>
      </c>
      <c r="E20" s="197" t="n">
        <v>120.31914</v>
      </c>
      <c r="F20" s="48" t="n">
        <v>120.04</v>
      </c>
      <c r="G20" s="48">
        <f>ROUND(E20*F20,2)</f>
        <v/>
      </c>
      <c r="H20" s="43">
        <f>G20/G55</f>
        <v/>
      </c>
      <c r="I20" s="185">
        <f>ROUND(F20*Прил.10!$D$11,2)</f>
        <v/>
      </c>
      <c r="J20" s="185">
        <f>ROUND(E20*I20,2)</f>
        <v/>
      </c>
    </row>
    <row r="21" ht="15.75" customFormat="1" customHeight="1" s="148">
      <c r="A21" s="180" t="n">
        <v>5</v>
      </c>
      <c r="B21" s="186" t="inlineStr">
        <is>
          <t>91.19.08-004</t>
        </is>
      </c>
      <c r="C21" s="196" t="inlineStr">
        <is>
          <t>Насосы, мощность 4 кВт</t>
        </is>
      </c>
      <c r="D21" s="199" t="inlineStr">
        <is>
          <t>маш.час</t>
        </is>
      </c>
      <c r="E21" s="197" t="n">
        <v>2924</v>
      </c>
      <c r="F21" s="48" t="n">
        <v>2.96</v>
      </c>
      <c r="G21" s="48">
        <f>ROUND(E21*F21,2)</f>
        <v/>
      </c>
      <c r="H21" s="43">
        <f>G21/G55</f>
        <v/>
      </c>
      <c r="I21" s="185">
        <f>ROUND(F21*Прил.10!$D$11,2)</f>
        <v/>
      </c>
      <c r="J21" s="185">
        <f>ROUND(E21*I21,2)</f>
        <v/>
      </c>
    </row>
    <row r="22" ht="47.25" customFormat="1" customHeight="1" s="148">
      <c r="A22" s="180" t="n">
        <v>6</v>
      </c>
      <c r="B22" s="186" t="inlineStr">
        <is>
          <t>91.01.05-085</t>
        </is>
      </c>
      <c r="C22" s="196" t="inlineStr">
        <is>
          <t>Экскаваторы одноковшовые дизельные на гусеничном ходу, емкость ковша 0,5 м3</t>
        </is>
      </c>
      <c r="D22" s="199" t="inlineStr">
        <is>
          <t>маш.час</t>
        </is>
      </c>
      <c r="E22" s="197" t="n">
        <v>84.20140000000001</v>
      </c>
      <c r="F22" s="48" t="n">
        <v>100</v>
      </c>
      <c r="G22" s="48">
        <f>ROUND(E22*F22,2)</f>
        <v/>
      </c>
      <c r="H22" s="43">
        <f>G22/G55</f>
        <v/>
      </c>
      <c r="I22" s="185">
        <f>ROUND(F22*Прил.10!$D$11,2)</f>
        <v/>
      </c>
      <c r="J22" s="185">
        <f>ROUND(E22*I22,2)</f>
        <v/>
      </c>
    </row>
    <row r="23" ht="63" customFormat="1" customHeight="1" s="148">
      <c r="A23" s="180" t="n">
        <v>7</v>
      </c>
      <c r="B23" s="186" t="inlineStr">
        <is>
          <t>91.18.01-007</t>
        </is>
      </c>
      <c r="C23" s="1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199" t="inlineStr">
        <is>
          <t>маш.час</t>
        </is>
      </c>
      <c r="E23" s="197" t="n">
        <v>40.17734</v>
      </c>
      <c r="F23" s="48" t="n">
        <v>90</v>
      </c>
      <c r="G23" s="48">
        <f>ROUND(E23*F23,2)</f>
        <v/>
      </c>
      <c r="H23" s="43">
        <f>G23/G55</f>
        <v/>
      </c>
      <c r="I23" s="185">
        <f>ROUND(F23*Прил.10!$D$11,2)</f>
        <v/>
      </c>
      <c r="J23" s="185">
        <f>ROUND(E23*I23,2)</f>
        <v/>
      </c>
    </row>
    <row r="24" ht="31.7" customFormat="1" customHeight="1" s="148">
      <c r="A24" s="180" t="n">
        <v>8</v>
      </c>
      <c r="B24" s="186" t="inlineStr">
        <is>
          <t>91.05.14-023</t>
        </is>
      </c>
      <c r="C24" s="196" t="inlineStr">
        <is>
          <t>Краны на тракторе, мощность 121 кВт (165 л.с.), грузоподъемность 5 т</t>
        </is>
      </c>
      <c r="D24" s="199" t="inlineStr">
        <is>
          <t>маш.час</t>
        </is>
      </c>
      <c r="E24" s="197" t="n">
        <v>16.416</v>
      </c>
      <c r="F24" s="48" t="n">
        <v>182.8</v>
      </c>
      <c r="G24" s="48">
        <f>ROUND(E24*F24,2)</f>
        <v/>
      </c>
      <c r="H24" s="43">
        <f>G24/G55</f>
        <v/>
      </c>
      <c r="I24" s="185">
        <f>ROUND(F24*Прил.10!$D$11,2)</f>
        <v/>
      </c>
      <c r="J24" s="185">
        <f>ROUND(E24*I24,2)</f>
        <v/>
      </c>
    </row>
    <row r="25" ht="31.7" customFormat="1" customHeight="1" s="148">
      <c r="A25" s="180" t="n">
        <v>9</v>
      </c>
      <c r="B25" s="186" t="inlineStr">
        <is>
          <t>91.14.02-001</t>
        </is>
      </c>
      <c r="C25" s="196" t="inlineStr">
        <is>
          <t>Автомобили бортовые, грузоподъемность до 5 т</t>
        </is>
      </c>
      <c r="D25" s="199" t="inlineStr">
        <is>
          <t>маш.час</t>
        </is>
      </c>
      <c r="E25" s="197" t="n">
        <v>29.2581</v>
      </c>
      <c r="F25" s="48" t="n">
        <v>65.70999999999999</v>
      </c>
      <c r="G25" s="48">
        <f>ROUND(E25*F25,2)</f>
        <v/>
      </c>
      <c r="H25" s="43">
        <f>G25/G55</f>
        <v/>
      </c>
      <c r="I25" s="185">
        <f>ROUND(F25*Прил.10!$D$11,2)</f>
        <v/>
      </c>
      <c r="J25" s="185">
        <f>ROUND(E25*I25,2)</f>
        <v/>
      </c>
    </row>
    <row r="26" ht="15.75" customFormat="1" customHeight="1" s="148">
      <c r="A26" s="180" t="n"/>
      <c r="B26" s="186" t="inlineStr">
        <is>
          <t>Итого основные Машины и механизмы</t>
        </is>
      </c>
      <c r="C26" s="204" t="n"/>
      <c r="D26" s="204" t="n"/>
      <c r="E26" s="204" t="n"/>
      <c r="F26" s="205" t="n"/>
      <c r="G26" s="48">
        <f>SUM(G19:G25)</f>
        <v/>
      </c>
      <c r="H26" s="43">
        <f>SUM(H19:H25)</f>
        <v/>
      </c>
      <c r="I26" s="185" t="n"/>
      <c r="J26" s="185">
        <f>SUM(J19:J25)</f>
        <v/>
      </c>
    </row>
    <row r="27" outlineLevel="1" ht="15.75" customFormat="1" customHeight="1" s="148">
      <c r="A27" s="180" t="n">
        <v>10</v>
      </c>
      <c r="B27" s="186" t="inlineStr">
        <is>
          <t>91.08.04-021</t>
        </is>
      </c>
      <c r="C27" s="196" t="inlineStr">
        <is>
          <t>Котлы битумные передвижные 400 л</t>
        </is>
      </c>
      <c r="D27" s="199" t="inlineStr">
        <is>
          <t>маш.час</t>
        </is>
      </c>
      <c r="E27" s="197" t="n">
        <v>56.732</v>
      </c>
      <c r="F27" s="48" t="n">
        <v>30</v>
      </c>
      <c r="G27" s="48">
        <f>ROUND(E27*F27,2)</f>
        <v/>
      </c>
      <c r="H27" s="43">
        <f>G27/G55</f>
        <v/>
      </c>
      <c r="I27" s="185">
        <f>ROUND(F27*Прил.10!$D$11,2)</f>
        <v/>
      </c>
      <c r="J27" s="185">
        <f>ROUND(E27*I27,2)</f>
        <v/>
      </c>
    </row>
    <row r="28" outlineLevel="1" ht="31.7" customFormat="1" customHeight="1" s="148">
      <c r="A28" s="180" t="n">
        <v>11</v>
      </c>
      <c r="B28" s="186" t="inlineStr">
        <is>
          <t>91.14.02-002</t>
        </is>
      </c>
      <c r="C28" s="196" t="inlineStr">
        <is>
          <t>Автомобили бортовые, грузоподъемность до 8 т</t>
        </is>
      </c>
      <c r="D28" s="199" t="inlineStr">
        <is>
          <t>маш.час</t>
        </is>
      </c>
      <c r="E28" s="197" t="n">
        <v>18.151896</v>
      </c>
      <c r="F28" s="48" t="n">
        <v>85.84</v>
      </c>
      <c r="G28" s="48">
        <f>ROUND(E28*F28,2)</f>
        <v/>
      </c>
      <c r="H28" s="43">
        <f>G28/G55</f>
        <v/>
      </c>
      <c r="I28" s="185">
        <f>ROUND(F28*Прил.10!$D$11,2)</f>
        <v/>
      </c>
      <c r="J28" s="185">
        <f>ROUND(E28*I28,2)</f>
        <v/>
      </c>
    </row>
    <row r="29" outlineLevel="1" ht="31.7" customFormat="1" customHeight="1" s="148">
      <c r="A29" s="180" t="n">
        <v>12</v>
      </c>
      <c r="B29" s="186" t="inlineStr">
        <is>
          <t>91.01.01-035</t>
        </is>
      </c>
      <c r="C29" s="196" t="inlineStr">
        <is>
          <t>Бульдозеры, мощность 79 кВт (108 л.с.)</t>
        </is>
      </c>
      <c r="D29" s="199" t="inlineStr">
        <is>
          <t>маш.час</t>
        </is>
      </c>
      <c r="E29" s="197" t="n">
        <v>19.59055</v>
      </c>
      <c r="F29" s="48" t="n">
        <v>79.06999999999999</v>
      </c>
      <c r="G29" s="48">
        <f>ROUND(E29*F29,2)</f>
        <v/>
      </c>
      <c r="H29" s="43">
        <f>G29/G55</f>
        <v/>
      </c>
      <c r="I29" s="185">
        <f>ROUND(F29*Прил.10!$D$11,2)</f>
        <v/>
      </c>
      <c r="J29" s="185">
        <f>ROUND(E29*I29,2)</f>
        <v/>
      </c>
    </row>
    <row r="30" outlineLevel="1" ht="47.25" customFormat="1" customHeight="1" s="148">
      <c r="A30" s="180" t="n">
        <v>13</v>
      </c>
      <c r="B30" s="186" t="inlineStr">
        <is>
          <t>91.17.04-036</t>
        </is>
      </c>
      <c r="C30" s="196" t="inlineStr">
        <is>
          <t>Агрегаты сварочные передвижные с дизельным двигателем, номинальный сварочный ток 250-400 А</t>
        </is>
      </c>
      <c r="D30" s="199" t="inlineStr">
        <is>
          <t>маш.час</t>
        </is>
      </c>
      <c r="E30" s="197" t="n">
        <v>61.4741</v>
      </c>
      <c r="F30" s="48" t="n">
        <v>14</v>
      </c>
      <c r="G30" s="48">
        <f>ROUND(E30*F30,2)</f>
        <v/>
      </c>
      <c r="H30" s="43">
        <f>G30/G55</f>
        <v/>
      </c>
      <c r="I30" s="185">
        <f>ROUND(F30*Прил.10!$D$11,2)</f>
        <v/>
      </c>
      <c r="J30" s="185">
        <f>ROUND(E30*I30,2)</f>
        <v/>
      </c>
    </row>
    <row r="31" outlineLevel="1" ht="15.75" customFormat="1" customHeight="1" s="148">
      <c r="A31" s="180" t="n">
        <v>14</v>
      </c>
      <c r="B31" s="186" t="inlineStr">
        <is>
          <t>91.06.05-011</t>
        </is>
      </c>
      <c r="C31" s="196" t="inlineStr">
        <is>
          <t>Погрузчики, грузоподъемность 5 т</t>
        </is>
      </c>
      <c r="D31" s="199" t="inlineStr">
        <is>
          <t>маш.час</t>
        </is>
      </c>
      <c r="E31" s="197" t="n">
        <v>9.216480000000001</v>
      </c>
      <c r="F31" s="48" t="n">
        <v>89.98999999999999</v>
      </c>
      <c r="G31" s="48">
        <f>ROUND(E31*F31,2)</f>
        <v/>
      </c>
      <c r="H31" s="43">
        <f>G31/G55</f>
        <v/>
      </c>
      <c r="I31" s="185">
        <f>ROUND(F31*Прил.10!$D$11,2)</f>
        <v/>
      </c>
      <c r="J31" s="185">
        <f>ROUND(E31*I31,2)</f>
        <v/>
      </c>
    </row>
    <row r="32" outlineLevel="1" ht="15.75" customFormat="1" customHeight="1" s="148">
      <c r="A32" s="180" t="n">
        <v>15</v>
      </c>
      <c r="B32" s="186" t="inlineStr">
        <is>
          <t>91.01.01-034</t>
        </is>
      </c>
      <c r="C32" s="196" t="inlineStr">
        <is>
          <t>Бульдозеры, мощность 59 кВт (80 л.с.)</t>
        </is>
      </c>
      <c r="D32" s="199" t="inlineStr">
        <is>
          <t>маш.час</t>
        </is>
      </c>
      <c r="E32" s="197" t="n">
        <v>11.82328</v>
      </c>
      <c r="F32" s="48" t="n">
        <v>59.47</v>
      </c>
      <c r="G32" s="48">
        <f>ROUND(E32*F32,2)</f>
        <v/>
      </c>
      <c r="H32" s="43">
        <f>G32/G55</f>
        <v/>
      </c>
      <c r="I32" s="185">
        <f>ROUND(F32*Прил.10!$D$11,2)</f>
        <v/>
      </c>
      <c r="J32" s="185">
        <f>ROUND(E32*I32,2)</f>
        <v/>
      </c>
    </row>
    <row r="33" outlineLevel="1" ht="31.7" customFormat="1" customHeight="1" s="148">
      <c r="A33" s="180" t="n">
        <v>16</v>
      </c>
      <c r="B33" s="186" t="inlineStr">
        <is>
          <t>91.05.02-005</t>
        </is>
      </c>
      <c r="C33" s="196" t="inlineStr">
        <is>
          <t>Краны козловые, грузоподъемность 32 т</t>
        </is>
      </c>
      <c r="D33" s="199" t="inlineStr">
        <is>
          <t>маш.час</t>
        </is>
      </c>
      <c r="E33" s="197" t="n">
        <v>5.84268</v>
      </c>
      <c r="F33" s="48" t="n">
        <v>120.24</v>
      </c>
      <c r="G33" s="48">
        <f>ROUND(E33*F33,2)</f>
        <v/>
      </c>
      <c r="H33" s="43">
        <f>G33/G55</f>
        <v/>
      </c>
      <c r="I33" s="185">
        <f>ROUND(F33*Прил.10!$D$11,2)</f>
        <v/>
      </c>
      <c r="J33" s="185">
        <f>ROUND(E33*I33,2)</f>
        <v/>
      </c>
    </row>
    <row r="34" outlineLevel="1" ht="31.7" customFormat="1" customHeight="1" s="148">
      <c r="A34" s="180" t="n">
        <v>17</v>
      </c>
      <c r="B34" s="186" t="inlineStr">
        <is>
          <t>91.13.03-111</t>
        </is>
      </c>
      <c r="C34" s="196" t="inlineStr">
        <is>
          <t>Спецавтомобили-вездеходы, грузоподъемность до 8 т</t>
        </is>
      </c>
      <c r="D34" s="199" t="inlineStr">
        <is>
          <t>маш.час</t>
        </is>
      </c>
      <c r="E34" s="197" t="n">
        <v>3.312</v>
      </c>
      <c r="F34" s="48" t="n">
        <v>189.95</v>
      </c>
      <c r="G34" s="48">
        <f>ROUND(E34*F34,2)</f>
        <v/>
      </c>
      <c r="H34" s="43">
        <f>G34/G55</f>
        <v/>
      </c>
      <c r="I34" s="185">
        <f>ROUND(F34*Прил.10!$D$11,2)</f>
        <v/>
      </c>
      <c r="J34" s="185">
        <f>ROUND(E34*I34,2)</f>
        <v/>
      </c>
    </row>
    <row r="35" outlineLevel="1" ht="31.7" customFormat="1" customHeight="1" s="148">
      <c r="A35" s="180" t="n">
        <v>18</v>
      </c>
      <c r="B35" s="186" t="inlineStr">
        <is>
          <t>91.21.22-638</t>
        </is>
      </c>
      <c r="C35" s="196" t="inlineStr">
        <is>
          <t>Пылесосы промышленные, мощность до 2000 Вт</t>
        </is>
      </c>
      <c r="D35" s="199" t="inlineStr">
        <is>
          <t>маш.час</t>
        </is>
      </c>
      <c r="E35" s="197" t="n">
        <v>172.56</v>
      </c>
      <c r="F35" s="48" t="n">
        <v>3.29</v>
      </c>
      <c r="G35" s="48">
        <f>ROUND(E35*F35,2)</f>
        <v/>
      </c>
      <c r="H35" s="43">
        <f>G35/G55</f>
        <v/>
      </c>
      <c r="I35" s="185">
        <f>ROUND(F35*Прил.10!$D$11,2)</f>
        <v/>
      </c>
      <c r="J35" s="185">
        <f>ROUND(E35*I35,2)</f>
        <v/>
      </c>
    </row>
    <row r="36" outlineLevel="1" ht="47.25" customFormat="1" customHeight="1" s="148">
      <c r="A36" s="180" t="n">
        <v>19</v>
      </c>
      <c r="B36" s="186" t="inlineStr">
        <is>
          <t>91.17.04-171</t>
        </is>
      </c>
      <c r="C36" s="196" t="inlineStr">
        <is>
          <t>Преобразователи сварочные номинальным сварочным током 315-500 А</t>
        </is>
      </c>
      <c r="D36" s="199" t="inlineStr">
        <is>
          <t>маш.час</t>
        </is>
      </c>
      <c r="E36" s="197" t="n">
        <v>37.026</v>
      </c>
      <c r="F36" s="48" t="n">
        <v>12.31</v>
      </c>
      <c r="G36" s="48">
        <f>ROUND(E36*F36,2)</f>
        <v/>
      </c>
      <c r="H36" s="43">
        <f>G36/G55</f>
        <v/>
      </c>
      <c r="I36" s="185">
        <f>ROUND(F36*Прил.10!$D$11,2)</f>
        <v/>
      </c>
      <c r="J36" s="185">
        <f>ROUND(E36*I36,2)</f>
        <v/>
      </c>
    </row>
    <row r="37" outlineLevel="1" ht="47.25" customFormat="1" customHeight="1" s="148">
      <c r="A37" s="180" t="n">
        <v>20</v>
      </c>
      <c r="B37" s="186" t="inlineStr">
        <is>
          <t>91.06.06-048</t>
        </is>
      </c>
      <c r="C37" s="196" t="inlineStr">
        <is>
          <t>Подъемники одномачтовые, грузоподъемность до 500 кг, высота подъема 45 м</t>
        </is>
      </c>
      <c r="D37" s="199" t="inlineStr">
        <is>
          <t>маш.час</t>
        </is>
      </c>
      <c r="E37" s="197" t="n">
        <v>10.9512</v>
      </c>
      <c r="F37" s="48" t="n">
        <v>31.26</v>
      </c>
      <c r="G37" s="48">
        <f>ROUND(E37*F37,2)</f>
        <v/>
      </c>
      <c r="H37" s="43">
        <f>G37/G55</f>
        <v/>
      </c>
      <c r="I37" s="185">
        <f>ROUND(F37*Прил.10!$D$11,2)</f>
        <v/>
      </c>
      <c r="J37" s="185">
        <f>ROUND(E37*I37,2)</f>
        <v/>
      </c>
    </row>
    <row r="38" outlineLevel="1" ht="31.7" customFormat="1" customHeight="1" s="148">
      <c r="A38" s="180" t="n">
        <v>21</v>
      </c>
      <c r="B38" s="186" t="inlineStr">
        <is>
          <t>91.05.08-007</t>
        </is>
      </c>
      <c r="C38" s="196" t="inlineStr">
        <is>
          <t>Краны на пневмоколесном ходу, грузоподъемность 25 т</t>
        </is>
      </c>
      <c r="D38" s="199" t="inlineStr">
        <is>
          <t>маш.час</t>
        </is>
      </c>
      <c r="E38" s="197" t="n">
        <v>1.958904</v>
      </c>
      <c r="F38" s="48" t="n">
        <v>102.51</v>
      </c>
      <c r="G38" s="48">
        <f>ROUND(E38*F38,2)</f>
        <v/>
      </c>
      <c r="H38" s="43">
        <f>G38/G55</f>
        <v/>
      </c>
      <c r="I38" s="185">
        <f>ROUND(F38*Прил.10!$D$11,2)</f>
        <v/>
      </c>
      <c r="J38" s="185">
        <f>ROUND(E38*I38,2)</f>
        <v/>
      </c>
    </row>
    <row r="39" outlineLevel="1" ht="47.25" customFormat="1" customHeight="1" s="148">
      <c r="A39" s="180" t="n">
        <v>22</v>
      </c>
      <c r="B39" s="186" t="inlineStr">
        <is>
          <t>91.18.01-508</t>
        </is>
      </c>
      <c r="C39" s="196" t="inlineStr">
        <is>
          <t>Компрессоры передвижные с электродвигателем, производительность до 5,0 м3/мин</t>
        </is>
      </c>
      <c r="D39" s="199" t="inlineStr">
        <is>
          <t>маш.час</t>
        </is>
      </c>
      <c r="E39" s="197" t="n">
        <v>1.8676</v>
      </c>
      <c r="F39" s="48" t="n">
        <v>48.81</v>
      </c>
      <c r="G39" s="48">
        <f>ROUND(E39*F39,2)</f>
        <v/>
      </c>
      <c r="H39" s="43">
        <f>G39/G55</f>
        <v/>
      </c>
      <c r="I39" s="185">
        <f>ROUND(F39*Прил.10!$D$11,2)</f>
        <v/>
      </c>
      <c r="J39" s="185">
        <f>ROUND(E39*I39,2)</f>
        <v/>
      </c>
    </row>
    <row r="40" outlineLevel="1" ht="31.7" customFormat="1" customHeight="1" s="148">
      <c r="A40" s="180" t="n">
        <v>23</v>
      </c>
      <c r="B40" s="186" t="inlineStr">
        <is>
          <t>91.05.01-017</t>
        </is>
      </c>
      <c r="C40" s="196" t="inlineStr">
        <is>
          <t>Краны башенные, грузоподъемность 8 т</t>
        </is>
      </c>
      <c r="D40" s="199" t="inlineStr">
        <is>
          <t>маш.час</t>
        </is>
      </c>
      <c r="E40" s="197" t="n">
        <v>0.828</v>
      </c>
      <c r="F40" s="48" t="n">
        <v>86.40000000000001</v>
      </c>
      <c r="G40" s="48">
        <f>ROUND(E40*F40,2)</f>
        <v/>
      </c>
      <c r="H40" s="43">
        <f>G40/G55</f>
        <v/>
      </c>
      <c r="I40" s="185">
        <f>ROUND(F40*Прил.10!$D$11,2)</f>
        <v/>
      </c>
      <c r="J40" s="185">
        <f>ROUND(E40*I40,2)</f>
        <v/>
      </c>
    </row>
    <row r="41" outlineLevel="1" ht="47.25" customFormat="1" customHeight="1" s="148">
      <c r="A41" s="180" t="n">
        <v>24</v>
      </c>
      <c r="B41" s="186" t="inlineStr">
        <is>
          <t>91.21.01-012</t>
        </is>
      </c>
      <c r="C41" s="196" t="inlineStr">
        <is>
          <t>Агрегаты окрасочные высокого давления для окраски поверхностей конструкций, мощность 1 кВт</t>
        </is>
      </c>
      <c r="D41" s="199" t="inlineStr">
        <is>
          <t>маш.час</t>
        </is>
      </c>
      <c r="E41" s="197" t="n">
        <v>9.89184</v>
      </c>
      <c r="F41" s="48" t="n">
        <v>6.82</v>
      </c>
      <c r="G41" s="48">
        <f>ROUND(E41*F41,2)</f>
        <v/>
      </c>
      <c r="H41" s="43">
        <f>G41/G55</f>
        <v/>
      </c>
      <c r="I41" s="185">
        <f>ROUND(F41*Прил.10!$D$11,2)</f>
        <v/>
      </c>
      <c r="J41" s="185">
        <f>ROUND(E41*I41,2)</f>
        <v/>
      </c>
    </row>
    <row r="42" outlineLevel="1" ht="47.25" customFormat="1" customHeight="1" s="148">
      <c r="A42" s="180" t="n">
        <v>25</v>
      </c>
      <c r="B42" s="186" t="inlineStr">
        <is>
          <t>91.08.09-023</t>
        </is>
      </c>
      <c r="C42" s="196" t="inlineStr">
        <is>
          <t>Трамбовки пневматические при работе от передвижных компрессорных станций</t>
        </is>
      </c>
      <c r="D42" s="199" t="inlineStr">
        <is>
          <t>маш.час</t>
        </is>
      </c>
      <c r="E42" s="197" t="n">
        <v>103.089</v>
      </c>
      <c r="F42" s="48" t="n">
        <v>0.55</v>
      </c>
      <c r="G42" s="48">
        <f>ROUND(E42*F42,2)</f>
        <v/>
      </c>
      <c r="H42" s="43">
        <f>G42/G55</f>
        <v/>
      </c>
      <c r="I42" s="185">
        <f>ROUND(F42*Прил.10!$D$11,2)</f>
        <v/>
      </c>
      <c r="J42" s="185">
        <f>ROUND(E42*I42,2)</f>
        <v/>
      </c>
    </row>
    <row r="43" outlineLevel="1" ht="47.25" customFormat="1" customHeight="1" s="148">
      <c r="A43" s="180" t="n">
        <v>26</v>
      </c>
      <c r="B43" s="186" t="inlineStr">
        <is>
          <t>91.21.10-003</t>
        </is>
      </c>
      <c r="C43" s="196" t="inlineStr">
        <is>
          <t>Молотки при работе от передвижных компрессорных станций отбойные пневматические</t>
        </is>
      </c>
      <c r="D43" s="199" t="inlineStr">
        <is>
          <t>маш.час</t>
        </is>
      </c>
      <c r="E43" s="197" t="n">
        <v>32.5329</v>
      </c>
      <c r="F43" s="48" t="n">
        <v>1.53</v>
      </c>
      <c r="G43" s="48">
        <f>ROUND(E43*F43,2)</f>
        <v/>
      </c>
      <c r="H43" s="43">
        <f>G43/G55</f>
        <v/>
      </c>
      <c r="I43" s="185">
        <f>ROUND(F43*Прил.10!$D$11,2)</f>
        <v/>
      </c>
      <c r="J43" s="185">
        <f>ROUND(E43*I43,2)</f>
        <v/>
      </c>
    </row>
    <row r="44" outlineLevel="1" ht="15.75" customFormat="1" customHeight="1" s="148">
      <c r="A44" s="180" t="n">
        <v>27</v>
      </c>
      <c r="B44" s="186" t="inlineStr">
        <is>
          <t>91.17.04-042</t>
        </is>
      </c>
      <c r="C44" s="196" t="inlineStr">
        <is>
          <t>Аппараты для газовой сварки и резки</t>
        </is>
      </c>
      <c r="D44" s="199" t="inlineStr">
        <is>
          <t>маш.час</t>
        </is>
      </c>
      <c r="E44" s="197" t="n">
        <v>32.55516</v>
      </c>
      <c r="F44" s="48" t="n">
        <v>1.2</v>
      </c>
      <c r="G44" s="48">
        <f>ROUND(E44*F44,2)</f>
        <v/>
      </c>
      <c r="H44" s="43">
        <f>G44/G55</f>
        <v/>
      </c>
      <c r="I44" s="185">
        <f>ROUND(F44*Прил.10!$D$11,2)</f>
        <v/>
      </c>
      <c r="J44" s="185">
        <f>ROUND(E44*I44,2)</f>
        <v/>
      </c>
    </row>
    <row r="45" outlineLevel="1" ht="31.7" customFormat="1" customHeight="1" s="148">
      <c r="A45" s="180" t="n">
        <v>28</v>
      </c>
      <c r="B45" s="186" t="inlineStr">
        <is>
          <t>91.08.09-024</t>
        </is>
      </c>
      <c r="C45" s="196" t="inlineStr">
        <is>
          <t>Трамбовки пневматические при работе от стационарного компрессора</t>
        </is>
      </c>
      <c r="D45" s="199" t="inlineStr">
        <is>
          <t>маш.час</t>
        </is>
      </c>
      <c r="E45" s="197" t="n">
        <v>6.54</v>
      </c>
      <c r="F45" s="48" t="n">
        <v>4.91</v>
      </c>
      <c r="G45" s="48">
        <f>ROUND(E45*F45,2)</f>
        <v/>
      </c>
      <c r="H45" s="43">
        <f>G45/G55</f>
        <v/>
      </c>
      <c r="I45" s="185">
        <f>ROUND(F45*Прил.10!$D$11,2)</f>
        <v/>
      </c>
      <c r="J45" s="185">
        <f>ROUND(E45*I45,2)</f>
        <v/>
      </c>
    </row>
    <row r="46" outlineLevel="1" ht="63" customFormat="1" customHeight="1" s="148">
      <c r="A46" s="180" t="n">
        <v>29</v>
      </c>
      <c r="B46" s="186" t="inlineStr">
        <is>
          <t>91.06.05-057</t>
        </is>
      </c>
      <c r="C46" s="196" t="inlineStr">
        <is>
          <t>Погрузчики одноковшовые универсальные фронтальные пневмоколесные, грузоподъемность 3 т</t>
        </is>
      </c>
      <c r="D46" s="199" t="inlineStr">
        <is>
          <t>маш.час</t>
        </is>
      </c>
      <c r="E46" s="197" t="n">
        <v>0.112</v>
      </c>
      <c r="F46" s="48" t="n">
        <v>90.40000000000001</v>
      </c>
      <c r="G46" s="48">
        <f>ROUND(E46*F46,2)</f>
        <v/>
      </c>
      <c r="H46" s="43">
        <f>G46/G55</f>
        <v/>
      </c>
      <c r="I46" s="185">
        <f>ROUND(F46*Прил.10!$D$11,2)</f>
        <v/>
      </c>
      <c r="J46" s="185">
        <f>ROUND(E46*I46,2)</f>
        <v/>
      </c>
    </row>
    <row r="47" outlineLevel="1" ht="31.7" customFormat="1" customHeight="1" s="148">
      <c r="A47" s="180" t="n">
        <v>30</v>
      </c>
      <c r="B47" s="186" t="inlineStr">
        <is>
          <t>91.14.03-001</t>
        </is>
      </c>
      <c r="C47" s="196" t="inlineStr">
        <is>
          <t>Автомобили-самосвалы, грузоподъемность до 7 т</t>
        </is>
      </c>
      <c r="D47" s="199" t="inlineStr">
        <is>
          <t>маш.час</t>
        </is>
      </c>
      <c r="E47" s="197" t="n">
        <v>0.1004</v>
      </c>
      <c r="F47" s="48" t="n">
        <v>89.54000000000001</v>
      </c>
      <c r="G47" s="48">
        <f>ROUND(E47*F47,2)</f>
        <v/>
      </c>
      <c r="H47" s="43">
        <f>G47/G55</f>
        <v/>
      </c>
      <c r="I47" s="185">
        <f>ROUND(F47*Прил.10!$D$11,2)</f>
        <v/>
      </c>
      <c r="J47" s="185">
        <f>ROUND(E47*I47,2)</f>
        <v/>
      </c>
    </row>
    <row r="48" outlineLevel="1" ht="31.7" customFormat="1" customHeight="1" s="148">
      <c r="A48" s="180" t="n">
        <v>31</v>
      </c>
      <c r="B48" s="186" t="inlineStr">
        <is>
          <t>91.06.03-060</t>
        </is>
      </c>
      <c r="C48" s="196" t="inlineStr">
        <is>
          <t>Лебедки электрические тяговым усилием до 5,79 кН (0,59 т)</t>
        </is>
      </c>
      <c r="D48" s="199" t="inlineStr">
        <is>
          <t>маш.час</t>
        </is>
      </c>
      <c r="E48" s="197" t="n">
        <v>5.22696</v>
      </c>
      <c r="F48" s="48" t="n">
        <v>1.7</v>
      </c>
      <c r="G48" s="48">
        <f>ROUND(E48*F48,2)</f>
        <v/>
      </c>
      <c r="H48" s="43">
        <f>G48/G55</f>
        <v/>
      </c>
      <c r="I48" s="185">
        <f>ROUND(F48*Прил.10!$D$11,2)</f>
        <v/>
      </c>
      <c r="J48" s="185">
        <f>ROUND(E48*I48,2)</f>
        <v/>
      </c>
    </row>
    <row r="49" outlineLevel="1" ht="31.7" customFormat="1" customHeight="1" s="148">
      <c r="A49" s="180" t="n">
        <v>32</v>
      </c>
      <c r="B49" s="186" t="inlineStr">
        <is>
          <t>91.06.09-061</t>
        </is>
      </c>
      <c r="C49" s="196" t="inlineStr">
        <is>
          <t>Подмости самоходные, высота подъема 12 м</t>
        </is>
      </c>
      <c r="D49" s="199" t="inlineStr">
        <is>
          <t>маш.час</t>
        </is>
      </c>
      <c r="E49" s="197" t="n">
        <v>0.12306</v>
      </c>
      <c r="F49" s="48" t="n">
        <v>35.3</v>
      </c>
      <c r="G49" s="48">
        <f>ROUND(E49*F49,2)</f>
        <v/>
      </c>
      <c r="H49" s="43">
        <f>G49/G55</f>
        <v/>
      </c>
      <c r="I49" s="185">
        <f>ROUND(F49*Прил.10!$D$11,2)</f>
        <v/>
      </c>
      <c r="J49" s="185">
        <f>ROUND(E49*I49,2)</f>
        <v/>
      </c>
    </row>
    <row r="50" outlineLevel="1" ht="31.7" customFormat="1" customHeight="1" s="148">
      <c r="A50" s="180" t="n">
        <v>33</v>
      </c>
      <c r="B50" s="186" t="inlineStr">
        <is>
          <t>91.06.01-003</t>
        </is>
      </c>
      <c r="C50" s="196" t="inlineStr">
        <is>
          <t>Домкраты гидравлические, грузоподъемность 63-100 т</t>
        </is>
      </c>
      <c r="D50" s="199" t="inlineStr">
        <is>
          <t>маш.час</t>
        </is>
      </c>
      <c r="E50" s="197" t="n">
        <v>0.81504</v>
      </c>
      <c r="F50" s="48" t="n">
        <v>0.9</v>
      </c>
      <c r="G50" s="48">
        <f>ROUND(E50*F50,2)</f>
        <v/>
      </c>
      <c r="H50" s="43">
        <f>G50/G55</f>
        <v/>
      </c>
      <c r="I50" s="185">
        <f>ROUND(F50*Прил.10!$D$11,2)</f>
        <v/>
      </c>
      <c r="J50" s="185">
        <f>ROUND(E50*I50,2)</f>
        <v/>
      </c>
    </row>
    <row r="51" outlineLevel="1" ht="15.75" customFormat="1" customHeight="1" s="148">
      <c r="A51" s="180" t="n">
        <v>34</v>
      </c>
      <c r="B51" s="186" t="inlineStr">
        <is>
          <t>91.07.04-002</t>
        </is>
      </c>
      <c r="C51" s="196" t="inlineStr">
        <is>
          <t>Вибраторы поверхностные</t>
        </is>
      </c>
      <c r="D51" s="199" t="inlineStr">
        <is>
          <t>маш.час</t>
        </is>
      </c>
      <c r="E51" s="197" t="n">
        <v>0.27278</v>
      </c>
      <c r="F51" s="48" t="n">
        <v>0.5</v>
      </c>
      <c r="G51" s="48">
        <f>ROUND(E51*F51,2)</f>
        <v/>
      </c>
      <c r="H51" s="43">
        <f>G51/G55</f>
        <v/>
      </c>
      <c r="I51" s="185">
        <f>ROUND(F51*Прил.10!$D$11,2)</f>
        <v/>
      </c>
      <c r="J51" s="185">
        <f>ROUND(E51*I51,2)</f>
        <v/>
      </c>
    </row>
    <row r="52" outlineLevel="1" ht="31.7" customFormat="1" customHeight="1" s="148">
      <c r="A52" s="180" t="n">
        <v>35</v>
      </c>
      <c r="B52" s="186" t="inlineStr">
        <is>
          <t>91.03.19-092</t>
        </is>
      </c>
      <c r="C52" s="196" t="inlineStr">
        <is>
          <t>Сболчиватели пневматические (без сжатого воздуха)</t>
        </is>
      </c>
      <c r="D52" s="199" t="inlineStr">
        <is>
          <t>маш.час</t>
        </is>
      </c>
      <c r="E52" s="197" t="n">
        <v>0.04746</v>
      </c>
      <c r="F52" s="48" t="n">
        <v>2.19</v>
      </c>
      <c r="G52" s="48">
        <f>ROUND(E52*F52,2)</f>
        <v/>
      </c>
      <c r="H52" s="43">
        <f>G52/G55</f>
        <v/>
      </c>
      <c r="I52" s="185">
        <f>ROUND(F52*Прил.10!$D$11,2)</f>
        <v/>
      </c>
      <c r="J52" s="185">
        <f>ROUND(E52*I52,2)</f>
        <v/>
      </c>
    </row>
    <row r="53" outlineLevel="1" ht="31.7" customFormat="1" customHeight="1" s="148">
      <c r="A53" s="180" t="n">
        <v>36</v>
      </c>
      <c r="B53" s="186" t="inlineStr">
        <is>
          <t>91.21.03-502</t>
        </is>
      </c>
      <c r="C53" s="196" t="inlineStr">
        <is>
          <t>Аппараты пескоструйные, объем до 19 л, расход воздуха 270-700 л/мин</t>
        </is>
      </c>
      <c r="D53" s="199" t="inlineStr">
        <is>
          <t>маш.час</t>
        </is>
      </c>
      <c r="E53" s="197" t="n">
        <v>0.00462</v>
      </c>
      <c r="F53" s="48" t="n">
        <v>0.14</v>
      </c>
      <c r="G53" s="198">
        <f>ROUND(E53*F53,2)</f>
        <v/>
      </c>
      <c r="H53" s="43">
        <f>G53/G55</f>
        <v/>
      </c>
      <c r="I53" s="185">
        <f>ROUND(F53*Прил.10!$D$11,2)</f>
        <v/>
      </c>
      <c r="J53" s="185">
        <f>ROUND(E53*I53,2)</f>
        <v/>
      </c>
    </row>
    <row r="54" ht="15.75" customFormat="1" customHeight="1" s="148">
      <c r="A54" s="180" t="n"/>
      <c r="B54" s="180" t="inlineStr">
        <is>
          <t>Итого прочие Машины и механизмы</t>
        </is>
      </c>
      <c r="C54" s="204" t="n"/>
      <c r="D54" s="204" t="n"/>
      <c r="E54" s="204" t="n"/>
      <c r="F54" s="205" t="n"/>
      <c r="G54" s="185">
        <f>SUM(G27:G53)</f>
        <v/>
      </c>
      <c r="H54" s="43">
        <f>SUM(H27:H53)</f>
        <v/>
      </c>
      <c r="I54" s="185" t="n"/>
      <c r="J54" s="185">
        <f>SUM(J27:J53)</f>
        <v/>
      </c>
    </row>
    <row r="55" ht="15.75" customFormat="1" customHeight="1" s="148">
      <c r="A55" s="180" t="n"/>
      <c r="B55" s="180" t="inlineStr">
        <is>
          <t>Итого по разделу "Машины и механизмы"</t>
        </is>
      </c>
      <c r="C55" s="204" t="n"/>
      <c r="D55" s="204" t="n"/>
      <c r="E55" s="204" t="n"/>
      <c r="F55" s="205" t="n"/>
      <c r="G55" s="185">
        <f>G26+G54</f>
        <v/>
      </c>
      <c r="H55" s="43">
        <f>H26+H54</f>
        <v/>
      </c>
      <c r="I55" s="185" t="n"/>
      <c r="J55" s="185">
        <f>J26+J54</f>
        <v/>
      </c>
    </row>
    <row r="56" ht="15.75" customFormat="1" customHeight="1" s="148">
      <c r="A56" s="188" t="n"/>
      <c r="B56" s="187" t="inlineStr">
        <is>
          <t>Оборудование</t>
        </is>
      </c>
      <c r="C56" s="204" t="n"/>
      <c r="D56" s="204" t="n"/>
      <c r="E56" s="204" t="n"/>
      <c r="F56" s="204" t="n"/>
      <c r="G56" s="204" t="n"/>
      <c r="H56" s="204" t="n"/>
      <c r="I56" s="204" t="n"/>
      <c r="J56" s="205" t="n"/>
    </row>
    <row r="57" ht="15.75" customFormat="1" customHeight="1" s="148">
      <c r="A57" s="188" t="n"/>
      <c r="B57" s="188" t="inlineStr">
        <is>
          <t>Основное оборудование</t>
        </is>
      </c>
      <c r="C57" s="204" t="n"/>
      <c r="D57" s="204" t="n"/>
      <c r="E57" s="204" t="n"/>
      <c r="F57" s="204" t="n"/>
      <c r="G57" s="204" t="n"/>
      <c r="H57" s="204" t="n"/>
      <c r="I57" s="204" t="n"/>
      <c r="J57" s="205" t="n"/>
    </row>
    <row r="58" outlineLevel="1" ht="15.75" customFormat="1" customHeight="1" s="148">
      <c r="A58" s="188" t="n"/>
      <c r="B58" s="188" t="n"/>
      <c r="C58" s="188" t="inlineStr">
        <is>
          <t>Итого основное оборудование</t>
        </is>
      </c>
      <c r="D58" s="188" t="n"/>
      <c r="E58" s="188" t="n"/>
      <c r="F58" s="189" t="n"/>
      <c r="G58" s="189" t="n">
        <v>0</v>
      </c>
      <c r="H58" s="188" t="n">
        <v>0</v>
      </c>
      <c r="I58" s="189" t="n"/>
      <c r="J58" s="189" t="n">
        <v>0</v>
      </c>
    </row>
    <row r="59" ht="15.75" customFormat="1" customHeight="1" s="148">
      <c r="A59" s="188" t="n"/>
      <c r="B59" s="188" t="inlineStr">
        <is>
          <t>Прочее оборудование</t>
        </is>
      </c>
      <c r="C59" s="204" t="n"/>
      <c r="D59" s="204" t="n"/>
      <c r="E59" s="204" t="n"/>
      <c r="F59" s="204" t="n"/>
      <c r="G59" s="204" t="n"/>
      <c r="H59" s="204" t="n"/>
      <c r="I59" s="204" t="n"/>
      <c r="J59" s="205" t="n"/>
    </row>
    <row r="60" outlineLevel="1" ht="15.75" customFormat="1" customHeight="1" s="148">
      <c r="A60" s="188" t="n"/>
      <c r="B60" s="188" t="n"/>
      <c r="C60" s="188" t="inlineStr">
        <is>
          <t>Итого прочее оборудование</t>
        </is>
      </c>
      <c r="D60" s="188" t="n"/>
      <c r="E60" s="188" t="n"/>
      <c r="F60" s="189" t="n"/>
      <c r="G60" s="189" t="n">
        <v>0</v>
      </c>
      <c r="H60" s="188" t="n">
        <v>0</v>
      </c>
      <c r="I60" s="189" t="n"/>
      <c r="J60" s="189" t="n">
        <v>0</v>
      </c>
    </row>
    <row r="61" outlineLevel="1" ht="15.75" customFormat="1" customHeight="1" s="148">
      <c r="A61" s="188" t="n"/>
      <c r="B61" s="188" t="n"/>
      <c r="C61" s="187" t="inlineStr">
        <is>
          <t>Итого по разделу «Оборудование»</t>
        </is>
      </c>
      <c r="D61" s="188" t="n"/>
      <c r="E61" s="188" t="n"/>
      <c r="F61" s="189" t="n"/>
      <c r="G61" s="189" t="n">
        <v>0</v>
      </c>
      <c r="H61" s="188" t="n">
        <v>0</v>
      </c>
      <c r="I61" s="189" t="n"/>
      <c r="J61" s="189" t="n">
        <v>0</v>
      </c>
    </row>
    <row r="62" outlineLevel="1" ht="15.75" customFormat="1" customHeight="1" s="148">
      <c r="A62" s="188" t="n"/>
      <c r="B62" s="188" t="n"/>
      <c r="C62" s="188" t="inlineStr">
        <is>
          <t>в том числе технологическое оборудование</t>
        </is>
      </c>
      <c r="D62" s="188" t="n"/>
      <c r="E62" s="188" t="n"/>
      <c r="F62" s="189" t="n"/>
      <c r="G62" s="189" t="n">
        <v>0</v>
      </c>
      <c r="H62" s="188" t="n"/>
      <c r="I62" s="189" t="n"/>
      <c r="J62" s="189" t="n">
        <v>0</v>
      </c>
    </row>
    <row r="63" ht="15.75" customFormat="1" customHeight="1" s="148">
      <c r="A63" s="180" t="n"/>
      <c r="B63" s="179" t="inlineStr">
        <is>
          <t>Материалы</t>
        </is>
      </c>
      <c r="C63" s="204" t="n"/>
      <c r="D63" s="204" t="n"/>
      <c r="E63" s="204" t="n"/>
      <c r="F63" s="204" t="n"/>
      <c r="G63" s="204" t="n"/>
      <c r="H63" s="205" t="n"/>
      <c r="I63" s="185" t="n"/>
      <c r="J63" s="185" t="n"/>
    </row>
    <row r="64" ht="15.75" customFormat="1" customHeight="1" s="148">
      <c r="A64" s="180" t="n"/>
      <c r="B64" s="180" t="inlineStr">
        <is>
          <t>Основные Материалы</t>
        </is>
      </c>
      <c r="C64" s="204" t="n"/>
      <c r="D64" s="204" t="n"/>
      <c r="E64" s="204" t="n"/>
      <c r="F64" s="204" t="n"/>
      <c r="G64" s="204" t="n"/>
      <c r="H64" s="205" t="n"/>
      <c r="I64" s="185" t="n"/>
      <c r="J64" s="185" t="n"/>
    </row>
    <row r="65" ht="47.25" customFormat="1" customHeight="1" s="148">
      <c r="A65" s="180" t="n">
        <v>37</v>
      </c>
      <c r="B65" s="186" t="inlineStr">
        <is>
          <t>12.2.02.01-0002</t>
        </is>
      </c>
      <c r="C65" s="196" t="inlineStr">
        <is>
          <t>Панель звукоизолирующая стеновая "ЗИПС-Модуль", Rw=59-61 дБ, размером 1500х500х70 мм</t>
        </is>
      </c>
      <c r="D65" s="199" t="inlineStr">
        <is>
          <t>м2</t>
        </is>
      </c>
      <c r="E65" s="197" t="n">
        <v>1316.9668667</v>
      </c>
      <c r="F65" s="48" t="n">
        <v>304.02</v>
      </c>
      <c r="G65" s="48">
        <f>ROUND(E65*F65,2)</f>
        <v/>
      </c>
      <c r="H65" s="43">
        <f>G65/G117</f>
        <v/>
      </c>
      <c r="I65" s="185">
        <f>ROUND(F65*Прил.10!$D$12,2)</f>
        <v/>
      </c>
      <c r="J65" s="185">
        <f>ROUND(E65*I65,2)</f>
        <v/>
      </c>
    </row>
    <row r="66" ht="47.25" customFormat="1" customHeight="1" s="148">
      <c r="A66" s="180" t="n">
        <v>38</v>
      </c>
      <c r="B66" s="186" t="inlineStr">
        <is>
          <t>05.1.02.07-0082</t>
        </is>
      </c>
      <c r="C66" s="196" t="inlineStr">
        <is>
          <t>Стойка центрифугированная для опор линий электропередач, бетон B25, расход арматуры 120 кг/м3</t>
        </is>
      </c>
      <c r="D66" s="199" t="inlineStr">
        <is>
          <t>м3</t>
        </is>
      </c>
      <c r="E66" s="197" t="n">
        <v>62.721</v>
      </c>
      <c r="F66" s="48" t="n">
        <v>5494.54</v>
      </c>
      <c r="G66" s="48">
        <f>ROUND(E66*F66,2)</f>
        <v/>
      </c>
      <c r="H66" s="43">
        <f>G66/G117</f>
        <v/>
      </c>
      <c r="I66" s="185">
        <f>ROUND(F66*Прил.10!$D$12,2)</f>
        <v/>
      </c>
      <c r="J66" s="185">
        <f>ROUND(E66*I66,2)</f>
        <v/>
      </c>
    </row>
    <row r="67" ht="31.7" customFormat="1" customHeight="1" s="148">
      <c r="A67" s="180" t="n">
        <v>39</v>
      </c>
      <c r="B67" s="186" t="inlineStr">
        <is>
          <t>22.2.02.07-0003</t>
        </is>
      </c>
      <c r="C67" s="196" t="inlineStr">
        <is>
          <t>Конструкции стальные порталов ОРУ</t>
        </is>
      </c>
      <c r="D67" s="199" t="inlineStr">
        <is>
          <t>т</t>
        </is>
      </c>
      <c r="E67" s="197" t="n">
        <v>20.098</v>
      </c>
      <c r="F67" s="48" t="n">
        <v>12500</v>
      </c>
      <c r="G67" s="48">
        <f>ROUND(E67*F67,2)</f>
        <v/>
      </c>
      <c r="H67" s="43">
        <f>G67/G117</f>
        <v/>
      </c>
      <c r="I67" s="185">
        <f>ROUND(F67*Прил.10!$D$12,2)</f>
        <v/>
      </c>
      <c r="J67" s="185">
        <f>ROUND(E67*I67,2)</f>
        <v/>
      </c>
    </row>
    <row r="68" ht="31.7" customFormat="1" customHeight="1" s="148">
      <c r="A68" s="180" t="n">
        <v>40</v>
      </c>
      <c r="B68" s="186" t="inlineStr">
        <is>
          <t>14.2.02.12-0711</t>
        </is>
      </c>
      <c r="C68" s="196" t="inlineStr">
        <is>
          <t>Паста огнезащитная вспучивающаяся водоэмульсионная ВПМ-2</t>
        </is>
      </c>
      <c r="D68" s="199" t="inlineStr">
        <is>
          <t>т</t>
        </is>
      </c>
      <c r="E68" s="197" t="n">
        <v>5.2992</v>
      </c>
      <c r="F68" s="48" t="n">
        <v>38397</v>
      </c>
      <c r="G68" s="48">
        <f>ROUND(E68*F68,2)</f>
        <v/>
      </c>
      <c r="H68" s="43">
        <f>G68/G117</f>
        <v/>
      </c>
      <c r="I68" s="185">
        <f>ROUND(F68*Прил.10!$D$12,2)</f>
        <v/>
      </c>
      <c r="J68" s="185">
        <f>ROUND(E68*I68,2)</f>
        <v/>
      </c>
    </row>
    <row r="69" ht="31.7" customFormat="1" customHeight="1" s="148">
      <c r="A69" s="180" t="n">
        <v>41</v>
      </c>
      <c r="B69" s="186" t="inlineStr">
        <is>
          <t>02.3.01.02-0031</t>
        </is>
      </c>
      <c r="C69" s="196" t="inlineStr">
        <is>
          <t>Песок природный обогащенный для строительных работ мелкий</t>
        </is>
      </c>
      <c r="D69" s="199" t="inlineStr">
        <is>
          <t>м3</t>
        </is>
      </c>
      <c r="E69" s="197" t="n">
        <v>1350.03</v>
      </c>
      <c r="F69" s="48" t="n">
        <v>70.59999999999999</v>
      </c>
      <c r="G69" s="48">
        <f>ROUND(E69*F69,2)</f>
        <v/>
      </c>
      <c r="H69" s="43">
        <f>G69/G117</f>
        <v/>
      </c>
      <c r="I69" s="185">
        <f>ROUND(F69*Прил.10!$D$12,2)</f>
        <v/>
      </c>
      <c r="J69" s="185">
        <f>ROUND(E69*I69,2)</f>
        <v/>
      </c>
    </row>
    <row r="70" ht="31.7" customFormat="1" customHeight="1" s="148">
      <c r="A70" s="180" t="n">
        <v>42</v>
      </c>
      <c r="B70" s="186" t="inlineStr">
        <is>
          <t>12.2.03.11-0021</t>
        </is>
      </c>
      <c r="C70" s="196" t="inlineStr">
        <is>
          <t>Стоимость стеклоткани 4слоя;к расхода 1,05</t>
        </is>
      </c>
      <c r="D70" s="199" t="inlineStr">
        <is>
          <t>1000 м2</t>
        </is>
      </c>
      <c r="E70" s="197" t="n">
        <v>3.058</v>
      </c>
      <c r="F70" s="48" t="n">
        <v>23980</v>
      </c>
      <c r="G70" s="48">
        <f>ROUND(E70*F70,2)</f>
        <v/>
      </c>
      <c r="H70" s="43">
        <f>G70/G117</f>
        <v/>
      </c>
      <c r="I70" s="185">
        <f>ROUND(F70*Прил.10!$D$12,2)</f>
        <v/>
      </c>
      <c r="J70" s="185">
        <f>ROUND(E70*I70,2)</f>
        <v/>
      </c>
    </row>
    <row r="71" ht="15.75" customFormat="1" customHeight="1" s="148">
      <c r="A71" s="180" t="n"/>
      <c r="B71" s="186" t="inlineStr">
        <is>
          <t>Итого основные Материалы</t>
        </is>
      </c>
      <c r="C71" s="204" t="n"/>
      <c r="D71" s="204" t="n"/>
      <c r="E71" s="204" t="n"/>
      <c r="F71" s="205" t="n"/>
      <c r="G71" s="48">
        <f>SUM(G65:G70)</f>
        <v/>
      </c>
      <c r="H71" s="43">
        <f>SUM(H65:H70)</f>
        <v/>
      </c>
      <c r="I71" s="185" t="n"/>
      <c r="J71" s="185">
        <f>SUM(J65:J70)</f>
        <v/>
      </c>
    </row>
    <row r="72" hidden="1" outlineLevel="1" ht="94.7" customFormat="1" customHeight="1" s="148">
      <c r="A72" s="180" t="n">
        <v>43</v>
      </c>
      <c r="B72" s="186" t="inlineStr">
        <is>
          <t>04.3.01.02-0003</t>
        </is>
      </c>
      <c r="C72" s="196" t="inlineStr">
        <is>
          <t>Состав пастовый минеральный или полиминеральный декоративный для отделки фасадов, внутренних стен и потолков на латексной основе с наполнителем из: микроминерала (размер зерна 0,7 мм)</t>
        </is>
      </c>
      <c r="D72" s="199" t="inlineStr">
        <is>
          <t>т</t>
        </is>
      </c>
      <c r="E72" s="197" t="n">
        <v>4.212</v>
      </c>
      <c r="F72" s="48" t="n">
        <v>13166.74</v>
      </c>
      <c r="G72" s="48">
        <f>ROUND(E72*F72,2)</f>
        <v/>
      </c>
      <c r="H72" s="43">
        <f>G72/G117</f>
        <v/>
      </c>
      <c r="I72" s="185">
        <f>ROUND(F72*Прил.10!$D$12,2)</f>
        <v/>
      </c>
      <c r="J72" s="185">
        <f>ROUND(E72*I72,2)</f>
        <v/>
      </c>
    </row>
    <row r="73" hidden="1" outlineLevel="1" ht="63" customFormat="1" customHeight="1" s="148">
      <c r="A73" s="180" t="n">
        <v>44</v>
      </c>
      <c r="B73" s="186" t="inlineStr">
        <is>
          <t>08.1.02.17-0089</t>
        </is>
      </c>
      <c r="C73" s="196" t="inlineStr">
        <is>
          <t>Сетка сварная из арматурной проволоки без покрытия, диаметр проволоки 4,0 мм, размер ячейки 50х50 мм</t>
        </is>
      </c>
      <c r="D73" s="199" t="inlineStr">
        <is>
          <t>м2</t>
        </is>
      </c>
      <c r="E73" s="197" t="n">
        <v>884.52</v>
      </c>
      <c r="F73" s="48" t="n">
        <v>33.74</v>
      </c>
      <c r="G73" s="48">
        <f>ROUND(E73*F73,2)</f>
        <v/>
      </c>
      <c r="H73" s="43">
        <f>G73/G117</f>
        <v/>
      </c>
      <c r="I73" s="185">
        <f>ROUND(F73*Прил.10!$D$12,2)</f>
        <v/>
      </c>
      <c r="J73" s="185">
        <f>ROUND(E73*I73,2)</f>
        <v/>
      </c>
    </row>
    <row r="74" hidden="1" outlineLevel="1" ht="15.75" customFormat="1" customHeight="1" s="148">
      <c r="A74" s="180" t="n">
        <v>45</v>
      </c>
      <c r="B74" s="186" t="inlineStr">
        <is>
          <t>08.1.02.17-0052</t>
        </is>
      </c>
      <c r="C74" s="196" t="inlineStr">
        <is>
          <t>Стоимость сетки</t>
        </is>
      </c>
      <c r="D74" s="199" t="inlineStr">
        <is>
          <t>м2</t>
        </is>
      </c>
      <c r="E74" s="197" t="n">
        <v>1457</v>
      </c>
      <c r="F74" s="48" t="n">
        <v>18.87</v>
      </c>
      <c r="G74" s="48">
        <f>ROUND(E74*F74,2)</f>
        <v/>
      </c>
      <c r="H74" s="43">
        <f>G74/G117</f>
        <v/>
      </c>
      <c r="I74" s="185">
        <f>ROUND(F74*Прил.10!$D$12,2)</f>
        <v/>
      </c>
      <c r="J74" s="185">
        <f>ROUND(E74*I74,2)</f>
        <v/>
      </c>
    </row>
    <row r="75" hidden="1" outlineLevel="1" ht="15.75" customFormat="1" customHeight="1" s="148">
      <c r="A75" s="180" t="n">
        <v>46</v>
      </c>
      <c r="B75" s="186" t="inlineStr">
        <is>
          <t>07.2.05.04-0001</t>
        </is>
      </c>
      <c r="C75" s="196" t="inlineStr">
        <is>
          <t>Ветровые ригели Р-18</t>
        </is>
      </c>
      <c r="D75" s="199" t="inlineStr">
        <is>
          <t>шт</t>
        </is>
      </c>
      <c r="E75" s="197" t="n">
        <v>145.4</v>
      </c>
      <c r="F75" s="48" t="n">
        <v>187.83</v>
      </c>
      <c r="G75" s="48">
        <f>ROUND(E75*F75,2)</f>
        <v/>
      </c>
      <c r="H75" s="43">
        <f>G75/G117</f>
        <v/>
      </c>
      <c r="I75" s="185">
        <f>ROUND(F75*Прил.10!$D$12,2)</f>
        <v/>
      </c>
      <c r="J75" s="185">
        <f>ROUND(E75*I75,2)</f>
        <v/>
      </c>
    </row>
    <row r="76" hidden="1" outlineLevel="1" ht="31.7" customFormat="1" customHeight="1" s="148">
      <c r="A76" s="180" t="n">
        <v>47</v>
      </c>
      <c r="B76" s="186" t="inlineStr">
        <is>
          <t>08.1.02.17-0161</t>
        </is>
      </c>
      <c r="C76" s="196" t="inlineStr">
        <is>
          <t>Сетка тканая с квадратными ячейками № 05, без покрытия</t>
        </is>
      </c>
      <c r="D76" s="199" t="inlineStr">
        <is>
          <t>м2</t>
        </is>
      </c>
      <c r="E76" s="197" t="n">
        <v>909.792</v>
      </c>
      <c r="F76" s="48" t="n">
        <v>28.25</v>
      </c>
      <c r="G76" s="48">
        <f>ROUND(E76*F76,2)</f>
        <v/>
      </c>
      <c r="H76" s="43">
        <f>G76/G117</f>
        <v/>
      </c>
      <c r="I76" s="185">
        <f>ROUND(F76*Прил.10!$D$12,2)</f>
        <v/>
      </c>
      <c r="J76" s="185">
        <f>ROUND(E76*I76,2)</f>
        <v/>
      </c>
    </row>
    <row r="77" hidden="1" outlineLevel="1" ht="63" customFormat="1" customHeight="1" s="148">
      <c r="A77" s="180" t="n">
        <v>48</v>
      </c>
      <c r="B77" s="186" t="inlineStr">
        <is>
          <t>12.2.05.05-0009</t>
        </is>
      </c>
      <c r="C77" s="196" t="inlineStr">
        <is>
          <t>Плиты из минеральной ваты на синтетическом связующем, теплоизоляционные, ПЖ-120, толщина 60 мм</t>
        </is>
      </c>
      <c r="D77" s="199" t="inlineStr">
        <is>
          <t>м3</t>
        </is>
      </c>
      <c r="E77" s="197" t="n">
        <v>46.6</v>
      </c>
      <c r="F77" s="48" t="n">
        <v>359.64</v>
      </c>
      <c r="G77" s="48">
        <f>ROUND(E77*F77,2)</f>
        <v/>
      </c>
      <c r="H77" s="43">
        <f>G77/G117</f>
        <v/>
      </c>
      <c r="I77" s="185">
        <f>ROUND(F77*Прил.10!$D$12,2)</f>
        <v/>
      </c>
      <c r="J77" s="185">
        <f>ROUND(E77*I77,2)</f>
        <v/>
      </c>
    </row>
    <row r="78" hidden="1" outlineLevel="1" ht="31.7" customFormat="1" customHeight="1" s="148">
      <c r="A78" s="180" t="n">
        <v>49</v>
      </c>
      <c r="B78" s="186" t="inlineStr">
        <is>
          <t>04.3.01.07-0012</t>
        </is>
      </c>
      <c r="C78" s="196" t="inlineStr">
        <is>
          <t>Раствор готовый отделочный тяжелый, известковый, состав 1:2,5</t>
        </is>
      </c>
      <c r="D78" s="199" t="inlineStr">
        <is>
          <t>м3</t>
        </is>
      </c>
      <c r="E78" s="197" t="n">
        <v>26.1144</v>
      </c>
      <c r="F78" s="48" t="n">
        <v>510.4</v>
      </c>
      <c r="G78" s="48">
        <f>ROUND(E78*F78,2)</f>
        <v/>
      </c>
      <c r="H78" s="43">
        <f>G78/G117</f>
        <v/>
      </c>
      <c r="I78" s="185">
        <f>ROUND(F78*Прил.10!$D$12,2)</f>
        <v/>
      </c>
      <c r="J78" s="185">
        <f>ROUND(E78*I78,2)</f>
        <v/>
      </c>
    </row>
    <row r="79" hidden="1" outlineLevel="1" ht="31.7" customFormat="1" customHeight="1" s="148">
      <c r="A79" s="180" t="n">
        <v>50</v>
      </c>
      <c r="B79" s="186" t="inlineStr">
        <is>
          <t>05.1.03.13-0183</t>
        </is>
      </c>
      <c r="C79" s="196" t="inlineStr">
        <is>
          <t>Ригели сборные железобетонные ВЛ и ОРУ</t>
        </is>
      </c>
      <c r="D79" s="199" t="inlineStr">
        <is>
          <t>м3</t>
        </is>
      </c>
      <c r="E79" s="197" t="n">
        <v>3.636</v>
      </c>
      <c r="F79" s="48" t="n">
        <v>1733.42</v>
      </c>
      <c r="G79" s="48">
        <f>ROUND(E79*F79,2)</f>
        <v/>
      </c>
      <c r="H79" s="43">
        <f>G79/G117</f>
        <v/>
      </c>
      <c r="I79" s="185">
        <f>ROUND(F79*Прил.10!$D$12,2)</f>
        <v/>
      </c>
      <c r="J79" s="185">
        <f>ROUND(E79*I79,2)</f>
        <v/>
      </c>
    </row>
    <row r="80" hidden="1" outlineLevel="1" ht="31.7" customFormat="1" customHeight="1" s="148">
      <c r="A80" s="180" t="n">
        <v>51</v>
      </c>
      <c r="B80" s="186" t="inlineStr">
        <is>
          <t>14.4.01.03-0101</t>
        </is>
      </c>
      <c r="C80" s="196" t="inlineStr">
        <is>
          <t>Состав грунтовочный на латексной основе</t>
        </is>
      </c>
      <c r="D80" s="199" t="inlineStr">
        <is>
          <t>т</t>
        </is>
      </c>
      <c r="E80" s="197" t="n">
        <v>0.151632</v>
      </c>
      <c r="F80" s="48" t="n">
        <v>40052</v>
      </c>
      <c r="G80" s="48">
        <f>ROUND(E80*F80,2)</f>
        <v/>
      </c>
      <c r="H80" s="43">
        <f>G80/G117</f>
        <v/>
      </c>
      <c r="I80" s="185">
        <f>ROUND(F80*Прил.10!$D$12,2)</f>
        <v/>
      </c>
      <c r="J80" s="185">
        <f>ROUND(E80*I80,2)</f>
        <v/>
      </c>
    </row>
    <row r="81" hidden="1" outlineLevel="1" ht="31.7" customFormat="1" customHeight="1" s="148">
      <c r="A81" s="180" t="n">
        <v>52</v>
      </c>
      <c r="B81" s="186" t="inlineStr">
        <is>
          <t>08.1.02.11-0015</t>
        </is>
      </c>
      <c r="C81" s="196" t="inlineStr">
        <is>
          <t>Стоимость деталей крепления ригелей,оцинкованные</t>
        </is>
      </c>
      <c r="D81" s="199" t="inlineStr">
        <is>
          <t>т</t>
        </is>
      </c>
      <c r="E81" s="197" t="n">
        <v>0.47</v>
      </c>
      <c r="F81" s="48" t="n">
        <v>10869.98</v>
      </c>
      <c r="G81" s="48">
        <f>ROUND(E81*F81,2)</f>
        <v/>
      </c>
      <c r="H81" s="43">
        <f>G81/G117</f>
        <v/>
      </c>
      <c r="I81" s="185">
        <f>ROUND(F81*Прил.10!$D$12,2)</f>
        <v/>
      </c>
      <c r="J81" s="185">
        <f>ROUND(E81*I81,2)</f>
        <v/>
      </c>
    </row>
    <row r="82" hidden="1" outlineLevel="1" ht="15.75" customFormat="1" customHeight="1" s="148">
      <c r="A82" s="180" t="n">
        <v>53</v>
      </c>
      <c r="B82" s="186" t="inlineStr">
        <is>
          <t>01.2.03.02-0001</t>
        </is>
      </c>
      <c r="C82" s="196" t="inlineStr">
        <is>
          <t>Грунтовка битумная</t>
        </is>
      </c>
      <c r="D82" s="199" t="inlineStr">
        <is>
          <t>т</t>
        </is>
      </c>
      <c r="E82" s="197" t="n">
        <v>0.15</v>
      </c>
      <c r="F82" s="48" t="n">
        <v>31060</v>
      </c>
      <c r="G82" s="48">
        <f>ROUND(E82*F82,2)</f>
        <v/>
      </c>
      <c r="H82" s="43">
        <f>G82/G117</f>
        <v/>
      </c>
      <c r="I82" s="185">
        <f>ROUND(F82*Прил.10!$D$12,2)</f>
        <v/>
      </c>
      <c r="J82" s="185">
        <f>ROUND(E82*I82,2)</f>
        <v/>
      </c>
    </row>
    <row r="83" hidden="1" outlineLevel="1" ht="31.7" customFormat="1" customHeight="1" s="148">
      <c r="A83" s="180" t="n">
        <v>54</v>
      </c>
      <c r="B83" s="186" t="inlineStr">
        <is>
          <t>04.1.02.05-0003</t>
        </is>
      </c>
      <c r="C83" s="196" t="inlineStr">
        <is>
          <t>Смеси бетонные тяжелого бетона (БСТ), класс В7,5 (М100)</t>
        </is>
      </c>
      <c r="D83" s="199" t="inlineStr">
        <is>
          <t>м3</t>
        </is>
      </c>
      <c r="E83" s="197" t="n">
        <v>4.692</v>
      </c>
      <c r="F83" s="48" t="n">
        <v>560</v>
      </c>
      <c r="G83" s="48">
        <f>ROUND(E83*F83,2)</f>
        <v/>
      </c>
      <c r="H83" s="43">
        <f>G83/G117</f>
        <v/>
      </c>
      <c r="I83" s="185">
        <f>ROUND(F83*Прил.10!$D$12,2)</f>
        <v/>
      </c>
      <c r="J83" s="185">
        <f>ROUND(E83*I83,2)</f>
        <v/>
      </c>
    </row>
    <row r="84" hidden="1" outlineLevel="1" ht="47.25" customFormat="1" customHeight="1" s="148">
      <c r="A84" s="180" t="n">
        <v>55</v>
      </c>
      <c r="B84" s="186" t="inlineStr">
        <is>
          <t>01.7.16.02-0003</t>
        </is>
      </c>
      <c r="C84" s="196" t="inlineStr">
        <is>
          <t>Детали стальных трубчатых лесов, укомплектованные пробками, крючками и хомутами, окрашенные</t>
        </is>
      </c>
      <c r="D84" s="199" t="inlineStr">
        <is>
          <t>т</t>
        </is>
      </c>
      <c r="E84" s="197" t="n">
        <v>0.29484</v>
      </c>
      <c r="F84" s="48" t="n">
        <v>6102</v>
      </c>
      <c r="G84" s="48">
        <f>ROUND(E84*F84,2)</f>
        <v/>
      </c>
      <c r="H84" s="43">
        <f>G84/G117</f>
        <v/>
      </c>
      <c r="I84" s="185">
        <f>ROUND(F84*Прил.10!$D$12,2)</f>
        <v/>
      </c>
      <c r="J84" s="185">
        <f>ROUND(E84*I84,2)</f>
        <v/>
      </c>
    </row>
    <row r="85" hidden="1" outlineLevel="1" ht="15.75" customFormat="1" customHeight="1" s="148">
      <c r="A85" s="180" t="n">
        <v>56</v>
      </c>
      <c r="B85" s="186" t="inlineStr">
        <is>
          <t>01.2.01.02-0031</t>
        </is>
      </c>
      <c r="C85" s="196" t="inlineStr">
        <is>
          <t>Стоимость битума</t>
        </is>
      </c>
      <c r="D85" s="199" t="inlineStr">
        <is>
          <t>т</t>
        </is>
      </c>
      <c r="E85" s="197" t="n">
        <v>1</v>
      </c>
      <c r="F85" s="48" t="n">
        <v>1412.5</v>
      </c>
      <c r="G85" s="48">
        <f>ROUND(E85*F85,2)</f>
        <v/>
      </c>
      <c r="H85" s="43">
        <f>G85/G117</f>
        <v/>
      </c>
      <c r="I85" s="185">
        <f>ROUND(F85*Прил.10!$D$12,2)</f>
        <v/>
      </c>
      <c r="J85" s="185">
        <f>ROUND(E85*I85,2)</f>
        <v/>
      </c>
    </row>
    <row r="86" hidden="1" outlineLevel="1" ht="31.7" customFormat="1" customHeight="1" s="148">
      <c r="A86" s="180" t="n">
        <v>57</v>
      </c>
      <c r="B86" s="186" t="inlineStr">
        <is>
          <t>01.7.15.03-0042</t>
        </is>
      </c>
      <c r="C86" s="196" t="inlineStr">
        <is>
          <t>Болты с гайками и шайбами строительные</t>
        </is>
      </c>
      <c r="D86" s="199" t="inlineStr">
        <is>
          <t>кг</t>
        </is>
      </c>
      <c r="E86" s="197" t="n">
        <v>133</v>
      </c>
      <c r="F86" s="48" t="n">
        <v>9.039999999999999</v>
      </c>
      <c r="G86" s="48">
        <f>ROUND(E86*F86,2)</f>
        <v/>
      </c>
      <c r="H86" s="43">
        <f>G86/G117</f>
        <v/>
      </c>
      <c r="I86" s="185">
        <f>ROUND(F86*Прил.10!$D$12,2)</f>
        <v/>
      </c>
      <c r="J86" s="185">
        <f>ROUND(E86*I86,2)</f>
        <v/>
      </c>
    </row>
    <row r="87" hidden="1" outlineLevel="1" ht="31.7" customFormat="1" customHeight="1" s="148">
      <c r="A87" s="180" t="n">
        <v>58</v>
      </c>
      <c r="B87" s="186" t="inlineStr">
        <is>
          <t>04.3.01.09-0014</t>
        </is>
      </c>
      <c r="C87" s="196" t="inlineStr">
        <is>
          <t>Раствор готовый кладочный, цементный, М100</t>
        </is>
      </c>
      <c r="D87" s="199" t="inlineStr">
        <is>
          <t>м3</t>
        </is>
      </c>
      <c r="E87" s="197" t="n">
        <v>2.14412</v>
      </c>
      <c r="F87" s="48" t="n">
        <v>519.8</v>
      </c>
      <c r="G87" s="48">
        <f>ROUND(E87*F87,2)</f>
        <v/>
      </c>
      <c r="H87" s="43">
        <f>G87/G117</f>
        <v/>
      </c>
      <c r="I87" s="185">
        <f>ROUND(F87*Прил.10!$D$12,2)</f>
        <v/>
      </c>
      <c r="J87" s="185">
        <f>ROUND(E87*I87,2)</f>
        <v/>
      </c>
    </row>
    <row r="88" hidden="1" outlineLevel="1" ht="31.7" customFormat="1" customHeight="1" s="148">
      <c r="A88" s="180" t="n">
        <v>59</v>
      </c>
      <c r="B88" s="186" t="inlineStr">
        <is>
          <t>01.7.15.03-0042</t>
        </is>
      </c>
      <c r="C88" s="196" t="inlineStr">
        <is>
          <t>Болты с гайками и шайбами строительные</t>
        </is>
      </c>
      <c r="D88" s="199" t="inlineStr">
        <is>
          <t>кг</t>
        </is>
      </c>
      <c r="E88" s="197" t="n">
        <v>121.296</v>
      </c>
      <c r="F88" s="48" t="n">
        <v>9.039999999999999</v>
      </c>
      <c r="G88" s="48">
        <f>ROUND(E88*F88,2)</f>
        <v/>
      </c>
      <c r="H88" s="43">
        <f>G88/G117</f>
        <v/>
      </c>
      <c r="I88" s="185">
        <f>ROUND(F88*Прил.10!$D$12,2)</f>
        <v/>
      </c>
      <c r="J88" s="185">
        <f>ROUND(E88*I88,2)</f>
        <v/>
      </c>
    </row>
    <row r="89" hidden="1" outlineLevel="1" ht="15.75" customFormat="1" customHeight="1" s="148">
      <c r="A89" s="180" t="n">
        <v>60</v>
      </c>
      <c r="B89" s="186" t="inlineStr">
        <is>
          <t>11.2.13.06-0011</t>
        </is>
      </c>
      <c r="C89" s="196" t="inlineStr">
        <is>
          <t>Щиты настила, все толщины</t>
        </is>
      </c>
      <c r="D89" s="199" t="inlineStr">
        <is>
          <t>м2</t>
        </is>
      </c>
      <c r="E89" s="197" t="n">
        <v>28.6416</v>
      </c>
      <c r="F89" s="48" t="n">
        <v>35.22</v>
      </c>
      <c r="G89" s="48">
        <f>ROUND(E89*F89,2)</f>
        <v/>
      </c>
      <c r="H89" s="43">
        <f>G89/G117</f>
        <v/>
      </c>
      <c r="I89" s="185">
        <f>ROUND(F89*Прил.10!$D$12,2)</f>
        <v/>
      </c>
      <c r="J89" s="185">
        <f>ROUND(E89*I89,2)</f>
        <v/>
      </c>
    </row>
    <row r="90" hidden="1" outlineLevel="1" ht="15.75" customFormat="1" customHeight="1" s="148">
      <c r="A90" s="180" t="n">
        <v>61</v>
      </c>
      <c r="B90" s="186" t="inlineStr">
        <is>
          <t>01.7.07.29-0111</t>
        </is>
      </c>
      <c r="C90" s="196" t="inlineStr">
        <is>
          <t>Пакля пропитанная</t>
        </is>
      </c>
      <c r="D90" s="199" t="inlineStr">
        <is>
          <t>кг</t>
        </is>
      </c>
      <c r="E90" s="197" t="n">
        <v>101.088</v>
      </c>
      <c r="F90" s="48" t="n">
        <v>9.039999999999999</v>
      </c>
      <c r="G90" s="48">
        <f>ROUND(E90*F90,2)</f>
        <v/>
      </c>
      <c r="H90" s="43">
        <f>G90/G117</f>
        <v/>
      </c>
      <c r="I90" s="185">
        <f>ROUND(F90*Прил.10!$D$12,2)</f>
        <v/>
      </c>
      <c r="J90" s="185">
        <f>ROUND(E90*I90,2)</f>
        <v/>
      </c>
    </row>
    <row r="91" hidden="1" outlineLevel="1" ht="31.7" customFormat="1" customHeight="1" s="148">
      <c r="A91" s="180" t="n">
        <v>62</v>
      </c>
      <c r="B91" s="186" t="inlineStr">
        <is>
          <t>01.7.11.07-0032</t>
        </is>
      </c>
      <c r="C91" s="196" t="inlineStr">
        <is>
          <t>Электроды сварочные Э42, диаметр 4 мм</t>
        </is>
      </c>
      <c r="D91" s="199" t="inlineStr">
        <is>
          <t>т</t>
        </is>
      </c>
      <c r="E91" s="197" t="n">
        <v>0.0590236</v>
      </c>
      <c r="F91" s="48" t="n">
        <v>10315.01</v>
      </c>
      <c r="G91" s="48">
        <f>ROUND(E91*F91,2)</f>
        <v/>
      </c>
      <c r="H91" s="43">
        <f>G91/G117</f>
        <v/>
      </c>
      <c r="I91" s="185">
        <f>ROUND(F91*Прил.10!$D$12,2)</f>
        <v/>
      </c>
      <c r="J91" s="185">
        <f>ROUND(E91*I91,2)</f>
        <v/>
      </c>
    </row>
    <row r="92" hidden="1" outlineLevel="1" ht="15.75" customFormat="1" customHeight="1" s="148">
      <c r="A92" s="180" t="n">
        <v>63</v>
      </c>
      <c r="B92" s="186" t="inlineStr">
        <is>
          <t>02.1.01.01-0001</t>
        </is>
      </c>
      <c r="C92" s="196" t="inlineStr">
        <is>
          <t>Глина</t>
        </is>
      </c>
      <c r="D92" s="199" t="inlineStr">
        <is>
          <t>м3</t>
        </is>
      </c>
      <c r="E92" s="197" t="n">
        <v>6.785</v>
      </c>
      <c r="F92" s="48" t="n">
        <v>87.8</v>
      </c>
      <c r="G92" s="48">
        <f>ROUND(E92*F92,2)</f>
        <v/>
      </c>
      <c r="H92" s="43">
        <f>G92/G117</f>
        <v/>
      </c>
      <c r="I92" s="185">
        <f>ROUND(F92*Прил.10!$D$12,2)</f>
        <v/>
      </c>
      <c r="J92" s="185">
        <f>ROUND(E92*I92,2)</f>
        <v/>
      </c>
    </row>
    <row r="93" hidden="1" outlineLevel="1" ht="63" customFormat="1" customHeight="1" s="148">
      <c r="A93" s="180" t="n">
        <v>64</v>
      </c>
      <c r="B93" s="186" t="inlineStr">
        <is>
          <t>07.2.07.01-0055</t>
        </is>
      </c>
      <c r="C93" s="196" t="inlineStr">
        <is>
          <t>Комплекты (секция СКБ) с пространственной (решетчатой) конструкцией покрытия, стойки фахверка связевые СВ-7.2-П</t>
        </is>
      </c>
      <c r="D93" s="199" t="inlineStr">
        <is>
          <t>шт</t>
        </is>
      </c>
      <c r="E93" s="197" t="n">
        <v>0.08799999999999999</v>
      </c>
      <c r="F93" s="48" t="n">
        <v>3627.99</v>
      </c>
      <c r="G93" s="48">
        <f>ROUND(E93*F93,2)</f>
        <v/>
      </c>
      <c r="H93" s="43">
        <f>G93/G117</f>
        <v/>
      </c>
      <c r="I93" s="185">
        <f>ROUND(F93*Прил.10!$D$12,2)</f>
        <v/>
      </c>
      <c r="J93" s="185">
        <f>ROUND(E93*I93,2)</f>
        <v/>
      </c>
    </row>
    <row r="94" hidden="1" outlineLevel="1" ht="47.25" customFormat="1" customHeight="1" s="148">
      <c r="A94" s="180" t="n">
        <v>65</v>
      </c>
      <c r="B94" s="186" t="inlineStr">
        <is>
          <t>08.3.03.04-0031</t>
        </is>
      </c>
      <c r="C94" s="196" t="inlineStr">
        <is>
          <t>Проволока стальная низкоуглеродистая отожженная, диаметр 0,8 мм</t>
        </is>
      </c>
      <c r="D94" s="199" t="inlineStr">
        <is>
          <t>т</t>
        </is>
      </c>
      <c r="E94" s="197" t="n">
        <v>0.025272</v>
      </c>
      <c r="F94" s="48" t="n">
        <v>10730</v>
      </c>
      <c r="G94" s="48">
        <f>ROUND(E94*F94,2)</f>
        <v/>
      </c>
      <c r="H94" s="43">
        <f>G94/G117</f>
        <v/>
      </c>
      <c r="I94" s="185">
        <f>ROUND(F94*Прил.10!$D$12,2)</f>
        <v/>
      </c>
      <c r="J94" s="185">
        <f>ROUND(E94*I94,2)</f>
        <v/>
      </c>
    </row>
    <row r="95" hidden="1" outlineLevel="1" ht="31.7" customFormat="1" customHeight="1" s="148">
      <c r="A95" s="180" t="n">
        <v>66</v>
      </c>
      <c r="B95" s="186" t="inlineStr">
        <is>
          <t>02.2.05.04-1762</t>
        </is>
      </c>
      <c r="C95" s="196" t="inlineStr">
        <is>
          <t>Щебень М 300, фракция 20-40 мм, группа 2</t>
        </is>
      </c>
      <c r="D95" s="199" t="inlineStr">
        <is>
          <t>м3</t>
        </is>
      </c>
      <c r="E95" s="197" t="n">
        <v>1.84</v>
      </c>
      <c r="F95" s="48" t="n">
        <v>136.84</v>
      </c>
      <c r="G95" s="48">
        <f>ROUND(E95*F95,2)</f>
        <v/>
      </c>
      <c r="H95" s="43">
        <f>G95/G117</f>
        <v/>
      </c>
      <c r="I95" s="185">
        <f>ROUND(F95*Прил.10!$D$12,2)</f>
        <v/>
      </c>
      <c r="J95" s="185">
        <f>ROUND(E95*I95,2)</f>
        <v/>
      </c>
    </row>
    <row r="96" hidden="1" outlineLevel="1" ht="15.75" customFormat="1" customHeight="1" s="148">
      <c r="A96" s="180" t="n">
        <v>67</v>
      </c>
      <c r="B96" s="186" t="inlineStr">
        <is>
          <t>01.7.03.04-0001</t>
        </is>
      </c>
      <c r="C96" s="196" t="inlineStr">
        <is>
          <t>Электроэнергия</t>
        </is>
      </c>
      <c r="D96" s="199" t="inlineStr">
        <is>
          <t>кВт-ч</t>
        </is>
      </c>
      <c r="E96" s="197" t="n">
        <v>468.44928</v>
      </c>
      <c r="F96" s="48" t="n">
        <v>0.4</v>
      </c>
      <c r="G96" s="48">
        <f>ROUND(E96*F96,2)</f>
        <v/>
      </c>
      <c r="H96" s="43">
        <f>G96/G117</f>
        <v/>
      </c>
      <c r="I96" s="185">
        <f>ROUND(F96*Прил.10!$D$12,2)</f>
        <v/>
      </c>
      <c r="J96" s="185">
        <f>ROUND(E96*I96,2)</f>
        <v/>
      </c>
    </row>
    <row r="97" hidden="1" outlineLevel="1" ht="15.75" customFormat="1" customHeight="1" s="148">
      <c r="A97" s="180" t="n">
        <v>68</v>
      </c>
      <c r="B97" s="186" t="inlineStr">
        <is>
          <t>08.3.11.01-0091</t>
        </is>
      </c>
      <c r="C97" s="196" t="inlineStr">
        <is>
          <t>Швеллеры № 40, марка стали Ст0</t>
        </is>
      </c>
      <c r="D97" s="199" t="inlineStr">
        <is>
          <t>т</t>
        </is>
      </c>
      <c r="E97" s="197" t="n">
        <v>0.0374459</v>
      </c>
      <c r="F97" s="48" t="n">
        <v>4920</v>
      </c>
      <c r="G97" s="48">
        <f>ROUND(E97*F97,2)</f>
        <v/>
      </c>
      <c r="H97" s="43">
        <f>G97/G117</f>
        <v/>
      </c>
      <c r="I97" s="185">
        <f>ROUND(F97*Прил.10!$D$12,2)</f>
        <v/>
      </c>
      <c r="J97" s="185">
        <f>ROUND(E97*I97,2)</f>
        <v/>
      </c>
    </row>
    <row r="98" hidden="1" outlineLevel="1" ht="31.7" customFormat="1" customHeight="1" s="148">
      <c r="A98" s="180" t="n">
        <v>69</v>
      </c>
      <c r="B98" s="186" t="inlineStr">
        <is>
          <t>01.7.15.06-0121</t>
        </is>
      </c>
      <c r="C98" s="196" t="inlineStr">
        <is>
          <t>Гвозди строительные с плоской головкой, размер 1,6х50 мм</t>
        </is>
      </c>
      <c r="D98" s="199" t="inlineStr">
        <is>
          <t>т</t>
        </is>
      </c>
      <c r="E98" s="197" t="n">
        <v>0.02106</v>
      </c>
      <c r="F98" s="48" t="n">
        <v>8475</v>
      </c>
      <c r="G98" s="48">
        <f>ROUND(E98*F98,2)</f>
        <v/>
      </c>
      <c r="H98" s="43">
        <f>G98/G117</f>
        <v/>
      </c>
      <c r="I98" s="185">
        <f>ROUND(F98*Прил.10!$D$12,2)</f>
        <v/>
      </c>
      <c r="J98" s="185">
        <f>ROUND(E98*I98,2)</f>
        <v/>
      </c>
    </row>
    <row r="99" hidden="1" outlineLevel="1" ht="15.75" customFormat="1" customHeight="1" s="148">
      <c r="A99" s="180" t="n">
        <v>70</v>
      </c>
      <c r="B99" s="186" t="inlineStr">
        <is>
          <t>01.3.02.08-0001</t>
        </is>
      </c>
      <c r="C99" s="196" t="inlineStr">
        <is>
          <t>Кислород газообразный технический</t>
        </is>
      </c>
      <c r="D99" s="199" t="inlineStr">
        <is>
          <t>м3</t>
        </is>
      </c>
      <c r="E99" s="197" t="n">
        <v>25.3224</v>
      </c>
      <c r="F99" s="48" t="n">
        <v>6.22</v>
      </c>
      <c r="G99" s="48">
        <f>ROUND(E99*F99,2)</f>
        <v/>
      </c>
      <c r="H99" s="43">
        <f>G99/G117</f>
        <v/>
      </c>
      <c r="I99" s="185">
        <f>ROUND(F99*Прил.10!$D$12,2)</f>
        <v/>
      </c>
      <c r="J99" s="185">
        <f>ROUND(E99*I99,2)</f>
        <v/>
      </c>
    </row>
    <row r="100" hidden="1" outlineLevel="1" ht="15.75" customFormat="1" customHeight="1" s="148">
      <c r="A100" s="180" t="n">
        <v>71</v>
      </c>
      <c r="B100" s="186" t="inlineStr">
        <is>
          <t>14.5.09.07-0030</t>
        </is>
      </c>
      <c r="C100" s="196" t="inlineStr">
        <is>
          <t>Растворитель Р-4</t>
        </is>
      </c>
      <c r="D100" s="199" t="inlineStr">
        <is>
          <t>кг</t>
        </is>
      </c>
      <c r="E100" s="197" t="n">
        <v>11.5812</v>
      </c>
      <c r="F100" s="48" t="n">
        <v>9.42</v>
      </c>
      <c r="G100" s="48">
        <f>ROUND(E100*F100,2)</f>
        <v/>
      </c>
      <c r="H100" s="43">
        <f>G100/G117</f>
        <v/>
      </c>
      <c r="I100" s="185">
        <f>ROUND(F100*Прил.10!$D$12,2)</f>
        <v/>
      </c>
      <c r="J100" s="185">
        <f>ROUND(E100*I100,2)</f>
        <v/>
      </c>
    </row>
    <row r="101" hidden="1" outlineLevel="1" ht="15.75" customFormat="1" customHeight="1" s="148">
      <c r="A101" s="180" t="n">
        <v>72</v>
      </c>
      <c r="B101" s="186" t="inlineStr">
        <is>
          <t>14.4.01.01-0003</t>
        </is>
      </c>
      <c r="C101" s="196" t="inlineStr">
        <is>
          <t>Грунтовка ГФ-021</t>
        </is>
      </c>
      <c r="D101" s="199" t="inlineStr">
        <is>
          <t>т</t>
        </is>
      </c>
      <c r="E101" s="197" t="n">
        <v>0.0059836</v>
      </c>
      <c r="F101" s="48" t="n">
        <v>15620</v>
      </c>
      <c r="G101" s="48">
        <f>ROUND(E101*F101,2)</f>
        <v/>
      </c>
      <c r="H101" s="43">
        <f>G101/G117</f>
        <v/>
      </c>
      <c r="I101" s="185">
        <f>ROUND(F101*Прил.10!$D$12,2)</f>
        <v/>
      </c>
      <c r="J101" s="185">
        <f>ROUND(E101*I101,2)</f>
        <v/>
      </c>
    </row>
    <row r="102" hidden="1" outlineLevel="1" ht="31.7" customFormat="1" customHeight="1" s="148">
      <c r="A102" s="180" t="n">
        <v>73</v>
      </c>
      <c r="B102" s="186" t="inlineStr">
        <is>
          <t>01.7.16.02-0001</t>
        </is>
      </c>
      <c r="C102" s="196" t="inlineStr">
        <is>
          <t>Детали деревянные лесов из пиломатериалов хвойных пород</t>
        </is>
      </c>
      <c r="D102" s="199" t="inlineStr">
        <is>
          <t>м3</t>
        </is>
      </c>
      <c r="E102" s="197" t="n">
        <v>0.07581599999999999</v>
      </c>
      <c r="F102" s="48" t="n">
        <v>1100</v>
      </c>
      <c r="G102" s="48">
        <f>ROUND(E102*F102,2)</f>
        <v/>
      </c>
      <c r="H102" s="43">
        <f>G102/G117</f>
        <v/>
      </c>
      <c r="I102" s="185">
        <f>ROUND(F102*Прил.10!$D$12,2)</f>
        <v/>
      </c>
      <c r="J102" s="185">
        <f>ROUND(E102*I102,2)</f>
        <v/>
      </c>
    </row>
    <row r="103" hidden="1" outlineLevel="1" ht="15.75" customFormat="1" customHeight="1" s="148">
      <c r="A103" s="180" t="n">
        <v>74</v>
      </c>
      <c r="B103" s="186" t="inlineStr">
        <is>
          <t>01.7.20.08-0071</t>
        </is>
      </c>
      <c r="C103" s="196" t="inlineStr">
        <is>
          <t>Канат пеньковый пропитанный</t>
        </is>
      </c>
      <c r="D103" s="199" t="inlineStr">
        <is>
          <t>т</t>
        </is>
      </c>
      <c r="E103" s="197" t="n">
        <v>0.0019302</v>
      </c>
      <c r="F103" s="48" t="n">
        <v>37900</v>
      </c>
      <c r="G103" s="48">
        <f>ROUND(E103*F103,2)</f>
        <v/>
      </c>
      <c r="H103" s="43">
        <f>G103/G117</f>
        <v/>
      </c>
      <c r="I103" s="185">
        <f>ROUND(F103*Прил.10!$D$12,2)</f>
        <v/>
      </c>
      <c r="J103" s="185">
        <f>ROUND(E103*I103,2)</f>
        <v/>
      </c>
    </row>
    <row r="104" hidden="1" outlineLevel="1" ht="31.7" customFormat="1" customHeight="1" s="148">
      <c r="A104" s="180" t="n">
        <v>75</v>
      </c>
      <c r="B104" s="186" t="inlineStr">
        <is>
          <t>01.7.11.07-0036</t>
        </is>
      </c>
      <c r="C104" s="196" t="inlineStr">
        <is>
          <t>Электроды сварочные Э46, диаметр 4 мм</t>
        </is>
      </c>
      <c r="D104" s="199" t="inlineStr">
        <is>
          <t>кг</t>
        </is>
      </c>
      <c r="E104" s="197" t="n">
        <v>6.75</v>
      </c>
      <c r="F104" s="48" t="n">
        <v>10.75</v>
      </c>
      <c r="G104" s="48">
        <f>ROUND(E104*F104,2)</f>
        <v/>
      </c>
      <c r="H104" s="43">
        <f>G104/G117</f>
        <v/>
      </c>
      <c r="I104" s="185">
        <f>ROUND(F104*Прил.10!$D$12,2)</f>
        <v/>
      </c>
      <c r="J104" s="185">
        <f>ROUND(E104*I104,2)</f>
        <v/>
      </c>
    </row>
    <row r="105" hidden="1" outlineLevel="1" ht="47.25" customFormat="1" customHeight="1" s="148">
      <c r="A105" s="180" t="n">
        <v>76</v>
      </c>
      <c r="B105" s="186" t="inlineStr">
        <is>
          <t>03.2.01.01-0001</t>
        </is>
      </c>
      <c r="C105" s="196" t="inlineStr">
        <is>
          <t>Портландцемент общестроительного назначения бездобавочный М400 Д0 (ЦЕМ I 32,5Н)</t>
        </is>
      </c>
      <c r="D105" s="199" t="inlineStr">
        <is>
          <t>т</t>
        </is>
      </c>
      <c r="E105" s="197" t="n">
        <v>0.109512</v>
      </c>
      <c r="F105" s="48" t="n">
        <v>412</v>
      </c>
      <c r="G105" s="48">
        <f>ROUND(E105*F105,2)</f>
        <v/>
      </c>
      <c r="H105" s="43">
        <f>G105/G117</f>
        <v/>
      </c>
      <c r="I105" s="185">
        <f>ROUND(F105*Прил.10!$D$12,2)</f>
        <v/>
      </c>
      <c r="J105" s="185">
        <f>ROUND(E105*I105,2)</f>
        <v/>
      </c>
    </row>
    <row r="106" hidden="1" outlineLevel="1" ht="15.75" customFormat="1" customHeight="1" s="148">
      <c r="A106" s="180" t="n">
        <v>77</v>
      </c>
      <c r="B106" s="186" t="inlineStr">
        <is>
          <t>01.3.02.03-0001</t>
        </is>
      </c>
      <c r="C106" s="196" t="inlineStr">
        <is>
          <t>Ацетилен газообразный технический</t>
        </is>
      </c>
      <c r="D106" s="199" t="inlineStr">
        <is>
          <t>м3</t>
        </is>
      </c>
      <c r="E106" s="197" t="n">
        <v>1.152</v>
      </c>
      <c r="F106" s="48" t="n">
        <v>38.51</v>
      </c>
      <c r="G106" s="48">
        <f>ROUND(E106*F106,2)</f>
        <v/>
      </c>
      <c r="H106" s="43">
        <f>G106/G117</f>
        <v/>
      </c>
      <c r="I106" s="185">
        <f>ROUND(F106*Прил.10!$D$12,2)</f>
        <v/>
      </c>
      <c r="J106" s="185">
        <f>ROUND(E106*I106,2)</f>
        <v/>
      </c>
    </row>
    <row r="107" hidden="1" outlineLevel="1" ht="31.7" customFormat="1" customHeight="1" s="148">
      <c r="A107" s="180" t="n">
        <v>78</v>
      </c>
      <c r="B107" s="186" t="inlineStr">
        <is>
          <t>01.7.07.12-0024</t>
        </is>
      </c>
      <c r="C107" s="196" t="inlineStr">
        <is>
          <t>Пленка полиэтиленовая, толщина 0,15 мм</t>
        </is>
      </c>
      <c r="D107" s="199" t="inlineStr">
        <is>
          <t>м2</t>
        </is>
      </c>
      <c r="E107" s="197" t="n">
        <v>11.5</v>
      </c>
      <c r="F107" s="48" t="n">
        <v>3.62</v>
      </c>
      <c r="G107" s="48">
        <f>ROUND(E107*F107,2)</f>
        <v/>
      </c>
      <c r="H107" s="43">
        <f>G107/G117</f>
        <v/>
      </c>
      <c r="I107" s="185">
        <f>ROUND(F107*Прил.10!$D$12,2)</f>
        <v/>
      </c>
      <c r="J107" s="185">
        <f>ROUND(E107*I107,2)</f>
        <v/>
      </c>
    </row>
    <row r="108" hidden="1" outlineLevel="1" ht="78.75" customFormat="1" customHeight="1" s="148">
      <c r="A108" s="180" t="n">
        <v>79</v>
      </c>
      <c r="B108" s="186" t="inlineStr">
        <is>
          <t>07.2.07.12-0020</t>
        </is>
      </c>
      <c r="C108" s="196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08" s="199" t="inlineStr">
        <is>
          <t>т</t>
        </is>
      </c>
      <c r="E108" s="197" t="n">
        <v>0.004818</v>
      </c>
      <c r="F108" s="48" t="n">
        <v>7712</v>
      </c>
      <c r="G108" s="48">
        <f>ROUND(E108*F108,2)</f>
        <v/>
      </c>
      <c r="H108" s="43">
        <f>G108/G117</f>
        <v/>
      </c>
      <c r="I108" s="185">
        <f>ROUND(F108*Прил.10!$D$12,2)</f>
        <v/>
      </c>
      <c r="J108" s="185">
        <f>ROUND(E108*I108,2)</f>
        <v/>
      </c>
    </row>
    <row r="109" hidden="1" outlineLevel="1" ht="47.25" customFormat="1" customHeight="1" s="148">
      <c r="A109" s="180" t="n">
        <v>80</v>
      </c>
      <c r="B109" s="186" t="inlineStr">
        <is>
          <t>11.1.03.01-0077</t>
        </is>
      </c>
      <c r="C109" s="196" t="inlineStr">
        <is>
          <t>Бруски обрезные, хвойных пород, длина 4-6,5 м, ширина 75-150 мм, толщина 40-75 мм, сорт I</t>
        </is>
      </c>
      <c r="D109" s="199" t="inlineStr">
        <is>
          <t>м3</t>
        </is>
      </c>
      <c r="E109" s="197" t="n">
        <v>0.0198672</v>
      </c>
      <c r="F109" s="48" t="n">
        <v>1700</v>
      </c>
      <c r="G109" s="48">
        <f>ROUND(E109*F109,2)</f>
        <v/>
      </c>
      <c r="H109" s="43">
        <f>G109/G117</f>
        <v/>
      </c>
      <c r="I109" s="185">
        <f>ROUND(F109*Прил.10!$D$12,2)</f>
        <v/>
      </c>
      <c r="J109" s="185">
        <f>ROUND(E109*I109,2)</f>
        <v/>
      </c>
    </row>
    <row r="110" hidden="1" outlineLevel="1" ht="15.75" customFormat="1" customHeight="1" s="148">
      <c r="A110" s="180" t="n">
        <v>81</v>
      </c>
      <c r="B110" s="186" t="inlineStr">
        <is>
          <t>01.3.02.09-0022</t>
        </is>
      </c>
      <c r="C110" s="196" t="inlineStr">
        <is>
          <t>Пропан-бутан смесь техническая</t>
        </is>
      </c>
      <c r="D110" s="199" t="inlineStr">
        <is>
          <t>кг</t>
        </is>
      </c>
      <c r="E110" s="197" t="n">
        <v>5.32872</v>
      </c>
      <c r="F110" s="48" t="n">
        <v>6.09</v>
      </c>
      <c r="G110" s="48">
        <f>ROUND(E110*F110,2)</f>
        <v/>
      </c>
      <c r="H110" s="43">
        <f>G110/G117</f>
        <v/>
      </c>
      <c r="I110" s="185">
        <f>ROUND(F110*Прил.10!$D$12,2)</f>
        <v/>
      </c>
      <c r="J110" s="185">
        <f>ROUND(E110*I110,2)</f>
        <v/>
      </c>
    </row>
    <row r="111" hidden="1" outlineLevel="1" ht="78.75" customFormat="1" customHeight="1" s="148">
      <c r="A111" s="180" t="n">
        <v>82</v>
      </c>
      <c r="B111" s="186" t="inlineStr">
        <is>
          <t>08.2.02.11-0007</t>
        </is>
      </c>
      <c r="C111" s="196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11" s="199" t="inlineStr">
        <is>
          <t>10 м</t>
        </is>
      </c>
      <c r="E111" s="197" t="n">
        <v>0.3609474</v>
      </c>
      <c r="F111" s="48" t="n">
        <v>50.24</v>
      </c>
      <c r="G111" s="48">
        <f>ROUND(E111*F111,2)</f>
        <v/>
      </c>
      <c r="H111" s="43">
        <f>G111/G117</f>
        <v/>
      </c>
      <c r="I111" s="185">
        <f>ROUND(F111*Прил.10!$D$12,2)</f>
        <v/>
      </c>
      <c r="J111" s="185">
        <f>ROUND(E111*I111,2)</f>
        <v/>
      </c>
    </row>
    <row r="112" hidden="1" outlineLevel="1" ht="31.7" customFormat="1" customHeight="1" s="148">
      <c r="A112" s="180" t="n">
        <v>83</v>
      </c>
      <c r="B112" s="186" t="inlineStr">
        <is>
          <t>02.2.05.04-1777</t>
        </is>
      </c>
      <c r="C112" s="196" t="inlineStr">
        <is>
          <t>Щебень М 800, фракция 20-40 мм, группа 2</t>
        </is>
      </c>
      <c r="D112" s="199" t="inlineStr">
        <is>
          <t>м3</t>
        </is>
      </c>
      <c r="E112" s="197" t="n">
        <v>0.11295</v>
      </c>
      <c r="F112" s="48" t="n">
        <v>108.4</v>
      </c>
      <c r="G112" s="48">
        <f>ROUND(E112*F112,2)</f>
        <v/>
      </c>
      <c r="H112" s="43">
        <f>G112/G117</f>
        <v/>
      </c>
      <c r="I112" s="185">
        <f>ROUND(F112*Прил.10!$D$12,2)</f>
        <v/>
      </c>
      <c r="J112" s="185">
        <f>ROUND(E112*I112,2)</f>
        <v/>
      </c>
    </row>
    <row r="113" hidden="1" outlineLevel="1" ht="15.75" customFormat="1" customHeight="1" s="148">
      <c r="A113" s="180" t="n">
        <v>84</v>
      </c>
      <c r="B113" s="186" t="inlineStr">
        <is>
          <t>01.7.03.01-0001</t>
        </is>
      </c>
      <c r="C113" s="196" t="inlineStr">
        <is>
          <t>Вода</t>
        </is>
      </c>
      <c r="D113" s="199" t="inlineStr">
        <is>
          <t>м3</t>
        </is>
      </c>
      <c r="E113" s="197" t="n">
        <v>2.208116</v>
      </c>
      <c r="F113" s="48" t="n">
        <v>2.44</v>
      </c>
      <c r="G113" s="48">
        <f>ROUND(E113*F113,2)</f>
        <v/>
      </c>
      <c r="H113" s="43">
        <f>G113/G117</f>
        <v/>
      </c>
      <c r="I113" s="185">
        <f>ROUND(F113*Прил.10!$D$12,2)</f>
        <v/>
      </c>
      <c r="J113" s="185">
        <f>ROUND(E113*I113,2)</f>
        <v/>
      </c>
    </row>
    <row r="114" hidden="1" outlineLevel="1" ht="31.7" customFormat="1" customHeight="1" s="148">
      <c r="A114" s="180" t="n">
        <v>85</v>
      </c>
      <c r="B114" s="186" t="inlineStr">
        <is>
          <t>08.3.03.06-0002</t>
        </is>
      </c>
      <c r="C114" s="196" t="inlineStr">
        <is>
          <t>Проволока горячекатаная в мотках, диаметр 6,3-6,5 мм</t>
        </is>
      </c>
      <c r="D114" s="199" t="inlineStr">
        <is>
          <t>т</t>
        </is>
      </c>
      <c r="E114" s="197" t="n">
        <v>0.0005791</v>
      </c>
      <c r="F114" s="48" t="n">
        <v>4455.2</v>
      </c>
      <c r="G114" s="48">
        <f>ROUND(E114*F114,2)</f>
        <v/>
      </c>
      <c r="H114" s="43">
        <f>G114/G117</f>
        <v/>
      </c>
      <c r="I114" s="185">
        <f>ROUND(F114*Прил.10!$D$12,2)</f>
        <v/>
      </c>
      <c r="J114" s="185">
        <f>ROUND(E114*I114,2)</f>
        <v/>
      </c>
    </row>
    <row r="115" hidden="1" outlineLevel="1" ht="15.75" customFormat="1" customHeight="1" s="148">
      <c r="A115" s="180" t="n">
        <v>86</v>
      </c>
      <c r="B115" s="186" t="inlineStr">
        <is>
          <t>01.7.15.06-0111</t>
        </is>
      </c>
      <c r="C115" s="196" t="inlineStr">
        <is>
          <t>Гвозди строительные</t>
        </is>
      </c>
      <c r="D115" s="199" t="inlineStr">
        <is>
          <t>т</t>
        </is>
      </c>
      <c r="E115" s="197" t="n">
        <v>0.000193</v>
      </c>
      <c r="F115" s="48" t="n">
        <v>11978</v>
      </c>
      <c r="G115" s="48">
        <f>ROUND(E115*F115,2)</f>
        <v/>
      </c>
      <c r="H115" s="43">
        <f>G115/G117</f>
        <v/>
      </c>
      <c r="I115" s="185">
        <f>ROUND(F115*Прил.10!$D$12,2)</f>
        <v/>
      </c>
      <c r="J115" s="185">
        <f>ROUND(E115*I115,2)</f>
        <v/>
      </c>
    </row>
    <row r="116" collapsed="1" ht="15.75" customFormat="1" customHeight="1" s="148">
      <c r="A116" s="180" t="n"/>
      <c r="B116" s="180" t="inlineStr">
        <is>
          <t>Итого прочие Материалы</t>
        </is>
      </c>
      <c r="C116" s="204" t="n"/>
      <c r="D116" s="204" t="n"/>
      <c r="E116" s="204" t="n"/>
      <c r="F116" s="205" t="n"/>
      <c r="G116" s="185">
        <f>SUM(G72:G115)</f>
        <v/>
      </c>
      <c r="H116" s="43">
        <f>SUM(H72:H115)</f>
        <v/>
      </c>
      <c r="I116" s="185" t="n"/>
      <c r="J116" s="185">
        <f>SUM(J72:J115)</f>
        <v/>
      </c>
    </row>
    <row r="117" ht="15.75" customFormat="1" customHeight="1" s="148">
      <c r="A117" s="180" t="n"/>
      <c r="B117" s="180" t="inlineStr">
        <is>
          <t>Итого по разделу "Материалы"</t>
        </is>
      </c>
      <c r="C117" s="204" t="n"/>
      <c r="D117" s="204" t="n"/>
      <c r="E117" s="204" t="n"/>
      <c r="F117" s="205" t="n"/>
      <c r="G117" s="185">
        <f>G71+G116</f>
        <v/>
      </c>
      <c r="H117" s="43">
        <f>H71+H116</f>
        <v/>
      </c>
      <c r="I117" s="185" t="n"/>
      <c r="J117" s="185">
        <f>J71+J116</f>
        <v/>
      </c>
    </row>
    <row r="118" ht="15.75" customFormat="1" customHeight="1" s="148">
      <c r="A118" s="181" t="n"/>
      <c r="B118" s="199" t="n"/>
      <c r="C118" s="196" t="inlineStr">
        <is>
          <t>ИТОГО ПО РМ</t>
        </is>
      </c>
      <c r="D118" s="199" t="n"/>
      <c r="E118" s="199" t="n"/>
      <c r="F118" s="198" t="n"/>
      <c r="G118" s="198">
        <f>+G14+G55+G117</f>
        <v/>
      </c>
      <c r="H118" s="60" t="n"/>
      <c r="I118" s="185" t="n"/>
      <c r="J118" s="198">
        <f>+J14+J55+J117</f>
        <v/>
      </c>
    </row>
    <row r="119" ht="15.75" customFormat="1" customHeight="1" s="148">
      <c r="A119" s="181" t="n"/>
      <c r="B119" s="199" t="n"/>
      <c r="C119" s="196" t="inlineStr">
        <is>
          <t>Накладные расходы</t>
        </is>
      </c>
      <c r="D119" s="62" t="n">
        <v>0.9723738830948</v>
      </c>
      <c r="E119" s="199" t="n"/>
      <c r="F119" s="198" t="n"/>
      <c r="G119" s="198">
        <f>(G14+G16)*D119</f>
        <v/>
      </c>
      <c r="H119" s="60" t="n"/>
      <c r="I119" s="185" t="n"/>
      <c r="J119" s="185">
        <f>(J14+J16)*D119</f>
        <v/>
      </c>
    </row>
    <row r="120" ht="15.75" customFormat="1" customHeight="1" s="148">
      <c r="A120" s="181" t="n"/>
      <c r="B120" s="199" t="n"/>
      <c r="C120" s="196" t="inlineStr">
        <is>
          <t>Сметная прибыль</t>
        </is>
      </c>
      <c r="D120" s="62" t="n">
        <v>0.52765766539839</v>
      </c>
      <c r="E120" s="199" t="n"/>
      <c r="F120" s="198" t="n"/>
      <c r="G120" s="198">
        <f>(G14+G16)*D120</f>
        <v/>
      </c>
      <c r="H120" s="60" t="n"/>
      <c r="I120" s="185" t="n"/>
      <c r="J120" s="185">
        <f>(J14+J16)*D120</f>
        <v/>
      </c>
    </row>
    <row r="121" ht="15.75" customFormat="1" customHeight="1" s="148">
      <c r="A121" s="181" t="n"/>
      <c r="B121" s="199" t="n"/>
      <c r="C121" s="196" t="inlineStr">
        <is>
          <t>Итого СМР (с НР и СП)</t>
        </is>
      </c>
      <c r="D121" s="199" t="n"/>
      <c r="E121" s="199" t="n"/>
      <c r="F121" s="198" t="n"/>
      <c r="G121" s="198">
        <f>G118+G119+G120</f>
        <v/>
      </c>
      <c r="H121" s="60" t="n"/>
      <c r="I121" s="185" t="n"/>
      <c r="J121" s="198">
        <f>J118+J119+J120</f>
        <v/>
      </c>
    </row>
    <row r="122" ht="15.75" customFormat="1" customHeight="1" s="148">
      <c r="A122" s="181" t="n"/>
      <c r="B122" s="199" t="n"/>
      <c r="C122" s="196" t="inlineStr">
        <is>
          <t>ВСЕГО СМР + ОБОРУДОВАНИЕ</t>
        </is>
      </c>
      <c r="D122" s="199" t="n"/>
      <c r="E122" s="199" t="n"/>
      <c r="F122" s="198" t="n"/>
      <c r="G122" s="198">
        <f>G61+G121</f>
        <v/>
      </c>
      <c r="H122" s="60" t="n"/>
      <c r="I122" s="185" t="n"/>
      <c r="J122" s="185">
        <f>J61+J121</f>
        <v/>
      </c>
    </row>
    <row r="123" ht="15.75" customFormat="1" customHeight="1" s="148">
      <c r="A123" s="181" t="n"/>
      <c r="B123" s="199" t="n"/>
      <c r="C123" s="196" t="inlineStr">
        <is>
          <t>ИТОГО ПОКАЗАТЕЛЬ НА ЕД. ИЗМ.</t>
        </is>
      </c>
      <c r="D123" s="199" t="inlineStr">
        <is>
          <t>м3</t>
        </is>
      </c>
      <c r="E123" s="199" t="n">
        <v>168</v>
      </c>
      <c r="F123" s="198" t="n"/>
      <c r="G123" s="198">
        <f>G122/E123</f>
        <v/>
      </c>
      <c r="H123" s="60" t="n"/>
      <c r="I123" s="185" t="n"/>
      <c r="J123" s="198">
        <f>J122/E123</f>
        <v/>
      </c>
    </row>
    <row r="124" ht="15.75" customFormat="1" customHeight="1" s="148">
      <c r="E124" s="148" t="n"/>
      <c r="F124" s="92" t="n"/>
      <c r="G124" s="92" t="n"/>
      <c r="I124" s="92" t="n"/>
      <c r="J124" s="92" t="n"/>
    </row>
    <row r="125" ht="15.75" customFormat="1" customHeight="1" s="148">
      <c r="A125" s="148" t="inlineStr">
        <is>
          <t>Составил ______________________        М.С. Колотиевская</t>
        </is>
      </c>
    </row>
    <row r="126" ht="15.75" customFormat="1" customHeight="1" s="148">
      <c r="A126" s="99" t="inlineStr">
        <is>
          <t xml:space="preserve">                         (подпись, инициалы, фамилия)</t>
        </is>
      </c>
    </row>
    <row r="127" ht="15.75" customFormat="1" customHeight="1" s="148"/>
    <row r="128" ht="15.75" customFormat="1" customHeight="1" s="148">
      <c r="A128" s="148" t="inlineStr">
        <is>
          <t>Проверил ______________________          А.В. Костянецкая</t>
        </is>
      </c>
    </row>
    <row r="129" ht="15.75" customFormat="1" customHeight="1" s="148">
      <c r="A129" s="99" t="inlineStr">
        <is>
          <t xml:space="preserve">                        (подпись, инициалы, фамилия)</t>
        </is>
      </c>
    </row>
    <row r="130" ht="15.75" customFormat="1" customHeight="1" s="148">
      <c r="E130" s="148" t="n"/>
      <c r="F130" s="92" t="n"/>
      <c r="G130" s="92" t="n"/>
      <c r="I130" s="92" t="n"/>
      <c r="J130" s="92" t="n"/>
    </row>
  </sheetData>
  <mergeCells count="28">
    <mergeCell ref="H9:H10"/>
    <mergeCell ref="B54:F54"/>
    <mergeCell ref="B57:J57"/>
    <mergeCell ref="B64:H64"/>
    <mergeCell ref="B15:H15"/>
    <mergeCell ref="B71:F71"/>
    <mergeCell ref="H2:J2"/>
    <mergeCell ref="B63:H63"/>
    <mergeCell ref="C9:C10"/>
    <mergeCell ref="E9:E10"/>
    <mergeCell ref="B117:F117"/>
    <mergeCell ref="B9:B10"/>
    <mergeCell ref="D9:D10"/>
    <mergeCell ref="B18:H18"/>
    <mergeCell ref="B116:F116"/>
    <mergeCell ref="B12:H12"/>
    <mergeCell ref="D6:J6"/>
    <mergeCell ref="F9:G9"/>
    <mergeCell ref="A4:H4"/>
    <mergeCell ref="B59:J59"/>
    <mergeCell ref="B55:F55"/>
    <mergeCell ref="B17:H17"/>
    <mergeCell ref="A9:A10"/>
    <mergeCell ref="A6:C6"/>
    <mergeCell ref="B56:J56"/>
    <mergeCell ref="A7:C7"/>
    <mergeCell ref="B26:F26"/>
    <mergeCell ref="I9:J9"/>
  </mergeCells>
  <conditionalFormatting sqref="E13:E130">
    <cfRule type="expression" priority="1" dxfId="0" stopIfTrue="1">
      <formula>E13&gt;=1/10000</formula>
    </cfRule>
  </conditionalFormatting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zoomScale="130" zoomScaleNormal="100" zoomScaleSheetLayoutView="130" workbookViewId="0">
      <selection activeCell="A18" sqref="A18"/>
    </sheetView>
  </sheetViews>
  <sheetFormatPr baseColWidth="8" defaultColWidth="9.140625" defaultRowHeight="15"/>
  <cols>
    <col width="5.7109375" customWidth="1" style="146" min="1" max="1"/>
    <col width="14.85546875" customWidth="1" style="146" min="2" max="2"/>
    <col width="39.140625" customWidth="1" style="146" min="3" max="3"/>
    <col width="8.28515625" customWidth="1" style="146" min="4" max="4"/>
    <col width="13.5703125" customWidth="1" style="146" min="5" max="5"/>
    <col width="12.42578125" customWidth="1" style="146" min="6" max="6"/>
    <col width="14.140625" customWidth="1" style="146" min="7" max="7"/>
    <col width="9.140625" customWidth="1" style="146" min="8" max="8"/>
  </cols>
  <sheetData>
    <row r="1" ht="15.75" customHeight="1" s="146">
      <c r="A1" s="190" t="inlineStr">
        <is>
          <t>Приложение №6</t>
        </is>
      </c>
    </row>
    <row r="2" ht="21.75" customHeight="1" s="146">
      <c r="A2" s="190" t="n"/>
      <c r="B2" s="190" t="n"/>
      <c r="C2" s="190" t="n"/>
      <c r="D2" s="190" t="n"/>
      <c r="E2" s="190" t="n"/>
      <c r="F2" s="190" t="n"/>
      <c r="G2" s="190" t="n"/>
    </row>
    <row r="3" ht="15.75" customHeight="1" s="146">
      <c r="A3" s="167" t="inlineStr">
        <is>
          <t>Расчет стоимости оборудования</t>
        </is>
      </c>
    </row>
    <row r="4" ht="25.5" customHeight="1" s="146">
      <c r="A4" s="191" t="inlineStr">
        <is>
          <t>Наименование разрабатываемого показателя УНЦ —  Шумозащитная стенка</t>
        </is>
      </c>
    </row>
    <row r="5" ht="15.75" customHeight="1" s="146">
      <c r="A5" s="148" t="n"/>
      <c r="B5" s="148" t="n"/>
      <c r="C5" s="148" t="n"/>
      <c r="D5" s="148" t="n"/>
      <c r="E5" s="148" t="n"/>
      <c r="F5" s="148" t="n"/>
      <c r="G5" s="148" t="n"/>
    </row>
    <row r="6" ht="30.2" customFormat="1" customHeight="1" s="148">
      <c r="A6" s="199" t="inlineStr">
        <is>
          <t>№ пп.</t>
        </is>
      </c>
      <c r="B6" s="199" t="inlineStr">
        <is>
          <t>Код ресурса</t>
        </is>
      </c>
      <c r="C6" s="199" t="inlineStr">
        <is>
          <t>Наименование</t>
        </is>
      </c>
      <c r="D6" s="199" t="inlineStr">
        <is>
          <t>Ед. изм.</t>
        </is>
      </c>
      <c r="E6" s="184" t="inlineStr">
        <is>
          <t>Кол-во единиц по проектным данным</t>
        </is>
      </c>
      <c r="F6" s="199" t="inlineStr">
        <is>
          <t>Сметная стоимость в ценах на 01.01.2000 (руб.)</t>
        </is>
      </c>
      <c r="G6" s="205" t="n"/>
    </row>
    <row r="7" ht="15.75" customFormat="1" customHeight="1" s="148">
      <c r="A7" s="207" t="n"/>
      <c r="B7" s="207" t="n"/>
      <c r="C7" s="207" t="n"/>
      <c r="D7" s="207" t="n"/>
      <c r="E7" s="207" t="n"/>
      <c r="F7" s="184" t="inlineStr">
        <is>
          <t>на ед. изм.</t>
        </is>
      </c>
      <c r="G7" s="184" t="inlineStr">
        <is>
          <t>общая</t>
        </is>
      </c>
    </row>
    <row r="8" ht="15.75" customFormat="1" customHeight="1" s="148">
      <c r="A8" s="184" t="n">
        <v>1</v>
      </c>
      <c r="B8" s="184" t="n">
        <v>2</v>
      </c>
      <c r="C8" s="184" t="n">
        <v>3</v>
      </c>
      <c r="D8" s="184" t="n">
        <v>4</v>
      </c>
      <c r="E8" s="184" t="n">
        <v>5</v>
      </c>
      <c r="F8" s="184" t="n">
        <v>6</v>
      </c>
      <c r="G8" s="184" t="n">
        <v>7</v>
      </c>
    </row>
    <row r="9" ht="15.75" customFormat="1" customHeight="1" s="148">
      <c r="A9" s="181" t="n"/>
      <c r="B9" s="196" t="inlineStr">
        <is>
          <t>ИНЖЕНЕРНОЕ ОБОРУДОВАНИЕ</t>
        </is>
      </c>
      <c r="C9" s="204" t="n"/>
      <c r="D9" s="204" t="n"/>
      <c r="E9" s="204" t="n"/>
      <c r="F9" s="204" t="n"/>
      <c r="G9" s="205" t="n"/>
    </row>
    <row r="10" ht="31.7" customFormat="1" customHeight="1" s="148">
      <c r="A10" s="199" t="n"/>
      <c r="B10" s="68" t="n"/>
      <c r="C10" s="196" t="inlineStr">
        <is>
          <t>ИТОГО ИНЖЕНЕРНОЕ ОБОРУДОВАНИЕ</t>
        </is>
      </c>
      <c r="D10" s="68" t="n"/>
      <c r="E10" s="69" t="n"/>
      <c r="F10" s="198" t="n"/>
      <c r="G10" s="198" t="n">
        <v>0</v>
      </c>
    </row>
    <row r="11" ht="15.75" customFormat="1" customHeight="1" s="148">
      <c r="A11" s="199" t="n"/>
      <c r="B11" s="196" t="inlineStr">
        <is>
          <t>ТЕХНОЛОГИЧЕСКОЕ ОБОРУДОВАНИЕ</t>
        </is>
      </c>
      <c r="C11" s="204" t="n"/>
      <c r="D11" s="204" t="n"/>
      <c r="E11" s="204" t="n"/>
      <c r="F11" s="204" t="n"/>
      <c r="G11" s="205" t="n"/>
    </row>
    <row r="12" ht="31.7" customFormat="1" customHeight="1" s="148">
      <c r="A12" s="199" t="n"/>
      <c r="B12" s="196" t="n"/>
      <c r="C12" s="196" t="inlineStr">
        <is>
          <t>ИТОГО ТЕХНОЛОГИЧЕСКОЕ ОБОРУДОВАНИЕ</t>
        </is>
      </c>
      <c r="D12" s="196" t="n"/>
      <c r="E12" s="197" t="n"/>
      <c r="F12" s="198" t="n"/>
      <c r="G12" s="198" t="n">
        <v>0</v>
      </c>
    </row>
    <row r="13" ht="15.75" customFormat="1" customHeight="1" s="148">
      <c r="A13" s="199" t="n"/>
      <c r="B13" s="196" t="n"/>
      <c r="C13" s="196" t="inlineStr">
        <is>
          <t>Итого по разделу "Оборудование"</t>
        </is>
      </c>
      <c r="D13" s="196" t="n"/>
      <c r="E13" s="197" t="n"/>
      <c r="F13" s="198" t="n"/>
      <c r="G13" s="198" t="n">
        <v>0</v>
      </c>
    </row>
    <row r="14" ht="15.75" customFormat="1" customHeight="1" s="148">
      <c r="B14" s="190" t="n"/>
    </row>
    <row r="15" ht="15.75" customFormat="1" customHeight="1" s="148">
      <c r="A15" s="148" t="inlineStr">
        <is>
          <t>Составил ______________________        М.С. Колотиевская</t>
        </is>
      </c>
      <c r="B15" s="148" t="n"/>
      <c r="C15" s="148" t="n"/>
    </row>
    <row r="16" ht="15.75" customFormat="1" customHeight="1" s="148">
      <c r="A16" s="99" t="inlineStr">
        <is>
          <t xml:space="preserve">                         (подпись, инициалы, фамилия)</t>
        </is>
      </c>
      <c r="B16" s="148" t="n"/>
      <c r="C16" s="148" t="n"/>
    </row>
    <row r="17" ht="15.75" customFormat="1" customHeight="1" s="148">
      <c r="A17" s="148" t="n"/>
      <c r="B17" s="148" t="n"/>
      <c r="C17" s="148" t="n"/>
    </row>
    <row r="18" ht="15.75" customFormat="1" customHeight="1" s="148">
      <c r="A18" s="148" t="inlineStr">
        <is>
          <t>Проверил ______________________          А.В. Костянецкая</t>
        </is>
      </c>
      <c r="B18" s="148" t="n"/>
      <c r="C18" s="148" t="n"/>
    </row>
    <row r="19" ht="15.75" customFormat="1" customHeight="1" s="148">
      <c r="A19" s="99" t="inlineStr">
        <is>
          <t xml:space="preserve">                        (подпись, инициалы, фамилия)</t>
        </is>
      </c>
      <c r="B19" s="148" t="n"/>
      <c r="C19" s="148" t="n"/>
    </row>
    <row r="20" ht="15.75" customFormat="1" customHeight="1" s="148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A16" sqref="A16"/>
    </sheetView>
  </sheetViews>
  <sheetFormatPr baseColWidth="8" defaultColWidth="8.85546875" defaultRowHeight="15"/>
  <cols>
    <col width="14.42578125" customWidth="1" style="146" min="1" max="1"/>
    <col width="29.5703125" customWidth="1" style="146" min="2" max="2"/>
    <col width="39.140625" customWidth="1" style="146" min="3" max="3"/>
    <col width="24.42578125" customWidth="1" style="146" min="4" max="4"/>
    <col width="8.85546875" customWidth="1" style="146" min="5" max="5"/>
  </cols>
  <sheetData>
    <row r="1">
      <c r="B1" s="132" t="n"/>
      <c r="C1" s="132" t="n"/>
      <c r="D1" s="129" t="inlineStr">
        <is>
          <t>Приложение №7</t>
        </is>
      </c>
    </row>
    <row r="2">
      <c r="A2" s="129" t="n"/>
      <c r="B2" s="129" t="n"/>
      <c r="C2" s="129" t="n"/>
      <c r="D2" s="129" t="n"/>
    </row>
    <row r="3" ht="24.75" customHeight="1" s="146">
      <c r="A3" s="200" t="inlineStr">
        <is>
          <t>Расчет показателя УНЦ</t>
        </is>
      </c>
    </row>
    <row r="4" ht="24.75" customHeight="1" s="146">
      <c r="A4" s="200" t="n"/>
      <c r="B4" s="200" t="n"/>
      <c r="C4" s="200" t="n"/>
      <c r="D4" s="200" t="n"/>
    </row>
    <row r="5" ht="24.6" customHeight="1" s="146">
      <c r="A5" s="201" t="inlineStr">
        <is>
          <t xml:space="preserve">Наименование разрабатываемого показателя УНЦ - </t>
        </is>
      </c>
      <c r="D5" s="201">
        <f>'Прил.5 Расчет СМР и ОБ'!D6:J6</f>
        <v/>
      </c>
    </row>
    <row r="6" ht="19.9" customHeight="1" s="146">
      <c r="A6" s="201" t="inlineStr">
        <is>
          <t>Единица измерения  — 1 м2</t>
        </is>
      </c>
      <c r="D6" s="201" t="n"/>
    </row>
    <row r="7">
      <c r="A7" s="132" t="n"/>
      <c r="B7" s="132" t="n"/>
      <c r="C7" s="132" t="n"/>
      <c r="D7" s="132" t="n"/>
    </row>
    <row r="8" ht="14.45" customHeight="1" s="146">
      <c r="A8" s="184" t="inlineStr">
        <is>
          <t>Код показателя</t>
        </is>
      </c>
      <c r="B8" s="184" t="inlineStr">
        <is>
          <t>Наименование показателя</t>
        </is>
      </c>
      <c r="C8" s="184" t="inlineStr">
        <is>
          <t>Наименование РМ, входящих в состав показателя</t>
        </is>
      </c>
      <c r="D8" s="184" t="inlineStr">
        <is>
          <t>Норматив цены на 01.01.2023, тыс.руб.</t>
        </is>
      </c>
    </row>
    <row r="9" ht="15" customHeight="1" s="146">
      <c r="A9" s="207" t="n"/>
      <c r="B9" s="207" t="n"/>
      <c r="C9" s="207" t="n"/>
      <c r="D9" s="207" t="n"/>
    </row>
    <row r="10">
      <c r="A10" s="133" t="n">
        <v>1</v>
      </c>
      <c r="B10" s="133" t="n">
        <v>2</v>
      </c>
      <c r="C10" s="133" t="n">
        <v>3</v>
      </c>
      <c r="D10" s="133" t="n">
        <v>4</v>
      </c>
    </row>
    <row r="11" ht="41.45" customHeight="1" s="146">
      <c r="A11" s="133" t="inlineStr">
        <is>
          <t>З8-06</t>
        </is>
      </c>
      <c r="B11" s="133" t="inlineStr">
        <is>
          <t>УНЦ прочих здания и сооружений ПС</t>
        </is>
      </c>
      <c r="C11" s="134">
        <f>D5</f>
        <v/>
      </c>
      <c r="D11" s="135">
        <f>'Прил.4 РМ'!C41/1000</f>
        <v/>
      </c>
      <c r="E11" s="126" t="n"/>
    </row>
    <row r="12">
      <c r="A12" s="136" t="n"/>
      <c r="B12" s="137" t="n"/>
      <c r="C12" s="136" t="n"/>
      <c r="D12" s="136" t="n"/>
    </row>
    <row r="13">
      <c r="A13" s="132" t="inlineStr">
        <is>
          <t>Составил ______________________      М.С. Колотиевская</t>
        </is>
      </c>
      <c r="B13" s="138" t="n"/>
      <c r="C13" s="138" t="n"/>
      <c r="D13" s="136" t="n"/>
    </row>
    <row r="14">
      <c r="A14" s="139" t="inlineStr">
        <is>
          <t xml:space="preserve">                         (подпись, инициалы, фамилия)</t>
        </is>
      </c>
      <c r="B14" s="138" t="n"/>
      <c r="C14" s="138" t="n"/>
      <c r="D14" s="136" t="n"/>
    </row>
    <row r="15">
      <c r="A15" s="132" t="n"/>
      <c r="B15" s="138" t="n"/>
      <c r="C15" s="138" t="n"/>
      <c r="D15" s="136" t="n"/>
    </row>
    <row r="16" ht="15.75" customHeight="1" s="146">
      <c r="A16" s="148" t="inlineStr">
        <is>
          <t>Проверил ______________________          А.В. Костянецкая</t>
        </is>
      </c>
      <c r="B16" s="138" t="n"/>
      <c r="C16" s="138" t="n"/>
      <c r="D16" s="136" t="n"/>
    </row>
    <row r="17">
      <c r="A17" s="139" t="inlineStr">
        <is>
          <t xml:space="preserve">                        (подпись, инициалы, фамилия)</t>
        </is>
      </c>
      <c r="B17" s="138" t="n"/>
      <c r="C17" s="138" t="n"/>
      <c r="D17" s="13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6" zoomScale="60" zoomScaleNormal="100" workbookViewId="0">
      <selection activeCell="F34" sqref="F34"/>
    </sheetView>
  </sheetViews>
  <sheetFormatPr baseColWidth="8" defaultRowHeight="15"/>
  <cols>
    <col width="9.140625" customWidth="1" style="146" min="1" max="1"/>
    <col width="40.7109375" customWidth="1" style="146" min="2" max="2"/>
    <col width="37" customWidth="1" style="146" min="3" max="3"/>
    <col width="32" customWidth="1" style="146" min="4" max="4"/>
    <col width="9.140625" customWidth="1" style="146" min="5" max="5"/>
  </cols>
  <sheetData>
    <row r="4" ht="15.75" customHeight="1" s="146">
      <c r="B4" s="166" t="inlineStr">
        <is>
          <t>Приложение № 10</t>
        </is>
      </c>
    </row>
    <row r="5" ht="18.75" customHeight="1" s="146">
      <c r="B5" s="8" t="n"/>
    </row>
    <row r="6" ht="15.75" customHeight="1" s="146">
      <c r="B6" s="167" t="inlineStr">
        <is>
          <t>Используемые индексы изменений сметной стоимости и нормы сопутствующих затрат</t>
        </is>
      </c>
    </row>
    <row r="7" ht="18.75" customHeight="1" s="146">
      <c r="B7" s="114" t="n"/>
    </row>
    <row r="8" ht="47.25" customFormat="1" customHeight="1" s="148">
      <c r="B8" s="184" t="inlineStr">
        <is>
          <t>Наименование индекса / норм сопутствующих затрат</t>
        </is>
      </c>
      <c r="C8" s="184" t="inlineStr">
        <is>
          <t>Дата применения и обоснование индекса / норм сопутствующих затрат</t>
        </is>
      </c>
      <c r="D8" s="184" t="inlineStr">
        <is>
          <t>Размер индекса / норма сопутствующих затрат</t>
        </is>
      </c>
    </row>
    <row r="9" ht="15.75" customFormat="1" customHeight="1" s="148">
      <c r="B9" s="184" t="n">
        <v>1</v>
      </c>
      <c r="C9" s="184" t="n">
        <v>2</v>
      </c>
      <c r="D9" s="184" t="n">
        <v>3</v>
      </c>
    </row>
    <row r="10" ht="31.7" customFormat="1" customHeight="1" s="148">
      <c r="B10" s="184" t="inlineStr">
        <is>
          <t xml:space="preserve">Индекс изменения сметной стоимости на 1 квартал 2023 года. ОЗП </t>
        </is>
      </c>
      <c r="C10" s="184" t="inlineStr">
        <is>
          <t>Письмо Минстроя России от 30.03.2023г. №17106-ИФ/09  прил.1</t>
        </is>
      </c>
      <c r="D10" s="184" t="n">
        <v>44.29</v>
      </c>
    </row>
    <row r="11" ht="31.7" customFormat="1" customHeight="1" s="148">
      <c r="B11" s="184" t="inlineStr">
        <is>
          <t>Индекс изменения сметной стоимости на 1 квартал 2023 года. ЭМ</t>
        </is>
      </c>
      <c r="C11" s="184" t="inlineStr">
        <is>
          <t>Письмо Минстроя России от 30.03.2023г. №17106-ИФ/09  прил.1</t>
        </is>
      </c>
      <c r="D11" s="184" t="n">
        <v>13.47</v>
      </c>
    </row>
    <row r="12" ht="31.7" customFormat="1" customHeight="1" s="148">
      <c r="B12" s="184" t="inlineStr">
        <is>
          <t>Индекс изменения сметной стоимости на 1 квартал 2023 года. МАТ</t>
        </is>
      </c>
      <c r="C12" s="184" t="inlineStr">
        <is>
          <t>Письмо Минстроя России от 30.03.2023г. №17106-ИФ/09  прил.1</t>
        </is>
      </c>
      <c r="D12" s="184" t="n">
        <v>8.039999999999999</v>
      </c>
    </row>
    <row r="13" ht="31.7" customFormat="1" customHeight="1" s="148">
      <c r="B13" s="184" t="inlineStr">
        <is>
          <t>Индекс изменения сметной стоимости на 1 квартал 2023 года. ОБ</t>
        </is>
      </c>
      <c r="C13" s="106" t="inlineStr">
        <is>
          <t>Письмо Минстроя России от 23.02.2023г. №9791-ИФ/09 прил.6</t>
        </is>
      </c>
      <c r="D13" s="184" t="n">
        <v>6.26</v>
      </c>
    </row>
    <row r="14" ht="78.75" customFormat="1" customHeight="1" s="148">
      <c r="B14" s="184" t="inlineStr">
        <is>
          <t>Временные здания и сооружения</t>
        </is>
      </c>
      <c r="C14" s="18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2" t="n">
        <v>0.039</v>
      </c>
    </row>
    <row r="15" ht="78.75" customFormat="1" customHeight="1" s="148">
      <c r="B15" s="184" t="inlineStr">
        <is>
          <t>Дополнительные затраты при производстве строительно-монтажных работ в зимнее время</t>
        </is>
      </c>
      <c r="C15" s="18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2" t="n">
        <v>0.021</v>
      </c>
      <c r="E15" s="102" t="n"/>
    </row>
    <row r="16" ht="31.7" customFormat="1" customHeight="1" s="148">
      <c r="B16" s="184" t="inlineStr">
        <is>
          <t>Пусконаладочные работы</t>
        </is>
      </c>
      <c r="C16" s="184" t="n"/>
      <c r="D16" s="184" t="inlineStr">
        <is>
          <t>Расчёт</t>
        </is>
      </c>
    </row>
    <row r="17" ht="31.7" customFormat="1" customHeight="1" s="148">
      <c r="B17" s="184" t="inlineStr">
        <is>
          <t>Строительный контроль</t>
        </is>
      </c>
      <c r="C17" s="184" t="inlineStr">
        <is>
          <t>Постановление Правительства РФ от 21.06.10 г. № 468</t>
        </is>
      </c>
      <c r="D17" s="12" t="n">
        <v>0.0214</v>
      </c>
    </row>
    <row r="18" ht="15.75" customFormat="1" customHeight="1" s="148">
      <c r="B18" s="184" t="inlineStr">
        <is>
          <t>Авторский надзор</t>
        </is>
      </c>
      <c r="C18" s="184" t="inlineStr">
        <is>
          <t>Приказ от 4.08.2020 № 421/пр п.173</t>
        </is>
      </c>
      <c r="D18" s="12" t="n">
        <v>0.002</v>
      </c>
    </row>
    <row r="19" ht="15.75" customFormat="1" customHeight="1" s="148">
      <c r="B19" s="184" t="inlineStr">
        <is>
          <t>Непредвиденные расходы</t>
        </is>
      </c>
      <c r="C19" s="184" t="inlineStr">
        <is>
          <t>Приказ от 4.08.2020 № 421/пр п.179</t>
        </is>
      </c>
      <c r="D19" s="12" t="n">
        <v>0.03</v>
      </c>
    </row>
    <row r="20" ht="15.75" customFormat="1" customHeight="1" s="148">
      <c r="B20" s="168" t="n"/>
    </row>
    <row r="21" ht="15.75" customFormat="1" customHeight="1" s="148">
      <c r="B21" s="168" t="n"/>
    </row>
    <row r="22" ht="15.75" customFormat="1" customHeight="1" s="148">
      <c r="B22" s="168" t="n"/>
    </row>
    <row r="23" ht="15.75" customFormat="1" customHeight="1" s="148">
      <c r="B23" s="168" t="n"/>
    </row>
    <row r="24" ht="15.75" customFormat="1" customHeight="1" s="148"/>
    <row r="25" ht="15.75" customFormat="1" customHeight="1" s="148"/>
    <row r="26" ht="15.75" customFormat="1" customHeight="1" s="148">
      <c r="B26" s="148" t="inlineStr">
        <is>
          <t>Составил ______________________        М.С. Колотиевская</t>
        </is>
      </c>
      <c r="C26" s="148" t="n"/>
    </row>
    <row r="27" ht="15.75" customFormat="1" customHeight="1" s="148">
      <c r="B27" s="99" t="inlineStr">
        <is>
          <t xml:space="preserve">                         (подпись, инициалы, фамилия)</t>
        </is>
      </c>
      <c r="C27" s="148" t="n"/>
    </row>
    <row r="28" ht="15.75" customFormat="1" customHeight="1" s="148">
      <c r="B28" s="148" t="n"/>
      <c r="C28" s="148" t="n"/>
    </row>
    <row r="29" ht="15.75" customFormat="1" customHeight="1" s="148">
      <c r="B29" s="148" t="inlineStr">
        <is>
          <t>Проверил ______________________          А.В. Костянецкая</t>
        </is>
      </c>
      <c r="C29" s="148" t="n"/>
    </row>
    <row r="30" ht="15.75" customFormat="1" customHeight="1" s="148">
      <c r="B30" s="99" t="inlineStr">
        <is>
          <t xml:space="preserve">                        (подпись, инициалы, фамилия)</t>
        </is>
      </c>
      <c r="C30" s="148" t="n"/>
    </row>
    <row r="31" ht="15.75" customFormat="1" customHeight="1" s="148"/>
    <row r="32" ht="15.75" customFormat="1" customHeight="1" s="148"/>
  </sheetData>
  <mergeCells count="2">
    <mergeCell ref="B6:D6"/>
    <mergeCell ref="B4:D4"/>
  </mergeCells>
  <pageMargins left="0.7" right="0.7" top="0.75" bottom="0.75" header="0.3" footer="0.3"/>
  <pageSetup orientation="portrait" scale="7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5:F13"/>
    </sheetView>
  </sheetViews>
  <sheetFormatPr baseColWidth="8" defaultColWidth="9.140625" defaultRowHeight="15"/>
  <cols>
    <col width="44.85546875" customWidth="1" style="146" min="2" max="2"/>
    <col width="13" customWidth="1" style="146" min="3" max="3"/>
    <col width="22.85546875" customWidth="1" style="146" min="4" max="4"/>
    <col width="21.5703125" customWidth="1" style="146" min="5" max="5"/>
    <col width="43.85546875" customWidth="1" style="146" min="6" max="6"/>
  </cols>
  <sheetData>
    <row r="1" s="146"/>
    <row r="2" ht="17.25" customHeight="1" s="146">
      <c r="A2" s="167" t="inlineStr">
        <is>
          <t>Расчет размера средств на оплату труда рабочих-строителей в текущем уровне цен (ФОТр.тек.)</t>
        </is>
      </c>
    </row>
    <row r="3" s="146"/>
    <row r="4" ht="18" customHeight="1" s="146">
      <c r="A4" s="147" t="inlineStr">
        <is>
          <t>Составлен в уровне цен на 01.01.2023 г.</t>
        </is>
      </c>
      <c r="B4" s="148" t="n"/>
      <c r="C4" s="148" t="n"/>
      <c r="D4" s="148" t="n"/>
      <c r="E4" s="148" t="n"/>
      <c r="F4" s="148" t="n"/>
      <c r="G4" s="148" t="n"/>
    </row>
    <row r="5" ht="15.75" customHeight="1" s="146">
      <c r="A5" s="153" t="inlineStr">
        <is>
          <t>№ пп.</t>
        </is>
      </c>
      <c r="B5" s="153" t="inlineStr">
        <is>
          <t>Наименование элемента</t>
        </is>
      </c>
      <c r="C5" s="153" t="inlineStr">
        <is>
          <t>Обозначение</t>
        </is>
      </c>
      <c r="D5" s="153" t="inlineStr">
        <is>
          <t>Формула</t>
        </is>
      </c>
      <c r="E5" s="153" t="inlineStr">
        <is>
          <t>Величина элемента</t>
        </is>
      </c>
      <c r="F5" s="153" t="inlineStr">
        <is>
          <t>Наименования обосновывающих документов</t>
        </is>
      </c>
      <c r="G5" s="148" t="n"/>
    </row>
    <row r="6" ht="15.75" customHeight="1" s="146">
      <c r="A6" s="153" t="n">
        <v>1</v>
      </c>
      <c r="B6" s="153" t="n">
        <v>2</v>
      </c>
      <c r="C6" s="153" t="n">
        <v>3</v>
      </c>
      <c r="D6" s="153" t="n">
        <v>4</v>
      </c>
      <c r="E6" s="153" t="n">
        <v>5</v>
      </c>
      <c r="F6" s="153" t="n">
        <v>6</v>
      </c>
      <c r="G6" s="148" t="n"/>
    </row>
    <row r="7" ht="110.25" customHeight="1" s="146">
      <c r="A7" s="154" t="inlineStr">
        <is>
          <t>1.1</t>
        </is>
      </c>
      <c r="B7" s="15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56" t="inlineStr">
        <is>
          <t>С1ср</t>
        </is>
      </c>
      <c r="D7" s="156" t="inlineStr">
        <is>
          <t>-</t>
        </is>
      </c>
      <c r="E7" s="157" t="n">
        <v>47872.94</v>
      </c>
      <c r="F7" s="15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8" t="n"/>
    </row>
    <row r="8" ht="31.5" customHeight="1" s="146">
      <c r="A8" s="154" t="inlineStr">
        <is>
          <t>1.2</t>
        </is>
      </c>
      <c r="B8" s="155" t="inlineStr">
        <is>
          <t>Среднегодовое нормативное число часов работы одного рабочего в месяц, часы (ч.)</t>
        </is>
      </c>
      <c r="C8" s="156" t="inlineStr">
        <is>
          <t>tср</t>
        </is>
      </c>
      <c r="D8" s="156" t="inlineStr">
        <is>
          <t>1973ч/12мес.</t>
        </is>
      </c>
      <c r="E8" s="158">
        <f>1973/12</f>
        <v/>
      </c>
      <c r="F8" s="155" t="inlineStr">
        <is>
          <t>Производственный календарь 2023 год
(40-часов.неделя)</t>
        </is>
      </c>
      <c r="G8" s="150" t="n"/>
    </row>
    <row r="9" ht="15.75" customHeight="1" s="146">
      <c r="A9" s="154" t="inlineStr">
        <is>
          <t>1.3</t>
        </is>
      </c>
      <c r="B9" s="155" t="inlineStr">
        <is>
          <t>Коэффициент увеличения</t>
        </is>
      </c>
      <c r="C9" s="156" t="inlineStr">
        <is>
          <t>Кув</t>
        </is>
      </c>
      <c r="D9" s="156" t="inlineStr">
        <is>
          <t>-</t>
        </is>
      </c>
      <c r="E9" s="158" t="n">
        <v>1</v>
      </c>
      <c r="F9" s="155" t="n"/>
      <c r="G9" s="150" t="n"/>
    </row>
    <row r="10" ht="15.75" customHeight="1" s="146">
      <c r="A10" s="154" t="inlineStr">
        <is>
          <t>1.4</t>
        </is>
      </c>
      <c r="B10" s="155" t="inlineStr">
        <is>
          <t>Средний разряд работ</t>
        </is>
      </c>
      <c r="C10" s="156" t="n"/>
      <c r="D10" s="156" t="n"/>
      <c r="E10" s="213" t="n">
        <v>3.3</v>
      </c>
      <c r="F10" s="155" t="inlineStr">
        <is>
          <t>РТМ</t>
        </is>
      </c>
      <c r="G10" s="150" t="n"/>
    </row>
    <row r="11" ht="78.75" customHeight="1" s="146">
      <c r="A11" s="154" t="inlineStr">
        <is>
          <t>1.5</t>
        </is>
      </c>
      <c r="B11" s="155" t="inlineStr">
        <is>
          <t>Тарифный коэффициент среднего разряда работ</t>
        </is>
      </c>
      <c r="C11" s="156" t="inlineStr">
        <is>
          <t>КТ</t>
        </is>
      </c>
      <c r="D11" s="156" t="inlineStr">
        <is>
          <t>-</t>
        </is>
      </c>
      <c r="E11" s="214" t="n">
        <v>1.232</v>
      </c>
      <c r="F11" s="15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8" t="n"/>
    </row>
    <row r="12" ht="78.75" customHeight="1" s="146">
      <c r="A12" s="154" t="inlineStr">
        <is>
          <t>1.6</t>
        </is>
      </c>
      <c r="B12" s="161" t="inlineStr">
        <is>
          <t>Коэффициент инфляции, определяемый поквартально</t>
        </is>
      </c>
      <c r="C12" s="156" t="inlineStr">
        <is>
          <t>Кинф</t>
        </is>
      </c>
      <c r="D12" s="156" t="inlineStr">
        <is>
          <t>-</t>
        </is>
      </c>
      <c r="E12" s="215" t="n">
        <v>1.139</v>
      </c>
      <c r="F12" s="16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0" t="n"/>
    </row>
    <row r="13" ht="63" customHeight="1" s="146">
      <c r="A13" s="154" t="inlineStr">
        <is>
          <t>1.7</t>
        </is>
      </c>
      <c r="B13" s="164" t="inlineStr">
        <is>
          <t>Размер средств на оплату труда рабочих-строителей в текущем уровне цен (ФОТр.тек.), руб/чел.-ч</t>
        </is>
      </c>
      <c r="C13" s="156" t="inlineStr">
        <is>
          <t>ФОТр.тек.</t>
        </is>
      </c>
      <c r="D13" s="156" t="inlineStr">
        <is>
          <t>(С1ср/tср*КТ*Т*Кув)*Кинф</t>
        </is>
      </c>
      <c r="E13" s="165">
        <f>((E7*E9/E8)*E11)*E12</f>
        <v/>
      </c>
      <c r="F13" s="15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2023-08-25T11:34:36Z</dcterms:created>
  <dcterms:modified xsi:type="dcterms:W3CDTF">2025-01-24T11:59:59Z</dcterms:modified>
  <cp:lastModifiedBy>Nikolay Ivanov</cp:lastModifiedBy>
  <cp:lastPrinted>2023-11-30T09:01:44Z</cp:lastPrinted>
</cp:coreProperties>
</file>