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табл'!$A$1:$E$31</definedName>
    <definedName name="_xlnm.Print_Area" localSheetId="1">'Прил.2 Расч стоим'!$A$1:$J$41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5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49" fontId="1" fillId="0" borderId="1" applyAlignment="1" pivotButton="0" quotePrefix="0" xfId="0">
      <alignment wrapText="1"/>
    </xf>
    <xf numFmtId="165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49" fontId="1" fillId="0" borderId="1" pivotButton="0" quotePrefix="0" xfId="0"/>
    <xf numFmtId="165" fontId="1" fillId="0" borderId="1" pivotButton="0" quotePrefix="0" xfId="0"/>
    <xf numFmtId="0" fontId="0" fillId="0" borderId="0" pivotButton="0" quotePrefix="0" xfId="0"/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 wrapText="1"/>
    </xf>
    <xf numFmtId="4" fontId="0" fillId="0" borderId="8" applyAlignment="1" pivotButton="0" quotePrefix="0" xfId="0">
      <alignment horizontal="center" vertical="center"/>
    </xf>
    <xf numFmtId="4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 wrapText="1"/>
    </xf>
    <xf numFmtId="168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wrapText="1"/>
    </xf>
    <xf numFmtId="0" fontId="5" fillId="0" borderId="8" applyAlignment="1" pivotButton="0" quotePrefix="0" xfId="0">
      <alignment vertical="center" wrapText="1"/>
    </xf>
    <xf numFmtId="4" fontId="5" fillId="0" borderId="8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166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view="pageBreakPreview" topLeftCell="A22" zoomScale="90" workbookViewId="0">
      <selection activeCell="C30" sqref="C30"/>
    </sheetView>
  </sheetViews>
  <sheetFormatPr baseColWidth="8" defaultRowHeight="15.75"/>
  <cols>
    <col width="5.7109375" customWidth="1" style="143" min="1" max="1"/>
    <col width="34.28515625" customWidth="1" style="143" min="2" max="2"/>
    <col width="26.85546875" customWidth="1" style="143" min="3" max="3"/>
    <col width="27" customWidth="1" style="143" min="4" max="4"/>
    <col width="32" customWidth="1" style="143" min="5" max="5"/>
    <col width="9.140625" customWidth="1" style="143" min="6" max="8"/>
    <col width="12.140625" customWidth="1" style="143" min="9" max="9"/>
    <col width="9.140625" customWidth="1" style="143" min="10" max="10"/>
  </cols>
  <sheetData>
    <row r="1" customFormat="1" s="143">
      <c r="B1" s="161" t="inlineStr">
        <is>
          <t>Приложение № 1</t>
        </is>
      </c>
    </row>
    <row r="2" customFormat="1" s="143">
      <c r="B2" s="162" t="inlineStr">
        <is>
          <t>Сравнительная таблица отбора объекта-представителя</t>
        </is>
      </c>
    </row>
    <row r="3" customFormat="1" s="143">
      <c r="B3" s="100" t="n"/>
      <c r="C3" s="100" t="n"/>
      <c r="D3" s="100" t="n"/>
      <c r="E3" s="100" t="n"/>
      <c r="F3" s="100" t="n"/>
      <c r="G3" s="100" t="n"/>
    </row>
    <row r="4" customFormat="1" s="143">
      <c r="B4" s="100" t="n"/>
      <c r="C4" s="100" t="n"/>
      <c r="D4" s="100" t="n"/>
      <c r="E4" s="100" t="n"/>
      <c r="F4" s="100" t="n"/>
      <c r="G4" s="100" t="n"/>
    </row>
    <row r="5" customFormat="1" s="143">
      <c r="B5" s="163" t="inlineStr">
        <is>
          <t>Наименование разрабатываемого показателя УНЦ — Подпорная стенка</t>
        </is>
      </c>
      <c r="I5" s="101" t="n"/>
    </row>
    <row r="6" ht="31.7" customFormat="1" customHeight="1" s="143">
      <c r="B6" s="163" t="inlineStr">
        <is>
          <t>Сопоставимый уровень цен: базовый уровень цен</t>
        </is>
      </c>
    </row>
    <row r="7" customFormat="1" s="143">
      <c r="B7" s="163" t="inlineStr">
        <is>
          <t>Единица измерения  — м2</t>
        </is>
      </c>
      <c r="I7" s="101" t="n"/>
    </row>
    <row r="8" customFormat="1" s="143">
      <c r="B8" s="163" t="n"/>
      <c r="C8" s="163" t="n"/>
      <c r="D8" s="163" t="n"/>
      <c r="E8" s="163" t="n"/>
      <c r="F8" s="163" t="n"/>
      <c r="G8" s="163" t="n"/>
      <c r="I8" s="101" t="n"/>
    </row>
    <row r="9" customFormat="1" s="143">
      <c r="B9" s="163" t="n"/>
      <c r="C9" s="163" t="n"/>
      <c r="D9" s="163" t="n"/>
      <c r="E9" s="163" t="n"/>
      <c r="F9" s="163" t="n"/>
      <c r="G9" s="163" t="n"/>
      <c r="I9" s="101" t="n"/>
    </row>
    <row r="11" ht="31.7" customHeight="1" s="141">
      <c r="A11" s="179" t="inlineStr">
        <is>
          <t>№ п/п</t>
        </is>
      </c>
      <c r="B11" s="179" t="inlineStr">
        <is>
          <t>Параметр</t>
        </is>
      </c>
      <c r="C11" s="179" t="inlineStr">
        <is>
          <t>Объект-представитель 1</t>
        </is>
      </c>
      <c r="D11" s="179" t="inlineStr">
        <is>
          <t>Объект-представитель 2</t>
        </is>
      </c>
      <c r="E11" s="179" t="inlineStr">
        <is>
          <t>Объект-представитель 3</t>
        </is>
      </c>
    </row>
    <row r="12" ht="179.45" customHeight="1" s="141">
      <c r="A12" s="179" t="n">
        <v>1</v>
      </c>
      <c r="B12" s="104" t="inlineStr">
        <is>
          <t>Наименование объекта-представителя</t>
        </is>
      </c>
      <c r="C12" s="179" t="inlineStr">
        <is>
          <t>Подстанция «Верещагинская» (110 кВ) с заходами линий электропередач</t>
        </is>
      </c>
      <c r="D12" s="179" t="inlineStr">
        <is>
          <t>Распределительные электрические сети 35 кВ о.Русский. ПС 35/10 кВ Океанариум.</t>
        </is>
      </c>
      <c r="E12" s="104" t="inlineStr">
        <is>
          <t>ПС 330 кВ Кисловодск с заходами ВЛ 330 кВ</t>
        </is>
      </c>
    </row>
    <row r="13" ht="31.7" customHeight="1" s="141">
      <c r="A13" s="179" t="n">
        <v>2</v>
      </c>
      <c r="B13" s="104" t="inlineStr">
        <is>
          <t>Наименование субъекта Российской Федерации</t>
        </is>
      </c>
      <c r="C13" s="179" t="inlineStr">
        <is>
          <t>Краснодарский край</t>
        </is>
      </c>
      <c r="D13" s="179" t="inlineStr">
        <is>
          <t>г. Владивосток</t>
        </is>
      </c>
      <c r="E13" s="104" t="inlineStr">
        <is>
          <t>Ставропольский край</t>
        </is>
      </c>
    </row>
    <row r="14" ht="31.7" customHeight="1" s="141">
      <c r="A14" s="179" t="n">
        <v>3</v>
      </c>
      <c r="B14" s="104" t="inlineStr">
        <is>
          <t>Климатический район и подрайон</t>
        </is>
      </c>
      <c r="C14" s="179" t="inlineStr">
        <is>
          <t>IIIБ</t>
        </is>
      </c>
      <c r="D14" s="179" t="inlineStr">
        <is>
          <t>IВ</t>
        </is>
      </c>
      <c r="E14" s="179" t="inlineStr">
        <is>
          <t>IIIВ</t>
        </is>
      </c>
    </row>
    <row r="15">
      <c r="A15" s="179" t="n">
        <v>4</v>
      </c>
      <c r="B15" s="104" t="inlineStr">
        <is>
          <t>Мощность объекта, м3</t>
        </is>
      </c>
      <c r="C15" s="179" t="n">
        <v>115.2</v>
      </c>
      <c r="D15" s="179" t="n">
        <v>910</v>
      </c>
      <c r="E15" s="179" t="n">
        <v>1578</v>
      </c>
    </row>
    <row r="16" ht="189" customHeight="1" s="141">
      <c r="A16" s="179" t="n">
        <v>5</v>
      </c>
      <c r="B16" s="1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04" t="inlineStr">
        <is>
          <t>Подпорная стенка предназначена для инж. защиты (для предотвращения подтопления). Конструктивно состоит из монолитного ростверка 700х1800мм с буронабивными сваями диаметром 450мм шагом 2м. На стенке устраивают панели ограждения</t>
        </is>
      </c>
      <c r="D16" s="179" t="inlineStr">
        <is>
          <t>Подпорная стенка благоустройства и наружное ограждение. Монолитные ж/б плиты и сборные ж/б блоки В скальных грунтах. 910 м3 бетона</t>
        </is>
      </c>
      <c r="E16" s="104" t="inlineStr">
        <is>
          <t>Подпорная стенка на буронабивных сваях диаметром 450мм, с шагом 1,5м, глубиной до 4м. Поверх стенки устраиваются монолитные столбы под ограждение с шагом 3м, сечением 200х200. Заполнение ограждений между столбами – кирпич толщиной 250мм 1578 м3 бетона</t>
        </is>
      </c>
    </row>
    <row r="17" ht="94.7" customHeight="1" s="141">
      <c r="A17" s="179" t="n">
        <v>6</v>
      </c>
      <c r="B17" s="1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79" t="inlineStr">
        <is>
          <t>332,283/1 747,81 ТЕР 4 квартал 2011 г.</t>
        </is>
      </c>
      <c r="D17" s="179" t="inlineStr">
        <is>
          <t>1 879,52/9 923,87 ТЕР 2 квартал 2011 г.</t>
        </is>
      </c>
      <c r="E17" s="179" t="inlineStr">
        <is>
          <t>3 937,486/26 578,03 ТЕР 4 квартал 2012 г.</t>
        </is>
      </c>
      <c r="G17" s="91" t="n"/>
      <c r="H17" s="91" t="n"/>
      <c r="I17" s="91" t="n"/>
    </row>
    <row r="18">
      <c r="A18" s="106" t="inlineStr">
        <is>
          <t>6.1</t>
        </is>
      </c>
      <c r="B18" s="104" t="inlineStr">
        <is>
          <t>строительно-монтажные работы</t>
        </is>
      </c>
      <c r="C18" s="179" t="inlineStr">
        <is>
          <t>332,283/1 747,81</t>
        </is>
      </c>
      <c r="D18" s="179" t="inlineStr">
        <is>
          <t>1 879,52/9 923,87</t>
        </is>
      </c>
      <c r="E18" s="179" t="inlineStr">
        <is>
          <t>3 937,486/26 578,03</t>
        </is>
      </c>
      <c r="G18" s="91" t="n"/>
      <c r="H18" s="91" t="n"/>
      <c r="I18" s="91" t="n"/>
    </row>
    <row r="19">
      <c r="A19" s="106" t="inlineStr">
        <is>
          <t>6.2</t>
        </is>
      </c>
      <c r="B19" s="104" t="inlineStr">
        <is>
          <t>оборудование и инвентарь</t>
        </is>
      </c>
      <c r="C19" s="179" t="n"/>
      <c r="D19" s="179" t="n"/>
      <c r="E19" s="179" t="n"/>
    </row>
    <row r="20">
      <c r="A20" s="106" t="inlineStr">
        <is>
          <t>6.3</t>
        </is>
      </c>
      <c r="B20" s="104" t="inlineStr">
        <is>
          <t>пусконаладочные работы</t>
        </is>
      </c>
      <c r="C20" s="179" t="n"/>
      <c r="D20" s="179" t="n"/>
      <c r="E20" s="179" t="n"/>
    </row>
    <row r="21" ht="31.7" customHeight="1" s="141">
      <c r="A21" s="106" t="inlineStr">
        <is>
          <t>6.4</t>
        </is>
      </c>
      <c r="B21" s="104" t="inlineStr">
        <is>
          <t>прочие и лимитированные затраты</t>
        </is>
      </c>
      <c r="C21" s="179" t="n"/>
      <c r="D21" s="179" t="n"/>
      <c r="E21" s="179" t="n"/>
    </row>
    <row r="22" ht="64.5" customHeight="1" s="141">
      <c r="A22" s="107" t="n">
        <v>7</v>
      </c>
      <c r="B22" s="104" t="inlineStr">
        <is>
          <t>Сопоставимый уровень цен</t>
        </is>
      </c>
      <c r="C22" s="179" t="inlineStr">
        <is>
          <t xml:space="preserve">4 квартал 2012 г. </t>
        </is>
      </c>
      <c r="D22" s="179" t="inlineStr">
        <is>
          <t xml:space="preserve">4 квартал 2012 г. </t>
        </is>
      </c>
      <c r="E22" s="179" t="inlineStr">
        <is>
          <t xml:space="preserve">4 квартал 2012 г. </t>
        </is>
      </c>
    </row>
    <row r="23" ht="110.25" customHeight="1" s="141">
      <c r="A23" s="107" t="n">
        <v>8</v>
      </c>
      <c r="B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08" t="n">
        <v>1867.6079054701</v>
      </c>
      <c r="D23" s="108" t="n">
        <v>10965.991252815</v>
      </c>
      <c r="E23" s="108" t="n">
        <v>26578.03</v>
      </c>
    </row>
    <row r="24" ht="47.25" customHeight="1" s="141">
      <c r="A24" s="107" t="n">
        <v>9</v>
      </c>
      <c r="B24" s="104" t="inlineStr">
        <is>
          <t>Приведенная сметная стоимость на единицу мощности, тыс. руб. (строка 8/строку 4)</t>
        </is>
      </c>
      <c r="C24" s="108" t="n">
        <v>16.211874179428</v>
      </c>
      <c r="D24" s="108" t="n">
        <v>12.050539838258</v>
      </c>
      <c r="E24" s="108" t="n">
        <v>16.842858048162</v>
      </c>
    </row>
    <row r="25" ht="51.75" customHeight="1" s="141">
      <c r="A25" s="107" t="n">
        <v>10</v>
      </c>
      <c r="B25" s="104" t="inlineStr">
        <is>
          <t>Примечание</t>
        </is>
      </c>
      <c r="C25" s="179" t="n"/>
      <c r="D25" s="179" t="inlineStr">
        <is>
          <t>Скальные грунты, готовые жб плиты</t>
        </is>
      </c>
      <c r="E25" s="179" t="inlineStr">
        <is>
          <t>Принят за объект представитель</t>
        </is>
      </c>
    </row>
    <row r="27" customFormat="1" s="143">
      <c r="C27" s="143" t="inlineStr">
        <is>
          <t>Составил ______________________         М.С. Колотиевская</t>
        </is>
      </c>
    </row>
    <row r="28" customFormat="1" s="143">
      <c r="C28" s="98" t="inlineStr">
        <is>
          <t xml:space="preserve">                         (подпись, инициалы, фамилия)</t>
        </is>
      </c>
    </row>
    <row r="29" customFormat="1" s="143"/>
    <row r="30" s="141">
      <c r="B30" s="143" t="n"/>
      <c r="C30" s="143" t="inlineStr">
        <is>
          <t>Проверил ______________________          А.В. Костянецкая</t>
        </is>
      </c>
      <c r="D30" s="143" t="n"/>
      <c r="E30" s="143" t="n"/>
      <c r="F30" s="143" t="n"/>
      <c r="G30" s="143" t="n"/>
      <c r="H30" s="143" t="n"/>
      <c r="I30" s="143" t="n"/>
      <c r="J30" s="143" t="n"/>
    </row>
    <row r="31" s="141">
      <c r="B31" s="143" t="n"/>
      <c r="C31" s="98" t="inlineStr">
        <is>
          <t xml:space="preserve">                        (подпись, инициалы, фамилия)</t>
        </is>
      </c>
      <c r="D31" s="143" t="n"/>
      <c r="E31" s="143" t="n"/>
      <c r="F31" s="143" t="n"/>
      <c r="G31" s="143" t="n"/>
      <c r="H31" s="143" t="n"/>
      <c r="I31" s="143" t="n"/>
      <c r="J31" s="143" t="n"/>
    </row>
  </sheetData>
  <mergeCells count="5">
    <mergeCell ref="B2:G2"/>
    <mergeCell ref="B5:G5"/>
    <mergeCell ref="B1:G1"/>
    <mergeCell ref="B7:G7"/>
    <mergeCell ref="B6:G6"/>
  </mergeCells>
  <pageMargins left="0.7" right="0.7" top="0.75" bottom="0.75" header="0.3" footer="0.3"/>
  <pageSetup orientation="portrait" paperSize="9" scale="69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2"/>
  <sheetViews>
    <sheetView view="pageBreakPreview" topLeftCell="A22" workbookViewId="0">
      <selection activeCell="C40" sqref="C40"/>
    </sheetView>
  </sheetViews>
  <sheetFormatPr baseColWidth="8" defaultColWidth="9.140625" defaultRowHeight="15"/>
  <cols>
    <col width="5.5703125" customWidth="1" style="141" min="1" max="1"/>
    <col width="9.140625" customWidth="1" style="141" min="2" max="2"/>
    <col width="28.140625" customWidth="1" style="141" min="3" max="3"/>
    <col width="13.85546875" customWidth="1" style="141" min="4" max="4"/>
    <col width="39" customWidth="1" style="141" min="5" max="5"/>
    <col width="14.5703125" customWidth="1" style="141" min="6" max="6"/>
    <col width="21.42578125" customWidth="1" style="141" min="7" max="7"/>
    <col width="19.5703125" customWidth="1" style="141" min="8" max="8"/>
    <col width="13" customWidth="1" style="141" min="9" max="9"/>
    <col width="20.85546875" customWidth="1" style="141" min="10" max="10"/>
    <col width="18" customWidth="1" style="141" min="11" max="11"/>
    <col width="9.140625" customWidth="1" style="141" min="12" max="12"/>
  </cols>
  <sheetData>
    <row r="3" ht="15.75" customHeight="1" s="141">
      <c r="B3" s="161" t="inlineStr">
        <is>
          <t>Приложение № 2</t>
        </is>
      </c>
    </row>
    <row r="4" ht="15.75" customHeight="1" s="141">
      <c r="B4" s="162" t="inlineStr">
        <is>
          <t>Расчет стоимости основных видов работ для выбора объекта-представителя</t>
        </is>
      </c>
    </row>
    <row r="5" ht="15.75" customHeight="1" s="141">
      <c r="B5" s="100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100" t="n"/>
    </row>
    <row r="6" ht="15.75" customHeight="1" s="141">
      <c r="B6" s="163">
        <f>'Прил.1 Сравнит табл'!B5:G5</f>
        <v/>
      </c>
      <c r="L6" s="110" t="n"/>
    </row>
    <row r="7" ht="15.75" customHeight="1" s="141">
      <c r="B7" s="164">
        <f>'Прил.1 Сравнит табл'!B7:G7</f>
        <v/>
      </c>
      <c r="L7" s="110" t="n"/>
    </row>
    <row r="8" ht="18.75" customHeight="1" s="141">
      <c r="B8" s="111" t="n"/>
      <c r="K8" s="112" t="n"/>
    </row>
    <row r="9" ht="15.75" customFormat="1" customHeight="1" s="143">
      <c r="B9" s="179" t="inlineStr">
        <is>
          <t>№ п/п</t>
        </is>
      </c>
      <c r="C9" s="1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9" t="inlineStr">
        <is>
          <t>Подстанция «Верещагинская» (110 кВ) с заходами линий электропередач</t>
        </is>
      </c>
      <c r="E9" s="197" t="n"/>
      <c r="F9" s="197" t="n"/>
      <c r="G9" s="197" t="n"/>
      <c r="H9" s="197" t="n"/>
      <c r="I9" s="197" t="n"/>
      <c r="J9" s="198" t="n"/>
    </row>
    <row r="10" ht="15.75" customFormat="1" customHeight="1" s="143">
      <c r="B10" s="199" t="n"/>
      <c r="C10" s="199" t="n"/>
      <c r="D10" s="179" t="inlineStr">
        <is>
          <t>Номер сметы</t>
        </is>
      </c>
      <c r="E10" s="179" t="inlineStr">
        <is>
          <t>Наименование сметы</t>
        </is>
      </c>
      <c r="F10" s="179" t="inlineStr">
        <is>
          <t>Сметная стоимость в уровне цен 4 кв. 2011г., тыс. руб.</t>
        </is>
      </c>
      <c r="G10" s="197" t="n"/>
      <c r="H10" s="197" t="n"/>
      <c r="I10" s="197" t="n"/>
      <c r="J10" s="198" t="n"/>
    </row>
    <row r="11" ht="31.7" customFormat="1" customHeight="1" s="143">
      <c r="B11" s="200" t="n"/>
      <c r="C11" s="200" t="n"/>
      <c r="D11" s="200" t="n"/>
      <c r="E11" s="200" t="n"/>
      <c r="F11" s="179" t="inlineStr">
        <is>
          <t>Строительные работы</t>
        </is>
      </c>
      <c r="G11" s="179" t="inlineStr">
        <is>
          <t>Монтажные работы</t>
        </is>
      </c>
      <c r="H11" s="179" t="inlineStr">
        <is>
          <t>Оборудование</t>
        </is>
      </c>
      <c r="I11" s="179" t="inlineStr">
        <is>
          <t>Прочее</t>
        </is>
      </c>
      <c r="J11" s="179" t="inlineStr">
        <is>
          <t>Всего</t>
        </is>
      </c>
    </row>
    <row r="12" ht="15.75" customFormat="1" customHeight="1" s="143">
      <c r="B12" s="179" t="n">
        <v>1</v>
      </c>
      <c r="C12" s="191" t="n"/>
      <c r="D12" s="113" t="inlineStr">
        <is>
          <t>07-02-01</t>
        </is>
      </c>
      <c r="E12" s="187" t="inlineStr">
        <is>
          <t>Устройство подпорной стенки ПС1</t>
        </is>
      </c>
      <c r="F12" s="193" t="n">
        <v>1747.81</v>
      </c>
      <c r="G12" s="114" t="n"/>
      <c r="H12" s="114" t="n"/>
      <c r="I12" s="192" t="n"/>
      <c r="J12" s="193" t="n">
        <v>1747.81</v>
      </c>
    </row>
    <row r="13" ht="15.75" customFormat="1" customHeight="1" s="143">
      <c r="B13" s="201" t="inlineStr">
        <is>
          <t>Всего по объекту:</t>
        </is>
      </c>
      <c r="C13" s="197" t="n"/>
      <c r="D13" s="197" t="n"/>
      <c r="E13" s="198" t="n"/>
      <c r="F13" s="119" t="n">
        <v>1747.81</v>
      </c>
      <c r="G13" s="119" t="n">
        <v>0</v>
      </c>
      <c r="H13" s="119" t="n">
        <v>0</v>
      </c>
      <c r="I13" s="119" t="n">
        <v>0</v>
      </c>
      <c r="J13" s="119" t="n">
        <v>1747.81</v>
      </c>
    </row>
    <row r="14" ht="15.75" customFormat="1" customHeight="1" s="143">
      <c r="B14" s="201" t="inlineStr">
        <is>
          <t>Всего по объекту в сопоставимом уровне цен 4 кв. 2012г:</t>
        </is>
      </c>
      <c r="C14" s="197" t="n"/>
      <c r="D14" s="197" t="n"/>
      <c r="E14" s="198" t="n"/>
      <c r="F14" s="202" t="n">
        <v>1867.6079054701</v>
      </c>
      <c r="G14" s="202" t="n">
        <v>0</v>
      </c>
      <c r="H14" s="202" t="n">
        <v>0</v>
      </c>
      <c r="I14" s="202" t="n">
        <v>0</v>
      </c>
      <c r="J14" s="202" t="n">
        <v>1867.6079054701</v>
      </c>
    </row>
    <row r="15" ht="15.75" customFormat="1" customHeight="1" s="143">
      <c r="B15" s="163" t="n"/>
      <c r="C15" s="143" t="n"/>
      <c r="D15" s="143" t="n"/>
      <c r="E15" s="143" t="n"/>
      <c r="F15" s="143" t="n"/>
      <c r="G15" s="143" t="n"/>
      <c r="H15" s="143" t="n"/>
      <c r="I15" s="143" t="n"/>
      <c r="J15" s="143" t="n"/>
    </row>
    <row r="16" ht="15.75" customFormat="1" customHeight="1" s="143">
      <c r="B16" s="163" t="n"/>
      <c r="C16" s="143" t="n"/>
      <c r="D16" s="143" t="n"/>
      <c r="E16" s="143" t="n"/>
      <c r="F16" s="143" t="n"/>
      <c r="G16" s="143" t="n"/>
      <c r="H16" s="143" t="n"/>
      <c r="I16" s="143" t="n"/>
      <c r="J16" s="143" t="n"/>
    </row>
    <row r="17" ht="15.75" customFormat="1" customHeight="1" s="143">
      <c r="B17" s="163" t="n"/>
      <c r="C17" s="143" t="n"/>
      <c r="D17" s="143" t="n"/>
      <c r="E17" s="143" t="n"/>
      <c r="F17" s="143" t="n"/>
      <c r="G17" s="143" t="n"/>
      <c r="H17" s="143" t="n"/>
      <c r="I17" s="143" t="n"/>
      <c r="J17" s="143" t="n"/>
      <c r="K17" s="117" t="n"/>
    </row>
    <row r="18" ht="51" customFormat="1" customHeight="1" s="143">
      <c r="B18" s="179" t="inlineStr">
        <is>
          <t>№ п/п</t>
        </is>
      </c>
      <c r="C18" s="1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79" t="inlineStr">
        <is>
          <t>Распределительные электрические сети 35 кВ о.Русский. ПС 35/10 кВ Океанариум.</t>
        </is>
      </c>
      <c r="E18" s="197" t="n"/>
      <c r="F18" s="197" t="n"/>
      <c r="G18" s="197" t="n"/>
      <c r="H18" s="197" t="n"/>
      <c r="I18" s="197" t="n"/>
      <c r="J18" s="198" t="n"/>
    </row>
    <row r="19" ht="15.75" customFormat="1" customHeight="1" s="143">
      <c r="B19" s="199" t="n"/>
      <c r="C19" s="199" t="n"/>
      <c r="D19" s="179" t="inlineStr">
        <is>
          <t>Номер сметы</t>
        </is>
      </c>
      <c r="E19" s="179" t="inlineStr">
        <is>
          <t>Наименование сметы</t>
        </is>
      </c>
      <c r="F19" s="179" t="inlineStr">
        <is>
          <t>Сметная стоимость в уровне цен 2 кв. 2011г., тыс. руб.</t>
        </is>
      </c>
      <c r="G19" s="197" t="n"/>
      <c r="H19" s="197" t="n"/>
      <c r="I19" s="197" t="n"/>
      <c r="J19" s="198" t="n"/>
    </row>
    <row r="20" ht="45" customFormat="1" customHeight="1" s="143">
      <c r="B20" s="200" t="n"/>
      <c r="C20" s="200" t="n"/>
      <c r="D20" s="200" t="n"/>
      <c r="E20" s="200" t="n"/>
      <c r="F20" s="179" t="inlineStr">
        <is>
          <t>Строительные работы</t>
        </is>
      </c>
      <c r="G20" s="179" t="inlineStr">
        <is>
          <t>Монтажные работы</t>
        </is>
      </c>
      <c r="H20" s="179" t="inlineStr">
        <is>
          <t>Оборудование</t>
        </is>
      </c>
      <c r="I20" s="179" t="inlineStr">
        <is>
          <t>Прочее</t>
        </is>
      </c>
      <c r="J20" s="179" t="inlineStr">
        <is>
          <t>Всего</t>
        </is>
      </c>
    </row>
    <row r="21" ht="47.25" customFormat="1" customHeight="1" s="143">
      <c r="B21" s="179" t="n">
        <v>1</v>
      </c>
      <c r="C21" s="191" t="n"/>
      <c r="D21" s="118" t="inlineStr">
        <is>
          <t>01-01-03</t>
        </is>
      </c>
      <c r="E21" s="187" t="inlineStr">
        <is>
          <t>Подпорная стенка и наружное ограждение. Конструктивно-строительные решения</t>
        </is>
      </c>
      <c r="F21" s="193" t="n">
        <v>9923.870000000001</v>
      </c>
      <c r="G21" s="114" t="n"/>
      <c r="H21" s="114" t="n"/>
      <c r="I21" s="192" t="n"/>
      <c r="J21" s="193" t="n">
        <v>9923.870000000001</v>
      </c>
    </row>
    <row r="22" ht="15.75" customFormat="1" customHeight="1" s="143">
      <c r="B22" s="201" t="inlineStr">
        <is>
          <t>Всего по объекту:</t>
        </is>
      </c>
      <c r="C22" s="197" t="n"/>
      <c r="D22" s="197" t="n"/>
      <c r="E22" s="198" t="n"/>
      <c r="F22" s="119" t="n">
        <v>9923.870000000001</v>
      </c>
      <c r="G22" s="119" t="n">
        <v>0</v>
      </c>
      <c r="H22" s="119" t="n">
        <v>0</v>
      </c>
      <c r="I22" s="119" t="n">
        <v>0</v>
      </c>
      <c r="J22" s="119" t="n">
        <v>9923.870000000001</v>
      </c>
    </row>
    <row r="23" ht="15.75" customFormat="1" customHeight="1" s="143">
      <c r="B23" s="201" t="inlineStr">
        <is>
          <t>Всего по объекту в сопоставимом уровне цен 4 кв. 2012г:</t>
        </is>
      </c>
      <c r="C23" s="197" t="n"/>
      <c r="D23" s="197" t="n"/>
      <c r="E23" s="198" t="n"/>
      <c r="F23" s="202" t="n">
        <v>10965.991252814</v>
      </c>
      <c r="G23" s="202" t="n">
        <v>0</v>
      </c>
      <c r="H23" s="202" t="n">
        <v>0</v>
      </c>
      <c r="I23" s="202" t="n">
        <v>0</v>
      </c>
      <c r="J23" s="202" t="n">
        <v>10965.991252814</v>
      </c>
    </row>
    <row r="24" ht="15.75" customFormat="1" customHeight="1" s="143">
      <c r="B24" s="163" t="n"/>
      <c r="C24" s="143" t="n"/>
      <c r="D24" s="143" t="n"/>
      <c r="E24" s="143" t="n"/>
      <c r="F24" s="143" t="n"/>
      <c r="G24" s="143" t="n"/>
      <c r="H24" s="143" t="n"/>
      <c r="I24" s="143" t="n"/>
      <c r="J24" s="143" t="n"/>
    </row>
    <row r="25"/>
    <row r="26" ht="15.75" customFormat="1" customHeight="1" s="143">
      <c r="B26" s="163" t="n"/>
      <c r="C26" s="143" t="n"/>
      <c r="D26" s="143" t="n"/>
      <c r="E26" s="143" t="n"/>
      <c r="F26" s="143" t="n"/>
      <c r="G26" s="143" t="n"/>
      <c r="H26" s="143" t="n"/>
      <c r="I26" s="143" t="n"/>
      <c r="J26" s="143" t="n"/>
    </row>
    <row r="27" ht="15.75" customFormat="1" customHeight="1" s="143">
      <c r="B27" s="163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17" t="n"/>
    </row>
    <row r="28" ht="15.75" customFormat="1" customHeight="1" s="143">
      <c r="B28" s="179" t="inlineStr">
        <is>
          <t>№ п/п</t>
        </is>
      </c>
      <c r="C28" s="1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8" s="179" t="inlineStr">
        <is>
          <t>ПС 330 кВ Кисловодск с заходами ВЛ 330 кВ</t>
        </is>
      </c>
      <c r="E28" s="197" t="n"/>
      <c r="F28" s="197" t="n"/>
      <c r="G28" s="197" t="n"/>
      <c r="H28" s="197" t="n"/>
      <c r="I28" s="197" t="n"/>
      <c r="J28" s="198" t="n"/>
    </row>
    <row r="29" ht="15.75" customFormat="1" customHeight="1" s="143">
      <c r="B29" s="199" t="n"/>
      <c r="C29" s="199" t="n"/>
      <c r="D29" s="179" t="inlineStr">
        <is>
          <t>Номер сметы</t>
        </is>
      </c>
      <c r="E29" s="179" t="inlineStr">
        <is>
          <t>Наименование сметы</t>
        </is>
      </c>
      <c r="F29" s="179" t="inlineStr">
        <is>
          <t>Сметная стоимость в уровне цен 2 кв. 2012г., тыс. руб.</t>
        </is>
      </c>
      <c r="G29" s="197" t="n"/>
      <c r="H29" s="197" t="n"/>
      <c r="I29" s="197" t="n"/>
      <c r="J29" s="198" t="n"/>
    </row>
    <row r="30" ht="31.7" customFormat="1" customHeight="1" s="143">
      <c r="B30" s="200" t="n"/>
      <c r="C30" s="200" t="n"/>
      <c r="D30" s="200" t="n"/>
      <c r="E30" s="200" t="n"/>
      <c r="F30" s="179" t="inlineStr">
        <is>
          <t>Строительные работы</t>
        </is>
      </c>
      <c r="G30" s="179" t="inlineStr">
        <is>
          <t>Монтажные работы</t>
        </is>
      </c>
      <c r="H30" s="179" t="inlineStr">
        <is>
          <t>Оборудование</t>
        </is>
      </c>
      <c r="I30" s="179" t="inlineStr">
        <is>
          <t>Прочее</t>
        </is>
      </c>
      <c r="J30" s="179" t="inlineStr">
        <is>
          <t>Всего</t>
        </is>
      </c>
    </row>
    <row r="31" ht="31.7" customFormat="1" customHeight="1" s="143">
      <c r="B31" s="179" t="n"/>
      <c r="C31" s="191" t="n"/>
      <c r="D31" s="118" t="inlineStr">
        <is>
          <t>01-06-01</t>
        </is>
      </c>
      <c r="E31" s="187" t="inlineStr">
        <is>
          <t>Строительные работы. Подпорная стенка (L=498м).</t>
        </is>
      </c>
      <c r="F31" s="193" t="n">
        <v>26578.03</v>
      </c>
      <c r="G31" s="193" t="n"/>
      <c r="H31" s="193" t="n"/>
      <c r="I31" s="192" t="n"/>
      <c r="J31" s="193" t="n">
        <v>26578.03</v>
      </c>
    </row>
    <row r="32" ht="15.75" customFormat="1" customHeight="1" s="143">
      <c r="B32" s="201" t="inlineStr">
        <is>
          <t>Всего по объекту:</t>
        </is>
      </c>
      <c r="C32" s="197" t="n"/>
      <c r="D32" s="197" t="n"/>
      <c r="E32" s="198" t="n"/>
      <c r="F32" s="119" t="n">
        <v>26578.03</v>
      </c>
      <c r="G32" s="119" t="n">
        <v>0</v>
      </c>
      <c r="H32" s="119" t="n">
        <v>0</v>
      </c>
      <c r="I32" s="119" t="n">
        <v>0</v>
      </c>
      <c r="J32" s="119" t="n">
        <v>26578.03</v>
      </c>
    </row>
    <row r="33" ht="15.75" customFormat="1" customHeight="1" s="143">
      <c r="B33" s="201" t="inlineStr">
        <is>
          <t>Всего по объекту в сопоставимом уровне цен 4 кв. 2012г:</t>
        </is>
      </c>
      <c r="C33" s="197" t="n"/>
      <c r="D33" s="197" t="n"/>
      <c r="E33" s="198" t="n"/>
      <c r="F33" s="202" t="n">
        <v>26578.03</v>
      </c>
      <c r="G33" s="202" t="n">
        <v>0</v>
      </c>
      <c r="H33" s="202" t="n">
        <v>0</v>
      </c>
      <c r="I33" s="202" t="n">
        <v>0</v>
      </c>
      <c r="J33" s="202" t="n">
        <v>26578.03</v>
      </c>
    </row>
    <row r="34" ht="15.75" customFormat="1" customHeight="1" s="143">
      <c r="B34" s="163" t="n"/>
    </row>
    <row r="35" ht="15.75" customFormat="1" customHeight="1" s="143"/>
    <row r="36" ht="15.75" customFormat="1" customHeight="1" s="143"/>
    <row r="37" ht="15.75" customFormat="1" customHeight="1" s="143">
      <c r="C37" s="143" t="inlineStr">
        <is>
          <t>Составил ______________________         М.С. Колотиевская</t>
        </is>
      </c>
    </row>
    <row r="38" ht="15.75" customFormat="1" customHeight="1" s="143">
      <c r="C38" s="98" t="inlineStr">
        <is>
          <t xml:space="preserve">                         (подпись, инициалы, фамилия)</t>
        </is>
      </c>
    </row>
    <row r="39" ht="15.75" customFormat="1" customHeight="1" s="143"/>
    <row r="40" ht="15.75" customHeight="1" s="141">
      <c r="B40" s="143" t="n"/>
      <c r="C40" s="143" t="inlineStr">
        <is>
          <t>Проверил ______________________          А.В. Костянецкая</t>
        </is>
      </c>
      <c r="D40" s="143" t="n"/>
      <c r="E40" s="143" t="n"/>
      <c r="F40" s="143" t="n"/>
      <c r="G40" s="143" t="n"/>
      <c r="H40" s="143" t="n"/>
      <c r="I40" s="143" t="n"/>
      <c r="J40" s="143" t="n"/>
    </row>
    <row r="41" ht="15.75" customHeight="1" s="141">
      <c r="B41" s="143" t="n"/>
      <c r="C41" s="98" t="inlineStr">
        <is>
          <t xml:space="preserve">                        (подпись, инициалы, фамилия)</t>
        </is>
      </c>
      <c r="D41" s="143" t="n"/>
      <c r="E41" s="143" t="n"/>
      <c r="F41" s="143" t="n"/>
      <c r="G41" s="143" t="n"/>
      <c r="H41" s="143" t="n"/>
      <c r="I41" s="143" t="n"/>
      <c r="J41" s="143" t="n"/>
    </row>
    <row r="42" ht="15.75" customHeight="1" s="141">
      <c r="B42" s="143" t="n"/>
      <c r="C42" s="143" t="n"/>
      <c r="D42" s="143" t="n"/>
      <c r="E42" s="143" t="n"/>
      <c r="F42" s="143" t="n"/>
      <c r="G42" s="143" t="n"/>
      <c r="H42" s="143" t="n"/>
      <c r="I42" s="143" t="n"/>
      <c r="J42" s="143" t="n"/>
    </row>
  </sheetData>
  <mergeCells count="28">
    <mergeCell ref="D28:J28"/>
    <mergeCell ref="F29:J29"/>
    <mergeCell ref="D18:J18"/>
    <mergeCell ref="D9:J9"/>
    <mergeCell ref="F10:J10"/>
    <mergeCell ref="F19:J19"/>
    <mergeCell ref="B33:E33"/>
    <mergeCell ref="E29:E30"/>
    <mergeCell ref="B6:K6"/>
    <mergeCell ref="E19:E20"/>
    <mergeCell ref="E10:E11"/>
    <mergeCell ref="B32:E32"/>
    <mergeCell ref="B4:K4"/>
    <mergeCell ref="C28:C30"/>
    <mergeCell ref="B7:K7"/>
    <mergeCell ref="C18:C20"/>
    <mergeCell ref="B22:E22"/>
    <mergeCell ref="B3:K3"/>
    <mergeCell ref="B18:B20"/>
    <mergeCell ref="D29:D30"/>
    <mergeCell ref="B14:E14"/>
    <mergeCell ref="B23:E23"/>
    <mergeCell ref="D19:D20"/>
    <mergeCell ref="D10:D11"/>
    <mergeCell ref="B13:E13"/>
    <mergeCell ref="B9:B11"/>
    <mergeCell ref="B28:B30"/>
    <mergeCell ref="C9:C11"/>
  </mergeCells>
  <pageMargins left="0.7" right="0.7" top="0.75" bottom="0.75" header="0.3" footer="0.3"/>
  <pageSetup orientation="portrait" paperSize="9" scale="47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91"/>
  <sheetViews>
    <sheetView view="pageBreakPreview" topLeftCell="A58" zoomScale="60" zoomScaleNormal="100" workbookViewId="0">
      <selection activeCell="B90" sqref="B90"/>
    </sheetView>
  </sheetViews>
  <sheetFormatPr baseColWidth="8" defaultColWidth="9.140625" defaultRowHeight="15"/>
  <cols>
    <col width="9.140625" customWidth="1" style="141" min="1" max="1"/>
    <col width="12.5703125" customWidth="1" style="141" min="2" max="2"/>
    <col width="17" customWidth="1" style="141" min="3" max="3"/>
    <col width="49.7109375" customWidth="1" style="141" min="4" max="4"/>
    <col width="16.28515625" customWidth="1" style="141" min="5" max="5"/>
    <col width="20.7109375" customWidth="1" style="141" min="6" max="6"/>
    <col width="16.140625" customWidth="1" style="141" min="7" max="7"/>
    <col width="16.7109375" customWidth="1" style="141" min="8" max="8"/>
    <col width="9.140625" customWidth="1" style="141" min="9" max="9"/>
  </cols>
  <sheetData>
    <row r="2" ht="15.75" customHeight="1" s="141">
      <c r="A2" s="161" t="inlineStr">
        <is>
          <t xml:space="preserve">Приложение № 3 </t>
        </is>
      </c>
    </row>
    <row r="3" ht="18.75" customHeight="1" s="141">
      <c r="A3" s="177" t="inlineStr">
        <is>
          <t>Объектная ресурсная ведомость</t>
        </is>
      </c>
    </row>
    <row r="4" ht="18.75" customHeight="1" s="141">
      <c r="A4" s="177" t="n"/>
      <c r="B4" s="177" t="n"/>
      <c r="C4" s="1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3" t="n"/>
      <c r="J4" s="143" t="n"/>
      <c r="K4" s="143" t="n"/>
      <c r="L4" s="143" t="n"/>
    </row>
    <row r="5" ht="18.75" customHeight="1" s="141">
      <c r="A5" s="177" t="n"/>
      <c r="B5" s="177" t="n"/>
      <c r="C5" s="178" t="n"/>
      <c r="D5" s="178" t="n"/>
      <c r="E5" s="178" t="n"/>
      <c r="F5" s="178" t="n"/>
      <c r="G5" s="178" t="n"/>
      <c r="H5" s="178" t="n"/>
      <c r="I5" s="143" t="n"/>
      <c r="J5" s="143" t="n"/>
      <c r="K5" s="143" t="n"/>
      <c r="L5" s="143" t="n"/>
    </row>
    <row r="6" ht="18.75" customHeight="1" s="141">
      <c r="A6" s="111" t="n"/>
    </row>
    <row r="7" ht="15.75" customHeight="1" s="141">
      <c r="A7" s="164" t="inlineStr">
        <is>
          <t>Наименование разрабатываемого показателя УНЦ -  Подпорная стенка</t>
        </is>
      </c>
    </row>
    <row r="8" ht="15.75" customFormat="1" customHeight="1" s="143">
      <c r="A8" s="18" t="n"/>
      <c r="B8" s="18" t="n"/>
      <c r="C8" s="18" t="n"/>
      <c r="D8" s="18" t="n"/>
      <c r="E8" s="18" t="n"/>
      <c r="F8" s="18" t="n"/>
      <c r="G8" s="18" t="n"/>
      <c r="H8" s="18" t="n"/>
    </row>
    <row r="9" ht="38.25" customFormat="1" customHeight="1" s="143">
      <c r="A9" s="179" t="inlineStr">
        <is>
          <t>п/п</t>
        </is>
      </c>
      <c r="B9" s="179" t="inlineStr">
        <is>
          <t>№ЛСР</t>
        </is>
      </c>
      <c r="C9" s="179" t="inlineStr">
        <is>
          <t>Код ресурса</t>
        </is>
      </c>
      <c r="D9" s="179" t="inlineStr">
        <is>
          <t>Наименование ресурса</t>
        </is>
      </c>
      <c r="E9" s="179" t="inlineStr">
        <is>
          <t>Ед. изм.</t>
        </is>
      </c>
      <c r="F9" s="179" t="inlineStr">
        <is>
          <t>Кол-во единиц по данным объекта-представителя</t>
        </is>
      </c>
      <c r="G9" s="179" t="inlineStr">
        <is>
          <t>Сметная стоимость в ценах на 01.01.2000 (руб.)</t>
        </is>
      </c>
      <c r="H9" s="198" t="n"/>
    </row>
    <row r="10" ht="40.7" customFormat="1" customHeight="1" s="143">
      <c r="A10" s="200" t="n"/>
      <c r="B10" s="200" t="n"/>
      <c r="C10" s="200" t="n"/>
      <c r="D10" s="200" t="n"/>
      <c r="E10" s="200" t="n"/>
      <c r="F10" s="200" t="n"/>
      <c r="G10" s="179" t="inlineStr">
        <is>
          <t>на ед.изм.</t>
        </is>
      </c>
      <c r="H10" s="179" t="inlineStr">
        <is>
          <t>общая</t>
        </is>
      </c>
    </row>
    <row r="11" ht="15.75" customFormat="1" customHeight="1" s="143">
      <c r="A11" s="179" t="n">
        <v>1</v>
      </c>
      <c r="B11" s="179" t="n"/>
      <c r="C11" s="179" t="n">
        <v>2</v>
      </c>
      <c r="D11" s="179" t="inlineStr">
        <is>
          <t>З</t>
        </is>
      </c>
      <c r="E11" s="179" t="n">
        <v>4</v>
      </c>
      <c r="F11" s="179" t="n">
        <v>5</v>
      </c>
      <c r="G11" s="108" t="n">
        <v>6</v>
      </c>
      <c r="H11" s="108" t="n">
        <v>7</v>
      </c>
    </row>
    <row r="12" ht="15.75" customFormat="1" customHeight="1" s="15">
      <c r="A12" s="174" t="inlineStr">
        <is>
          <t>Затраты труда рабочих</t>
        </is>
      </c>
      <c r="B12" s="197" t="n"/>
      <c r="C12" s="197" t="n"/>
      <c r="D12" s="197" t="n"/>
      <c r="E12" s="198" t="n"/>
      <c r="F12" s="174" t="n">
        <v>18913.81066</v>
      </c>
      <c r="G12" s="20" t="n"/>
      <c r="H12" s="20">
        <f>SUM(H13:H27)</f>
        <v/>
      </c>
    </row>
    <row r="13" ht="15.75" customFormat="1" customHeight="1" s="143">
      <c r="A13" s="175" t="n">
        <v>1</v>
      </c>
      <c r="B13" s="175" t="n"/>
      <c r="C13" s="176" t="inlineStr">
        <is>
          <t>1-100-32</t>
        </is>
      </c>
      <c r="D13" s="176" t="inlineStr">
        <is>
          <t>Затраты труда рабочих (ср 3,2)</t>
        </is>
      </c>
      <c r="E13" s="175" t="inlineStr">
        <is>
          <t>чел.-ч</t>
        </is>
      </c>
      <c r="F13" s="175" t="n">
        <v>9107.558199999999</v>
      </c>
      <c r="G13" s="180" t="n">
        <v>8.74</v>
      </c>
      <c r="H13" s="180">
        <f>ROUND(F13*G13,2)</f>
        <v/>
      </c>
    </row>
    <row r="14" ht="15.75" customFormat="1" customHeight="1" s="143">
      <c r="A14" s="175" t="n">
        <v>2</v>
      </c>
      <c r="B14" s="175" t="n"/>
      <c r="C14" s="176" t="inlineStr">
        <is>
          <t>1-100-15</t>
        </is>
      </c>
      <c r="D14" s="176" t="inlineStr">
        <is>
          <t>Затраты труда рабочих (ср 1,5)</t>
        </is>
      </c>
      <c r="E14" s="175" t="inlineStr">
        <is>
          <t>чел.-ч</t>
        </is>
      </c>
      <c r="F14" s="175" t="n">
        <v>3193.90542</v>
      </c>
      <c r="G14" s="180" t="n">
        <v>7.5</v>
      </c>
      <c r="H14" s="180">
        <f>ROUND(F14*G14,2)</f>
        <v/>
      </c>
    </row>
    <row r="15" ht="15.75" customFormat="1" customHeight="1" s="143">
      <c r="A15" s="175" t="n">
        <v>3</v>
      </c>
      <c r="B15" s="175" t="n"/>
      <c r="C15" s="176" t="inlineStr">
        <is>
          <t>1-100-38</t>
        </is>
      </c>
      <c r="D15" s="176" t="inlineStr">
        <is>
          <t>Затраты труда рабочих (ср 3,8)</t>
        </is>
      </c>
      <c r="E15" s="175" t="inlineStr">
        <is>
          <t>чел.-ч</t>
        </is>
      </c>
      <c r="F15" s="175" t="n">
        <v>1561.82405</v>
      </c>
      <c r="G15" s="180" t="n">
        <v>9.4</v>
      </c>
      <c r="H15" s="180">
        <f>ROUND(F15*G15,2)</f>
        <v/>
      </c>
    </row>
    <row r="16" ht="15.75" customFormat="1" customHeight="1" s="143">
      <c r="A16" s="175" t="n">
        <v>4</v>
      </c>
      <c r="B16" s="175" t="n"/>
      <c r="C16" s="176" t="inlineStr">
        <is>
          <t>1-100-30</t>
        </is>
      </c>
      <c r="D16" s="176" t="inlineStr">
        <is>
          <t>Затраты труда рабочих (ср 3)</t>
        </is>
      </c>
      <c r="E16" s="175" t="inlineStr">
        <is>
          <t>чел.-ч</t>
        </is>
      </c>
      <c r="F16" s="175" t="n">
        <v>1341.83794</v>
      </c>
      <c r="G16" s="180" t="n">
        <v>8.529999999999999</v>
      </c>
      <c r="H16" s="180">
        <f>ROUND(F16*G16,2)</f>
        <v/>
      </c>
    </row>
    <row r="17" ht="15.75" customFormat="1" customHeight="1" s="143">
      <c r="A17" s="175" t="n">
        <v>5</v>
      </c>
      <c r="B17" s="175" t="n"/>
      <c r="C17" s="176" t="inlineStr">
        <is>
          <t>1-100-43</t>
        </is>
      </c>
      <c r="D17" s="176" t="inlineStr">
        <is>
          <t>Затраты труда рабочих (ср 4,3)</t>
        </is>
      </c>
      <c r="E17" s="175" t="inlineStr">
        <is>
          <t>чел.-ч</t>
        </is>
      </c>
      <c r="F17" s="175" t="n">
        <v>1101.31098</v>
      </c>
      <c r="G17" s="180" t="n">
        <v>10.06</v>
      </c>
      <c r="H17" s="180">
        <f>ROUND(F17*G17,2)</f>
        <v/>
      </c>
    </row>
    <row r="18" ht="15.75" customFormat="1" customHeight="1" s="143">
      <c r="A18" s="175" t="n">
        <v>6</v>
      </c>
      <c r="B18" s="175" t="n"/>
      <c r="C18" s="176" t="inlineStr">
        <is>
          <t>1-100-41</t>
        </is>
      </c>
      <c r="D18" s="176" t="inlineStr">
        <is>
          <t>Затраты труда рабочих (ср 4,1)</t>
        </is>
      </c>
      <c r="E18" s="175" t="inlineStr">
        <is>
          <t>чел.-ч</t>
        </is>
      </c>
      <c r="F18" s="175" t="n">
        <v>645.88104</v>
      </c>
      <c r="G18" s="180" t="n">
        <v>9.76</v>
      </c>
      <c r="H18" s="180">
        <f>ROUND(F18*G18,2)</f>
        <v/>
      </c>
    </row>
    <row r="19" ht="15.75" customFormat="1" customHeight="1" s="143">
      <c r="A19" s="175" t="n">
        <v>7</v>
      </c>
      <c r="B19" s="175" t="n"/>
      <c r="C19" s="176" t="inlineStr">
        <is>
          <t>1-100-22</t>
        </is>
      </c>
      <c r="D19" s="176" t="inlineStr">
        <is>
          <t>Затраты труда рабочих (ср 2,2)</t>
        </is>
      </c>
      <c r="E19" s="175" t="inlineStr">
        <is>
          <t>чел.-ч</t>
        </is>
      </c>
      <c r="F19" s="175" t="n">
        <v>546.546</v>
      </c>
      <c r="G19" s="180" t="n">
        <v>7.94</v>
      </c>
      <c r="H19" s="180">
        <f>ROUND(F19*G19,2)</f>
        <v/>
      </c>
    </row>
    <row r="20" ht="15.75" customFormat="1" customHeight="1" s="143">
      <c r="A20" s="175" t="n">
        <v>8</v>
      </c>
      <c r="B20" s="175" t="n"/>
      <c r="C20" s="176" t="inlineStr">
        <is>
          <t>1-100-23</t>
        </is>
      </c>
      <c r="D20" s="176" t="inlineStr">
        <is>
          <t>Затраты труда рабочих (ср 2,3)</t>
        </is>
      </c>
      <c r="E20" s="175" t="inlineStr">
        <is>
          <t>чел.-ч</t>
        </is>
      </c>
      <c r="F20" s="175" t="n">
        <v>461.76</v>
      </c>
      <c r="G20" s="180" t="n">
        <v>8.02</v>
      </c>
      <c r="H20" s="180">
        <f>ROUND(F20*G20,2)</f>
        <v/>
      </c>
    </row>
    <row r="21" ht="15.75" customFormat="1" customHeight="1" s="143">
      <c r="A21" s="175" t="n">
        <v>9</v>
      </c>
      <c r="B21" s="175" t="n"/>
      <c r="C21" s="176" t="inlineStr">
        <is>
          <t>1-100-20</t>
        </is>
      </c>
      <c r="D21" s="176" t="inlineStr">
        <is>
          <t>Затраты труда рабочих (ср 2)</t>
        </is>
      </c>
      <c r="E21" s="175" t="inlineStr">
        <is>
          <t>чел.-ч</t>
        </is>
      </c>
      <c r="F21" s="175" t="n">
        <v>345.16666</v>
      </c>
      <c r="G21" s="180" t="n">
        <v>7.8</v>
      </c>
      <c r="H21" s="180">
        <f>ROUND(F21*G21,2)</f>
        <v/>
      </c>
    </row>
    <row r="22" ht="15.75" customFormat="1" customHeight="1" s="143">
      <c r="A22" s="175" t="n">
        <v>10</v>
      </c>
      <c r="B22" s="175" t="n"/>
      <c r="C22" s="176" t="inlineStr">
        <is>
          <t>1-100-25</t>
        </is>
      </c>
      <c r="D22" s="176" t="inlineStr">
        <is>
          <t>Затраты труда рабочих (ср 2,5)</t>
        </is>
      </c>
      <c r="E22" s="175" t="inlineStr">
        <is>
          <t>чел.-ч</t>
        </is>
      </c>
      <c r="F22" s="175" t="n">
        <v>324.171</v>
      </c>
      <c r="G22" s="180" t="n">
        <v>8.17</v>
      </c>
      <c r="H22" s="180">
        <f>ROUND(F22*G22,2)</f>
        <v/>
      </c>
    </row>
    <row r="23" ht="15.75" customFormat="1" customHeight="1" s="143">
      <c r="A23" s="175" t="n">
        <v>11</v>
      </c>
      <c r="B23" s="175" t="n"/>
      <c r="C23" s="176" t="inlineStr">
        <is>
          <t>1-100-34</t>
        </is>
      </c>
      <c r="D23" s="176" t="inlineStr">
        <is>
          <t>Затраты труда рабочих (ср 3,4)</t>
        </is>
      </c>
      <c r="E23" s="175" t="inlineStr">
        <is>
          <t>чел.-ч</t>
        </is>
      </c>
      <c r="F23" s="175" t="n">
        <v>138.676</v>
      </c>
      <c r="G23" s="180" t="n">
        <v>8.970000000000001</v>
      </c>
      <c r="H23" s="180">
        <f>ROUND(F23*G23,2)</f>
        <v/>
      </c>
    </row>
    <row r="24" ht="15.75" customFormat="1" customHeight="1" s="143">
      <c r="A24" s="175" t="n">
        <v>12</v>
      </c>
      <c r="B24" s="175" t="n"/>
      <c r="C24" s="176" t="inlineStr">
        <is>
          <t>1-100-37</t>
        </is>
      </c>
      <c r="D24" s="176" t="inlineStr">
        <is>
          <t>Затраты труда рабочих (ср 3,7)</t>
        </is>
      </c>
      <c r="E24" s="175" t="inlineStr">
        <is>
          <t>чел.-ч</t>
        </is>
      </c>
      <c r="F24" s="175" t="n">
        <v>76.0359</v>
      </c>
      <c r="G24" s="180" t="n">
        <v>9.289999999999999</v>
      </c>
      <c r="H24" s="180">
        <f>ROUND(F24*G24,2)</f>
        <v/>
      </c>
    </row>
    <row r="25" ht="15.75" customFormat="1" customHeight="1" s="143">
      <c r="A25" s="175" t="n">
        <v>13</v>
      </c>
      <c r="B25" s="175" t="n"/>
      <c r="C25" s="176" t="inlineStr">
        <is>
          <t>1-100-42</t>
        </is>
      </c>
      <c r="D25" s="176" t="inlineStr">
        <is>
          <t>Затраты труда рабочих (ср 4,2)</t>
        </is>
      </c>
      <c r="E25" s="175" t="inlineStr">
        <is>
          <t>чел.-ч</t>
        </is>
      </c>
      <c r="F25" s="175" t="n">
        <v>30.61622</v>
      </c>
      <c r="G25" s="180" t="n">
        <v>9.92</v>
      </c>
      <c r="H25" s="180">
        <f>ROUND(F25*G25,2)</f>
        <v/>
      </c>
    </row>
    <row r="26" ht="15.75" customFormat="1" customHeight="1" s="143">
      <c r="A26" s="175" t="n">
        <v>14</v>
      </c>
      <c r="B26" s="175" t="n"/>
      <c r="C26" s="176" t="inlineStr">
        <is>
          <t>1-100-40</t>
        </is>
      </c>
      <c r="D26" s="176" t="inlineStr">
        <is>
          <t>Затраты труда рабочих (ср 4)</t>
        </is>
      </c>
      <c r="E26" s="175" t="inlineStr">
        <is>
          <t>чел.-ч</t>
        </is>
      </c>
      <c r="F26" s="175" t="n">
        <v>21.88539</v>
      </c>
      <c r="G26" s="180" t="n">
        <v>9.619999999999999</v>
      </c>
      <c r="H26" s="180">
        <f>ROUND(F26*G26,2)</f>
        <v/>
      </c>
    </row>
    <row r="27" ht="15.75" customFormat="1" customHeight="1" s="143">
      <c r="A27" s="175" t="n">
        <v>15</v>
      </c>
      <c r="B27" s="175" t="n"/>
      <c r="C27" s="176" t="inlineStr">
        <is>
          <t>1-100-45</t>
        </is>
      </c>
      <c r="D27" s="176" t="inlineStr">
        <is>
          <t>Затраты труда рабочих (ср 4,5)</t>
        </is>
      </c>
      <c r="E27" s="175" t="inlineStr">
        <is>
          <t>чел.-ч</t>
        </is>
      </c>
      <c r="F27" s="175" t="n">
        <v>16.63586</v>
      </c>
      <c r="G27" s="180" t="n">
        <v>10.35</v>
      </c>
      <c r="H27" s="180">
        <f>ROUND(F27*G27,2)</f>
        <v/>
      </c>
    </row>
    <row r="28" ht="15.75" customFormat="1" customHeight="1" s="15">
      <c r="A28" s="174" t="inlineStr">
        <is>
          <t>Затраты труда машинистов</t>
        </is>
      </c>
      <c r="B28" s="197" t="n"/>
      <c r="C28" s="197" t="n"/>
      <c r="D28" s="197" t="n"/>
      <c r="E28" s="198" t="n"/>
      <c r="F28" s="174" t="n">
        <v>1688.249793</v>
      </c>
      <c r="G28" s="20" t="n"/>
      <c r="H28" s="20">
        <f>SUM(H29:H29)</f>
        <v/>
      </c>
    </row>
    <row r="29" ht="15.75" customFormat="1" customHeight="1" s="143">
      <c r="A29" s="175" t="n">
        <v>16</v>
      </c>
      <c r="B29" s="175" t="n"/>
      <c r="C29" s="176" t="n">
        <v>2</v>
      </c>
      <c r="D29" s="176" t="inlineStr">
        <is>
          <t>Затраты труда машинистов</t>
        </is>
      </c>
      <c r="E29" s="175" t="inlineStr">
        <is>
          <t>чел.-ч</t>
        </is>
      </c>
      <c r="F29" s="175" t="n">
        <v>1688.249793</v>
      </c>
      <c r="G29" s="180" t="n">
        <v>13.19</v>
      </c>
      <c r="H29" s="180">
        <f>ROUND(F29*G29,2)</f>
        <v/>
      </c>
    </row>
    <row r="30" ht="15.75" customFormat="1" customHeight="1" s="15">
      <c r="A30" s="174" t="inlineStr">
        <is>
          <t>Машины и механизмы</t>
        </is>
      </c>
      <c r="B30" s="197" t="n"/>
      <c r="C30" s="197" t="n"/>
      <c r="D30" s="197" t="n"/>
      <c r="E30" s="198" t="n"/>
      <c r="F30" s="174" t="n"/>
      <c r="G30" s="20" t="n"/>
      <c r="H30" s="20">
        <f>SUM(H31:H53)</f>
        <v/>
      </c>
    </row>
    <row r="31" ht="31.7" customFormat="1" customHeight="1" s="143">
      <c r="A31" s="175" t="n">
        <v>17</v>
      </c>
      <c r="B31" s="175" t="n"/>
      <c r="C31" s="25" t="inlineStr">
        <is>
          <t>91.01.05-085</t>
        </is>
      </c>
      <c r="D31" s="176" t="inlineStr">
        <is>
          <t>Экскаваторы одноковшовые дизельные на гусеничном ходу, емкость ковша 0,5 м3</t>
        </is>
      </c>
      <c r="E31" s="175" t="inlineStr">
        <is>
          <t>маш.час</t>
        </is>
      </c>
      <c r="F31" s="175" t="n">
        <v>502.48015</v>
      </c>
      <c r="G31" s="180" t="n">
        <v>100</v>
      </c>
      <c r="H31" s="180">
        <f>ROUND(F31*G31,2)</f>
        <v/>
      </c>
    </row>
    <row r="32" ht="15.75" customFormat="1" customHeight="1" s="143">
      <c r="A32" s="175" t="n">
        <v>18</v>
      </c>
      <c r="B32" s="175" t="n"/>
      <c r="C32" s="25" t="inlineStr">
        <is>
          <t>91.05.01-017</t>
        </is>
      </c>
      <c r="D32" s="176" t="inlineStr">
        <is>
          <t>Краны башенные, грузоподъемность 8 т</t>
        </is>
      </c>
      <c r="E32" s="175" t="inlineStr">
        <is>
          <t>маш.час</t>
        </is>
      </c>
      <c r="F32" s="175" t="n">
        <v>502.591536</v>
      </c>
      <c r="G32" s="180" t="n">
        <v>86.40000000000001</v>
      </c>
      <c r="H32" s="180">
        <f>ROUND(F32*G32,2)</f>
        <v/>
      </c>
    </row>
    <row r="33" ht="47.25" customFormat="1" customHeight="1" s="143">
      <c r="A33" s="175" t="n">
        <v>19</v>
      </c>
      <c r="B33" s="175" t="n"/>
      <c r="C33" s="25" t="inlineStr">
        <is>
          <t>91.18.01-007</t>
        </is>
      </c>
      <c r="D33" s="1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3" s="175" t="inlineStr">
        <is>
          <t>маш.час</t>
        </is>
      </c>
      <c r="F33" s="175" t="n">
        <v>336.24008</v>
      </c>
      <c r="G33" s="180" t="n">
        <v>90</v>
      </c>
      <c r="H33" s="180">
        <f>ROUND(F33*G33,2)</f>
        <v/>
      </c>
    </row>
    <row r="34" ht="31.7" customFormat="1" customHeight="1" s="143">
      <c r="A34" s="175" t="n">
        <v>20</v>
      </c>
      <c r="B34" s="175" t="n"/>
      <c r="C34" s="25" t="inlineStr">
        <is>
          <t>91.17.04-034</t>
        </is>
      </c>
      <c r="D34" s="176" t="inlineStr">
        <is>
          <t>Агрегаты сварочные однопостовые для ручной электродуговой сварки</t>
        </is>
      </c>
      <c r="E34" s="175" t="inlineStr">
        <is>
          <t>маш.час</t>
        </is>
      </c>
      <c r="F34" s="175" t="n">
        <v>1652.99242</v>
      </c>
      <c r="G34" s="180" t="n">
        <v>11.77</v>
      </c>
      <c r="H34" s="180">
        <f>ROUND(F34*G34,2)</f>
        <v/>
      </c>
    </row>
    <row r="35" ht="31.7" customFormat="1" customHeight="1" s="143">
      <c r="A35" s="175" t="n">
        <v>21</v>
      </c>
      <c r="B35" s="175" t="n"/>
      <c r="C35" s="25" t="inlineStr">
        <is>
          <t>91.17.04-233</t>
        </is>
      </c>
      <c r="D35" s="176" t="inlineStr">
        <is>
          <t>Установки для сварки ручной дуговой (постоянного тока)</t>
        </is>
      </c>
      <c r="E35" s="175" t="inlineStr">
        <is>
          <t>маш.час</t>
        </is>
      </c>
      <c r="F35" s="175" t="n">
        <v>1062.6147</v>
      </c>
      <c r="G35" s="180" t="n">
        <v>8.1</v>
      </c>
      <c r="H35" s="180">
        <f>ROUND(F35*G35,2)</f>
        <v/>
      </c>
    </row>
    <row r="36" ht="15.75" customFormat="1" customHeight="1" s="143">
      <c r="A36" s="175" t="n">
        <v>22</v>
      </c>
      <c r="B36" s="175" t="n"/>
      <c r="C36" s="25" t="inlineStr">
        <is>
          <t>91.01.01-034</t>
        </is>
      </c>
      <c r="D36" s="176" t="inlineStr">
        <is>
          <t>Бульдозеры, мощность 59 кВт (80 л.с.)</t>
        </is>
      </c>
      <c r="E36" s="175" t="inlineStr">
        <is>
          <t>маш.час</t>
        </is>
      </c>
      <c r="F36" s="175" t="n">
        <v>128.62536</v>
      </c>
      <c r="G36" s="180" t="n">
        <v>59.47</v>
      </c>
      <c r="H36" s="180">
        <f>ROUND(F36*G36,2)</f>
        <v/>
      </c>
    </row>
    <row r="37" ht="31.7" customFormat="1" customHeight="1" s="143">
      <c r="A37" s="175" t="n">
        <v>23</v>
      </c>
      <c r="B37" s="175" t="n"/>
      <c r="C37" s="25" t="inlineStr">
        <is>
          <t>91.05.05-015</t>
        </is>
      </c>
      <c r="D37" s="176" t="inlineStr">
        <is>
          <t>Краны на автомобильном ходу, грузоподъемность 16 т</t>
        </is>
      </c>
      <c r="E37" s="175" t="inlineStr">
        <is>
          <t>маш.час</t>
        </is>
      </c>
      <c r="F37" s="175" t="n">
        <v>42.570851</v>
      </c>
      <c r="G37" s="180" t="n">
        <v>115.4</v>
      </c>
      <c r="H37" s="180">
        <f>ROUND(F37*G37,2)</f>
        <v/>
      </c>
    </row>
    <row r="38" ht="31.7" customFormat="1" customHeight="1" s="143">
      <c r="A38" s="175" t="n">
        <v>24</v>
      </c>
      <c r="B38" s="175" t="n"/>
      <c r="C38" s="25" t="inlineStr">
        <is>
          <t>91.05.06-012</t>
        </is>
      </c>
      <c r="D38" s="176" t="inlineStr">
        <is>
          <t>Краны на гусеничном ходу, грузоподъемность до 16 т</t>
        </is>
      </c>
      <c r="E38" s="175" t="inlineStr">
        <is>
          <t>маш.час</t>
        </is>
      </c>
      <c r="F38" s="175" t="n">
        <v>46.068</v>
      </c>
      <c r="G38" s="180" t="n">
        <v>96.89</v>
      </c>
      <c r="H38" s="180">
        <f>ROUND(F38*G38,2)</f>
        <v/>
      </c>
    </row>
    <row r="39" ht="15.75" customFormat="1" customHeight="1" s="143">
      <c r="A39" s="175" t="n">
        <v>25</v>
      </c>
      <c r="B39" s="175" t="n"/>
      <c r="C39" s="25" t="inlineStr">
        <is>
          <t>91.14.02-001</t>
        </is>
      </c>
      <c r="D39" s="176" t="inlineStr">
        <is>
          <t>Автомобили бортовые, грузоподъемность до 5 т</t>
        </is>
      </c>
      <c r="E39" s="175" t="inlineStr">
        <is>
          <t>маш.час</t>
        </is>
      </c>
      <c r="F39" s="175" t="n">
        <v>63.124841</v>
      </c>
      <c r="G39" s="180" t="n">
        <v>65.70999999999999</v>
      </c>
      <c r="H39" s="180">
        <f>ROUND(F39*G39,2)</f>
        <v/>
      </c>
    </row>
    <row r="40" ht="15.75" customFormat="1" customHeight="1" s="143">
      <c r="A40" s="175" t="n">
        <v>26</v>
      </c>
      <c r="B40" s="175" t="n"/>
      <c r="C40" s="25" t="inlineStr">
        <is>
          <t>91.01.01-035</t>
        </is>
      </c>
      <c r="D40" s="176" t="inlineStr">
        <is>
          <t>Бульдозеры, мощность 79 кВт (108 л.с.)</t>
        </is>
      </c>
      <c r="E40" s="175" t="inlineStr">
        <is>
          <t>маш.час</t>
        </is>
      </c>
      <c r="F40" s="175" t="n">
        <v>51.64838</v>
      </c>
      <c r="G40" s="180" t="n">
        <v>79.06999999999999</v>
      </c>
      <c r="H40" s="180">
        <f>ROUND(F40*G40,2)</f>
        <v/>
      </c>
    </row>
    <row r="41" ht="15.75" customFormat="1" customHeight="1" s="143">
      <c r="A41" s="175" t="n">
        <v>27</v>
      </c>
      <c r="B41" s="175" t="n"/>
      <c r="C41" s="25" t="inlineStr">
        <is>
          <t>91.21.19-026</t>
        </is>
      </c>
      <c r="D41" s="176" t="inlineStr">
        <is>
          <t>Станки для рубки арматуры</t>
        </is>
      </c>
      <c r="E41" s="175" t="inlineStr">
        <is>
          <t>маш.час</t>
        </is>
      </c>
      <c r="F41" s="175" t="n">
        <v>100.9391</v>
      </c>
      <c r="G41" s="180" t="n">
        <v>28.63</v>
      </c>
      <c r="H41" s="180">
        <f>ROUND(F41*G41,2)</f>
        <v/>
      </c>
    </row>
    <row r="42" ht="15.75" customFormat="1" customHeight="1" s="143">
      <c r="A42" s="175" t="n">
        <v>28</v>
      </c>
      <c r="B42" s="175" t="n"/>
      <c r="C42" s="25" t="inlineStr">
        <is>
          <t>91.07.04-001</t>
        </is>
      </c>
      <c r="D42" s="176" t="inlineStr">
        <is>
          <t>Вибраторы глубинные</t>
        </is>
      </c>
      <c r="E42" s="175" t="inlineStr">
        <is>
          <t>маш.час</t>
        </is>
      </c>
      <c r="F42" s="175" t="n">
        <v>454.3233</v>
      </c>
      <c r="G42" s="180" t="n">
        <v>1.9</v>
      </c>
      <c r="H42" s="180">
        <f>ROUND(F42*G42,2)</f>
        <v/>
      </c>
    </row>
    <row r="43" ht="31.7" customFormat="1" customHeight="1" s="143">
      <c r="A43" s="175" t="n">
        <v>29</v>
      </c>
      <c r="B43" s="175" t="n"/>
      <c r="C43" s="25" t="inlineStr">
        <is>
          <t>91.08.09-023</t>
        </is>
      </c>
      <c r="D43" s="176" t="inlineStr">
        <is>
          <t>Трамбовки пневматические при работе от передвижных компрессорных станций</t>
        </is>
      </c>
      <c r="E43" s="175" t="inlineStr">
        <is>
          <t>маш.час</t>
        </is>
      </c>
      <c r="F43" s="175" t="n">
        <v>1124.316</v>
      </c>
      <c r="G43" s="180" t="n">
        <v>0.55</v>
      </c>
      <c r="H43" s="180">
        <f>ROUND(F43*G43,2)</f>
        <v/>
      </c>
    </row>
    <row r="44" ht="15.75" customFormat="1" customHeight="1" s="143">
      <c r="A44" s="175" t="n">
        <v>30</v>
      </c>
      <c r="B44" s="175" t="n"/>
      <c r="C44" s="25" t="inlineStr">
        <is>
          <t>91.21.19-021</t>
        </is>
      </c>
      <c r="D44" s="176" t="inlineStr">
        <is>
          <t>Станки для гибки арматуры</t>
        </is>
      </c>
      <c r="E44" s="175" t="inlineStr">
        <is>
          <t>маш.час</t>
        </is>
      </c>
      <c r="F44" s="175" t="n">
        <v>197.9818</v>
      </c>
      <c r="G44" s="180" t="n">
        <v>2.33</v>
      </c>
      <c r="H44" s="180">
        <f>ROUND(F44*G44,2)</f>
        <v/>
      </c>
    </row>
    <row r="45" ht="15.75" customFormat="1" customHeight="1" s="143">
      <c r="A45" s="175" t="n">
        <v>31</v>
      </c>
      <c r="B45" s="175" t="n"/>
      <c r="C45" s="25" t="inlineStr">
        <is>
          <t>91.14.04-001</t>
        </is>
      </c>
      <c r="D45" s="176" t="inlineStr">
        <is>
          <t>Тягачи седельные, грузоподъемность 12 т</t>
        </is>
      </c>
      <c r="E45" s="175" t="inlineStr">
        <is>
          <t>маш.час</t>
        </is>
      </c>
      <c r="F45" s="175" t="n">
        <v>3.92448</v>
      </c>
      <c r="G45" s="180" t="n">
        <v>102.84</v>
      </c>
      <c r="H45" s="180">
        <f>ROUND(F45*G45,2)</f>
        <v/>
      </c>
    </row>
    <row r="46" ht="47.25" customFormat="1" customHeight="1" s="143">
      <c r="A46" s="175" t="n">
        <v>32</v>
      </c>
      <c r="B46" s="175" t="n"/>
      <c r="C46" s="25" t="inlineStr">
        <is>
          <t>91.21.10-003</t>
        </is>
      </c>
      <c r="D46" s="176" t="inlineStr">
        <is>
          <t>Молотки при работе от передвижных компрессорных станций отбойные пневматические</t>
        </is>
      </c>
      <c r="E46" s="175" t="inlineStr">
        <is>
          <t>маш.час</t>
        </is>
      </c>
      <c r="F46" s="175" t="n">
        <v>222.63</v>
      </c>
      <c r="G46" s="180" t="n">
        <v>1.53</v>
      </c>
      <c r="H46" s="180">
        <f>ROUND(F46*G46,2)</f>
        <v/>
      </c>
    </row>
    <row r="47" ht="15.75" customFormat="1" customHeight="1" s="143">
      <c r="A47" s="175" t="n">
        <v>33</v>
      </c>
      <c r="B47" s="175" t="n"/>
      <c r="C47" s="25" t="inlineStr">
        <is>
          <t>91.06.05-011</t>
        </is>
      </c>
      <c r="D47" s="176" t="inlineStr">
        <is>
          <t>Погрузчики, грузоподъемность 5 т</t>
        </is>
      </c>
      <c r="E47" s="175" t="inlineStr">
        <is>
          <t>маш.час</t>
        </is>
      </c>
      <c r="F47" s="175" t="n">
        <v>3.333175</v>
      </c>
      <c r="G47" s="180" t="n">
        <v>89.98999999999999</v>
      </c>
      <c r="H47" s="180">
        <f>ROUND(F47*G47,2)</f>
        <v/>
      </c>
    </row>
    <row r="48" ht="47.25" customFormat="1" customHeight="1" s="143">
      <c r="A48" s="175" t="n">
        <v>34</v>
      </c>
      <c r="B48" s="175" t="n"/>
      <c r="C48" s="25" t="inlineStr">
        <is>
          <t>91.21.01-012</t>
        </is>
      </c>
      <c r="D48" s="176" t="inlineStr">
        <is>
          <t>Агрегаты окрасочные высокого давления для окраски поверхностей конструкций, мощность 1 кВт</t>
        </is>
      </c>
      <c r="E48" s="175" t="inlineStr">
        <is>
          <t>маш.час</t>
        </is>
      </c>
      <c r="F48" s="175" t="n">
        <v>42.5425</v>
      </c>
      <c r="G48" s="180" t="n">
        <v>6.82</v>
      </c>
      <c r="H48" s="180">
        <f>ROUND(F48*G48,2)</f>
        <v/>
      </c>
    </row>
    <row r="49" ht="15.75" customFormat="1" customHeight="1" s="143">
      <c r="A49" s="175" t="n">
        <v>35</v>
      </c>
      <c r="B49" s="175" t="n"/>
      <c r="C49" s="25" t="inlineStr">
        <is>
          <t>91.06.08-003</t>
        </is>
      </c>
      <c r="D49" s="176" t="inlineStr">
        <is>
          <t>Тельферы электрические 2 т</t>
        </is>
      </c>
      <c r="E49" s="175" t="inlineStr">
        <is>
          <t>маш.час</t>
        </is>
      </c>
      <c r="F49" s="175" t="n">
        <v>21.58464</v>
      </c>
      <c r="G49" s="180" t="n">
        <v>4.77</v>
      </c>
      <c r="H49" s="180">
        <f>ROUND(F49*G49,2)</f>
        <v/>
      </c>
    </row>
    <row r="50" ht="31.7" customFormat="1" customHeight="1" s="143">
      <c r="A50" s="175" t="n">
        <v>36</v>
      </c>
      <c r="B50" s="175" t="n"/>
      <c r="C50" s="25" t="inlineStr">
        <is>
          <t>91.14.03-001</t>
        </is>
      </c>
      <c r="D50" s="176" t="inlineStr">
        <is>
          <t>Автомобили-самосвалы, грузоподъемность до 7 т</t>
        </is>
      </c>
      <c r="E50" s="175" t="inlineStr">
        <is>
          <t>маш.час</t>
        </is>
      </c>
      <c r="F50" s="175" t="n">
        <v>1.13644</v>
      </c>
      <c r="G50" s="180" t="n">
        <v>89.54000000000001</v>
      </c>
      <c r="H50" s="180">
        <f>ROUND(F50*G50,2)</f>
        <v/>
      </c>
    </row>
    <row r="51" ht="31.7" customFormat="1" customHeight="1" s="143">
      <c r="A51" s="175" t="n">
        <v>37</v>
      </c>
      <c r="B51" s="175" t="n"/>
      <c r="C51" s="25" t="inlineStr">
        <is>
          <t>91.07.08-024</t>
        </is>
      </c>
      <c r="D51" s="176" t="inlineStr">
        <is>
          <t>Растворосмесители передвижные, объем барабана 65 л</t>
        </is>
      </c>
      <c r="E51" s="175" t="inlineStr">
        <is>
          <t>маш.час</t>
        </is>
      </c>
      <c r="F51" s="175" t="n">
        <v>6.5065</v>
      </c>
      <c r="G51" s="180" t="n">
        <v>12.39</v>
      </c>
      <c r="H51" s="180">
        <f>ROUND(F51*G51,2)</f>
        <v/>
      </c>
    </row>
    <row r="52" ht="31.7" customFormat="1" customHeight="1" s="143">
      <c r="A52" s="175" t="n">
        <v>38</v>
      </c>
      <c r="B52" s="175" t="n"/>
      <c r="C52" s="25" t="inlineStr">
        <is>
          <t>91.14.05-011</t>
        </is>
      </c>
      <c r="D52" s="176" t="inlineStr">
        <is>
          <t>Полуприцепы общего назначения, грузоподъемность 12 т</t>
        </is>
      </c>
      <c r="E52" s="175" t="inlineStr">
        <is>
          <t>маш.час</t>
        </is>
      </c>
      <c r="F52" s="175" t="n">
        <v>3.92448</v>
      </c>
      <c r="G52" s="180" t="n">
        <v>12</v>
      </c>
      <c r="H52" s="180">
        <f>ROUND(F52*G52,2)</f>
        <v/>
      </c>
    </row>
    <row r="53" ht="15.75" customFormat="1" customHeight="1" s="143">
      <c r="A53" s="175" t="n">
        <v>39</v>
      </c>
      <c r="B53" s="175" t="n"/>
      <c r="C53" s="25" t="inlineStr">
        <is>
          <t>91.07.04-002</t>
        </is>
      </c>
      <c r="D53" s="176" t="inlineStr">
        <is>
          <t>Вибраторы поверхностные</t>
        </is>
      </c>
      <c r="E53" s="175" t="inlineStr">
        <is>
          <t>маш.час</t>
        </is>
      </c>
      <c r="F53" s="175" t="n">
        <v>13.099963</v>
      </c>
      <c r="G53" s="180" t="n">
        <v>0.5</v>
      </c>
      <c r="H53" s="180">
        <f>ROUND(F53*G53,2)</f>
        <v/>
      </c>
    </row>
    <row r="54" ht="15.75" customFormat="1" customHeight="1" s="15">
      <c r="A54" s="174" t="inlineStr">
        <is>
          <t>Материалы</t>
        </is>
      </c>
      <c r="B54" s="197" t="n"/>
      <c r="C54" s="197" t="n"/>
      <c r="D54" s="197" t="n"/>
      <c r="E54" s="198" t="n"/>
      <c r="F54" s="174" t="n"/>
      <c r="G54" s="20" t="n"/>
      <c r="H54" s="20">
        <f>SUM(H55:H82)</f>
        <v/>
      </c>
    </row>
    <row r="55" ht="15.75" customFormat="1" customHeight="1" s="143">
      <c r="A55" s="175" t="n">
        <v>40</v>
      </c>
      <c r="B55" s="175" t="n"/>
      <c r="C55" s="25" t="inlineStr">
        <is>
          <t>02.1.01.02-0002</t>
        </is>
      </c>
      <c r="D55" s="176" t="inlineStr">
        <is>
          <t xml:space="preserve">Суглинок непросадочный </t>
        </is>
      </c>
      <c r="E55" s="175" t="inlineStr">
        <is>
          <t>м3</t>
        </is>
      </c>
      <c r="F55" s="175" t="n">
        <v>13879.622</v>
      </c>
      <c r="G55" s="180" t="n">
        <v>68.98999999999999</v>
      </c>
      <c r="H55" s="180">
        <f>ROUND(F55*G55,2)</f>
        <v/>
      </c>
    </row>
    <row r="56" ht="63" customFormat="1" customHeight="1" s="143">
      <c r="A56" s="175" t="n">
        <v>41</v>
      </c>
      <c r="B56" s="175" t="n"/>
      <c r="C56" s="25" t="inlineStr">
        <is>
          <t>04.3.02.04-0174</t>
        </is>
      </c>
      <c r="D56" s="176" t="inlineStr">
        <is>
          <t>Смеси бетонные, БСГ, тяжелого бетона на известняковом щебне для инженерных коммуникаций и дорог, фракция: 20-40 мм, класс B15 (М200), П2, F100, W2</t>
        </is>
      </c>
      <c r="E56" s="175" t="inlineStr">
        <is>
          <t>м3</t>
        </is>
      </c>
      <c r="F56" s="175" t="n">
        <v>1345.71</v>
      </c>
      <c r="G56" s="180" t="n">
        <v>647.83</v>
      </c>
      <c r="H56" s="180">
        <f>ROUND(F56*G56,2)</f>
        <v/>
      </c>
    </row>
    <row r="57" ht="31.7" customFormat="1" customHeight="1" s="143">
      <c r="A57" s="175" t="n">
        <v>42</v>
      </c>
      <c r="B57" s="175" t="n"/>
      <c r="C57" s="25" t="inlineStr">
        <is>
          <t>04.3.02.09-0821</t>
        </is>
      </c>
      <c r="D57" s="176" t="inlineStr">
        <is>
          <t>Смесь сухая: гидроизоляционная проникающая капиллярная марка "Пенетрон"</t>
        </is>
      </c>
      <c r="E57" s="175" t="inlineStr">
        <is>
          <t>кг</t>
        </is>
      </c>
      <c r="F57" s="175" t="n">
        <v>5005</v>
      </c>
      <c r="G57" s="180" t="n">
        <v>78.95</v>
      </c>
      <c r="H57" s="180">
        <f>ROUND(F57*G57,2)</f>
        <v/>
      </c>
    </row>
    <row r="58" ht="47.25" customFormat="1" customHeight="1" s="143">
      <c r="A58" s="175" t="n">
        <v>43</v>
      </c>
      <c r="B58" s="175" t="n"/>
      <c r="C58" s="25" t="inlineStr">
        <is>
          <t>08.4.03.03-0034</t>
        </is>
      </c>
      <c r="D58" s="176" t="inlineStr">
        <is>
          <t>Сталь арматурная, горячекатаная, периодического профиля, класс А-III, диаметр 16-18 мм</t>
        </is>
      </c>
      <c r="E58" s="175" t="inlineStr">
        <is>
          <t>т</t>
        </is>
      </c>
      <c r="F58" s="175" t="n">
        <v>33.384</v>
      </c>
      <c r="G58" s="180" t="n">
        <v>7956.21</v>
      </c>
      <c r="H58" s="180">
        <f>ROUND(F58*G58,2)</f>
        <v/>
      </c>
    </row>
    <row r="59" ht="47.25" customFormat="1" customHeight="1" s="143">
      <c r="A59" s="175" t="n">
        <v>44</v>
      </c>
      <c r="B59" s="175" t="n"/>
      <c r="C59" s="25" t="inlineStr">
        <is>
          <t>08.4.03.03-0035</t>
        </is>
      </c>
      <c r="D59" s="176" t="inlineStr">
        <is>
          <t>Сталь арматурная, горячекатаная, периодического профиля, класс А-III, диаметр 20-22 мм</t>
        </is>
      </c>
      <c r="E59" s="175" t="inlineStr">
        <is>
          <t>т</t>
        </is>
      </c>
      <c r="F59" s="175" t="n">
        <v>21.917</v>
      </c>
      <c r="G59" s="180" t="n">
        <v>7917</v>
      </c>
      <c r="H59" s="180">
        <f>ROUND(F59*G59,2)</f>
        <v/>
      </c>
    </row>
    <row r="60" ht="47.25" customFormat="1" customHeight="1" s="143">
      <c r="A60" s="175" t="n">
        <v>45</v>
      </c>
      <c r="B60" s="175" t="n"/>
      <c r="C60" s="25" t="inlineStr">
        <is>
          <t>08.4.03.03-0032</t>
        </is>
      </c>
      <c r="D60" s="176" t="inlineStr">
        <is>
          <t>Сталь арматурная, горячекатаная, периодического профиля, класс А-III, диаметр 12 мм</t>
        </is>
      </c>
      <c r="E60" s="175" t="inlineStr">
        <is>
          <t>т</t>
        </is>
      </c>
      <c r="F60" s="175" t="n">
        <v>19.141</v>
      </c>
      <c r="G60" s="180" t="n">
        <v>7997.23</v>
      </c>
      <c r="H60" s="180">
        <f>ROUND(F60*G60,2)</f>
        <v/>
      </c>
    </row>
    <row r="61" ht="47.25" customFormat="1" customHeight="1" s="143">
      <c r="A61" s="175" t="n">
        <v>46</v>
      </c>
      <c r="B61" s="175" t="n"/>
      <c r="C61" s="25" t="inlineStr">
        <is>
          <t>04.3.02.04-0112</t>
        </is>
      </c>
      <c r="D61" s="176" t="inlineStr">
        <is>
          <t>Смеси бетонные, БСГ, тяжелого бетона мелкозернистые, класс: В15 (М200), Пк4, F100, W4</t>
        </is>
      </c>
      <c r="E61" s="175" t="inlineStr">
        <is>
          <t>м3</t>
        </is>
      </c>
      <c r="F61" s="175" t="n">
        <v>225.3</v>
      </c>
      <c r="G61" s="180" t="n">
        <v>562.02</v>
      </c>
      <c r="H61" s="180">
        <f>ROUND(F61*G61,2)</f>
        <v/>
      </c>
    </row>
    <row r="62" ht="47.25" customFormat="1" customHeight="1" s="143">
      <c r="A62" s="175" t="n">
        <v>47</v>
      </c>
      <c r="B62" s="175" t="n"/>
      <c r="C62" s="25" t="inlineStr">
        <is>
          <t>08.4.03.03-0031</t>
        </is>
      </c>
      <c r="D62" s="176" t="inlineStr">
        <is>
          <t>Сталь арматурная, горячекатаная, периодического профиля, класс А-III, диаметр 10 мм</t>
        </is>
      </c>
      <c r="E62" s="175" t="inlineStr">
        <is>
          <t>т</t>
        </is>
      </c>
      <c r="F62" s="175" t="n">
        <v>11.181</v>
      </c>
      <c r="G62" s="180" t="n">
        <v>8014.15</v>
      </c>
      <c r="H62" s="180">
        <f>ROUND(F62*G62,2)</f>
        <v/>
      </c>
    </row>
    <row r="63" ht="47.25" customFormat="1" customHeight="1" s="143">
      <c r="A63" s="175" t="n">
        <v>48</v>
      </c>
      <c r="B63" s="175" t="n"/>
      <c r="C63" s="25" t="inlineStr">
        <is>
          <t>08.4.03.03-0030</t>
        </is>
      </c>
      <c r="D63" s="176" t="inlineStr">
        <is>
          <t>Сталь арматурная, горячекатаная, периодического профиля, класс А-III, диаметр 8 мм</t>
        </is>
      </c>
      <c r="E63" s="175" t="inlineStr">
        <is>
          <t>т</t>
        </is>
      </c>
      <c r="F63" s="175" t="n">
        <v>10.179</v>
      </c>
      <c r="G63" s="180" t="n">
        <v>8102.64</v>
      </c>
      <c r="H63" s="180">
        <f>ROUND(F63*G63,2)</f>
        <v/>
      </c>
    </row>
    <row r="64" ht="47.25" customFormat="1" customHeight="1" s="143">
      <c r="A64" s="175" t="n">
        <v>49</v>
      </c>
      <c r="B64" s="175" t="n"/>
      <c r="C64" s="25" t="inlineStr">
        <is>
          <t>05.2.02.01-0057</t>
        </is>
      </c>
      <c r="D64" s="176" t="inlineStr">
        <is>
          <t>Блоки бетонные для стен подвалов полнотелые ФБС24-6-6-Т, бетон B7,5 (М100, объем 0,815 м3, расход арматуры 2,36 кг</t>
        </is>
      </c>
      <c r="E64" s="175" t="inlineStr">
        <is>
          <t>шт</t>
        </is>
      </c>
      <c r="F64" s="175" t="n">
        <v>148</v>
      </c>
      <c r="G64" s="180" t="n">
        <v>472.7</v>
      </c>
      <c r="H64" s="180">
        <f>ROUND(F64*G64,2)</f>
        <v/>
      </c>
    </row>
    <row r="65" ht="15.75" customFormat="1" customHeight="1" s="143">
      <c r="A65" s="175" t="n">
        <v>50</v>
      </c>
      <c r="B65" s="175" t="n"/>
      <c r="C65" s="25" t="inlineStr">
        <is>
          <t>11.2.13.04-0011</t>
        </is>
      </c>
      <c r="D65" s="176" t="inlineStr">
        <is>
          <t>Щиты из досок, толщина 25 мм</t>
        </is>
      </c>
      <c r="E65" s="175" t="inlineStr">
        <is>
          <t>м2</t>
        </is>
      </c>
      <c r="F65" s="175" t="n">
        <v>989.3228</v>
      </c>
      <c r="G65" s="180" t="n">
        <v>35.53</v>
      </c>
      <c r="H65" s="180">
        <f>ROUND(F65*G65,2)</f>
        <v/>
      </c>
    </row>
    <row r="66" ht="47.25" customFormat="1" customHeight="1" s="143">
      <c r="A66" s="175" t="n">
        <v>51</v>
      </c>
      <c r="B66" s="175" t="n"/>
      <c r="C66" s="25" t="inlineStr">
        <is>
          <t>11.1.03.06-0095</t>
        </is>
      </c>
      <c r="D66" s="176" t="inlineStr">
        <is>
          <t>Доска обрезная, хвойных пород, ширина 75-150 мм, толщина 44 мм и более, длина 4-6,5 м, сорт III</t>
        </is>
      </c>
      <c r="E66" s="175" t="inlineStr">
        <is>
          <t>м3</t>
        </is>
      </c>
      <c r="F66" s="175" t="n">
        <v>24.752434</v>
      </c>
      <c r="G66" s="180" t="n">
        <v>1056</v>
      </c>
      <c r="H66" s="180">
        <f>ROUND(F66*G66,2)</f>
        <v/>
      </c>
    </row>
    <row r="67" ht="47.25" customFormat="1" customHeight="1" s="143">
      <c r="A67" s="175" t="n">
        <v>52</v>
      </c>
      <c r="B67" s="175" t="n"/>
      <c r="C67" s="25" t="inlineStr">
        <is>
          <t>08.4.03.03-0036</t>
        </is>
      </c>
      <c r="D67" s="176" t="inlineStr">
        <is>
          <t>Сталь арматурная, горячекатаная, периодического профиля, класс А-III, диаметр 25-28 мм</t>
        </is>
      </c>
      <c r="E67" s="175" t="inlineStr">
        <is>
          <t>т</t>
        </is>
      </c>
      <c r="F67" s="175" t="n">
        <v>2.89</v>
      </c>
      <c r="G67" s="180" t="n">
        <v>7792.12</v>
      </c>
      <c r="H67" s="180">
        <f>ROUND(F67*G67,2)</f>
        <v/>
      </c>
    </row>
    <row r="68" ht="15.75" customFormat="1" customHeight="1" s="143">
      <c r="A68" s="175" t="n">
        <v>53</v>
      </c>
      <c r="B68" s="175" t="n"/>
      <c r="C68" s="25" t="inlineStr">
        <is>
          <t>01.7.11.07-0032</t>
        </is>
      </c>
      <c r="D68" s="176" t="inlineStr">
        <is>
          <t>Электроды сварочные Э42, диаметр 4 мм</t>
        </is>
      </c>
      <c r="E68" s="175" t="inlineStr">
        <is>
          <t>т</t>
        </is>
      </c>
      <c r="F68" s="175" t="n">
        <v>1.9115708</v>
      </c>
      <c r="G68" s="180" t="n">
        <v>10315.01</v>
      </c>
      <c r="H68" s="180">
        <f>ROUND(F68*G68,2)</f>
        <v/>
      </c>
    </row>
    <row r="69" ht="15.75" customFormat="1" customHeight="1" s="143">
      <c r="A69" s="175" t="n">
        <v>54</v>
      </c>
      <c r="B69" s="175" t="n"/>
      <c r="C69" s="25" t="inlineStr">
        <is>
          <t>01.7.15.03-0042</t>
        </is>
      </c>
      <c r="D69" s="176" t="inlineStr">
        <is>
          <t>Болты с гайками и шайбами строительные</t>
        </is>
      </c>
      <c r="E69" s="175" t="inlineStr">
        <is>
          <t>кг</t>
        </is>
      </c>
      <c r="F69" s="175" t="n">
        <v>1184.848</v>
      </c>
      <c r="G69" s="180" t="n">
        <v>9.039999999999999</v>
      </c>
      <c r="H69" s="180">
        <f>ROUND(F69*G69,2)</f>
        <v/>
      </c>
    </row>
    <row r="70" ht="15.75" customFormat="1" customHeight="1" s="143">
      <c r="A70" s="175" t="n">
        <v>55</v>
      </c>
      <c r="B70" s="175" t="n"/>
      <c r="C70" s="25" t="inlineStr">
        <is>
          <t>01.7.15.06-0111</t>
        </is>
      </c>
      <c r="D70" s="176" t="inlineStr">
        <is>
          <t>Гвозди строительные</t>
        </is>
      </c>
      <c r="E70" s="175" t="inlineStr">
        <is>
          <t>т</t>
        </is>
      </c>
      <c r="F70" s="175" t="n">
        <v>0.7834207</v>
      </c>
      <c r="G70" s="180" t="n">
        <v>11978</v>
      </c>
      <c r="H70" s="180">
        <f>ROUND(F70*G70,2)</f>
        <v/>
      </c>
    </row>
    <row r="71" ht="47.25" customFormat="1" customHeight="1" s="143">
      <c r="A71" s="175" t="n">
        <v>56</v>
      </c>
      <c r="B71" s="175" t="n"/>
      <c r="C71" s="25" t="inlineStr">
        <is>
          <t>08.4.03.03-0033</t>
        </is>
      </c>
      <c r="D71" s="176" t="inlineStr">
        <is>
          <t>Сталь арматурная, горячекатаная, периодического профиля, класс А-III, диаметр 14 мм</t>
        </is>
      </c>
      <c r="E71" s="175" t="inlineStr">
        <is>
          <t>т</t>
        </is>
      </c>
      <c r="F71" s="175" t="n">
        <v>0.659</v>
      </c>
      <c r="G71" s="180" t="n">
        <v>7997.23</v>
      </c>
      <c r="H71" s="180">
        <f>ROUND(F71*G71,2)</f>
        <v/>
      </c>
    </row>
    <row r="72" ht="47.25" customFormat="1" customHeight="1" s="143">
      <c r="A72" s="175" t="n">
        <v>57</v>
      </c>
      <c r="B72" s="175" t="n"/>
      <c r="C72" s="25" t="inlineStr">
        <is>
          <t>05.2.02.01-0038</t>
        </is>
      </c>
      <c r="D72" s="176" t="inlineStr">
        <is>
          <t>Блоки бетонные для стен подвалов полнотелые ФБС9-6-6-Т, бетон B7,5 (М100, объем 0,293 м3, расход арматуры 1,46 кг</t>
        </is>
      </c>
      <c r="E72" s="175" t="inlineStr">
        <is>
          <t>шт</t>
        </is>
      </c>
      <c r="F72" s="175" t="n">
        <v>24</v>
      </c>
      <c r="G72" s="180" t="n">
        <v>181.66</v>
      </c>
      <c r="H72" s="180">
        <f>ROUND(F72*G72,2)</f>
        <v/>
      </c>
    </row>
    <row r="73" ht="15.75" customFormat="1" customHeight="1" s="143">
      <c r="A73" s="175" t="n">
        <v>58</v>
      </c>
      <c r="B73" s="175" t="n"/>
      <c r="C73" s="25" t="inlineStr">
        <is>
          <t>01.7.11.07-0054</t>
        </is>
      </c>
      <c r="D73" s="176" t="inlineStr">
        <is>
          <t>Электроды сварочные Э42, диаметр 6 мм</t>
        </is>
      </c>
      <c r="E73" s="175" t="inlineStr">
        <is>
          <t>т</t>
        </is>
      </c>
      <c r="F73" s="175" t="n">
        <v>0.3545559</v>
      </c>
      <c r="G73" s="180" t="n">
        <v>9424</v>
      </c>
      <c r="H73" s="180">
        <f>ROUND(F73*G73,2)</f>
        <v/>
      </c>
    </row>
    <row r="74" ht="47.25" customFormat="1" customHeight="1" s="143">
      <c r="A74" s="175" t="n">
        <v>59</v>
      </c>
      <c r="B74" s="175" t="n"/>
      <c r="C74" s="25" t="inlineStr">
        <is>
          <t>05.2.02.01-0049</t>
        </is>
      </c>
      <c r="D74" s="176" t="inlineStr">
        <is>
          <t>Блоки бетонные для стен подвалов полнотелые ФБС12-6-6-Т, бетон B7,5 (М100, объем 0,398 м3, расход арматуры 1,46 кг</t>
        </is>
      </c>
      <c r="E74" s="175" t="inlineStr">
        <is>
          <t>шт</t>
        </is>
      </c>
      <c r="F74" s="175" t="n">
        <v>12</v>
      </c>
      <c r="G74" s="180" t="n">
        <v>238.8</v>
      </c>
      <c r="H74" s="180">
        <f>ROUND(F74*G74,2)</f>
        <v/>
      </c>
    </row>
    <row r="75" ht="15.75" customFormat="1" customHeight="1" s="143">
      <c r="A75" s="175" t="n">
        <v>60</v>
      </c>
      <c r="B75" s="175" t="n"/>
      <c r="C75" s="25" t="inlineStr">
        <is>
          <t>04.3.01.09-0014</t>
        </is>
      </c>
      <c r="D75" s="176" t="inlineStr">
        <is>
          <t>Раствор готовый кладочный, цементный, М100</t>
        </is>
      </c>
      <c r="E75" s="175" t="inlineStr">
        <is>
          <t>м3</t>
        </is>
      </c>
      <c r="F75" s="175" t="n">
        <v>4.96</v>
      </c>
      <c r="G75" s="180" t="n">
        <v>519.8</v>
      </c>
      <c r="H75" s="180">
        <f>ROUND(F75*G75,2)</f>
        <v/>
      </c>
    </row>
    <row r="76" ht="31.7" customFormat="1" customHeight="1" s="143">
      <c r="A76" s="175" t="n">
        <v>61</v>
      </c>
      <c r="B76" s="175" t="n"/>
      <c r="C76" s="25" t="inlineStr">
        <is>
          <t>11.1.03.01-0079</t>
        </is>
      </c>
      <c r="D76" s="176" t="inlineStr">
        <is>
          <t>Бруски обрезные, хвойных пород, длина 4-6,5 м, ширина 75-150 мм, толщина 40-75 мм, сорт III</t>
        </is>
      </c>
      <c r="E76" s="175" t="inlineStr">
        <is>
          <t>м3</t>
        </is>
      </c>
      <c r="F76" s="175" t="n">
        <v>1.80683</v>
      </c>
      <c r="G76" s="180" t="n">
        <v>1287</v>
      </c>
      <c r="H76" s="180">
        <f>ROUND(F76*G76,2)</f>
        <v/>
      </c>
    </row>
    <row r="77" ht="15.75" customFormat="1" customHeight="1" s="143">
      <c r="A77" s="175" t="n">
        <v>62</v>
      </c>
      <c r="B77" s="175" t="n"/>
      <c r="C77" s="25" t="inlineStr">
        <is>
          <t>01.7.07.12-0024</t>
        </is>
      </c>
      <c r="D77" s="176" t="inlineStr">
        <is>
          <t>Пленка полиэтиленовая, толщина 0,15 мм</t>
        </is>
      </c>
      <c r="E77" s="175" t="inlineStr">
        <is>
          <t>м2</t>
        </is>
      </c>
      <c r="F77" s="175" t="n">
        <v>552.275</v>
      </c>
      <c r="G77" s="180" t="n">
        <v>3.62</v>
      </c>
      <c r="H77" s="180">
        <f>ROUND(F77*G77,2)</f>
        <v/>
      </c>
    </row>
    <row r="78" ht="31.7" customFormat="1" customHeight="1" s="143">
      <c r="A78" s="175" t="n">
        <v>63</v>
      </c>
      <c r="B78" s="175" t="n"/>
      <c r="C78" s="25" t="inlineStr">
        <is>
          <t>08.4.03.02-0001</t>
        </is>
      </c>
      <c r="D78" s="176" t="inlineStr">
        <is>
          <t>Сталь арматурная, горячекатаная, гладкая, класс А-I, диаметр 6 мм</t>
        </is>
      </c>
      <c r="E78" s="175" t="inlineStr">
        <is>
          <t>т</t>
        </is>
      </c>
      <c r="F78" s="175" t="n">
        <v>0.226</v>
      </c>
      <c r="G78" s="180" t="n">
        <v>7418.82</v>
      </c>
      <c r="H78" s="180">
        <f>ROUND(F78*G78,2)</f>
        <v/>
      </c>
    </row>
    <row r="79" ht="15.75" customFormat="1" customHeight="1" s="143">
      <c r="A79" s="175" t="n">
        <v>64</v>
      </c>
      <c r="B79" s="175" t="n"/>
      <c r="C79" s="25" t="inlineStr">
        <is>
          <t>03.1.02.03-0011</t>
        </is>
      </c>
      <c r="D79" s="176" t="inlineStr">
        <is>
          <t>Известь строительная негашеная комовая, сорт I</t>
        </is>
      </c>
      <c r="E79" s="175" t="inlineStr">
        <is>
          <t>т</t>
        </is>
      </c>
      <c r="F79" s="175" t="n">
        <v>0.6856897</v>
      </c>
      <c r="G79" s="180" t="n">
        <v>734.5</v>
      </c>
      <c r="H79" s="180">
        <f>ROUND(F79*G79,2)</f>
        <v/>
      </c>
    </row>
    <row r="80" ht="15.75" customFormat="1" customHeight="1" s="143">
      <c r="A80" s="175" t="n">
        <v>65</v>
      </c>
      <c r="B80" s="175" t="n"/>
      <c r="C80" s="25" t="inlineStr">
        <is>
          <t>01.7.11.07-0064</t>
        </is>
      </c>
      <c r="D80" s="176" t="inlineStr">
        <is>
          <t>Электроды сварочные Э42, диаметр 8 мм</t>
        </is>
      </c>
      <c r="E80" s="175" t="inlineStr">
        <is>
          <t>т</t>
        </is>
      </c>
      <c r="F80" s="175" t="n">
        <v>0.013872</v>
      </c>
      <c r="G80" s="180" t="n">
        <v>9211</v>
      </c>
      <c r="H80" s="180">
        <f>ROUND(F80*G80,2)</f>
        <v/>
      </c>
    </row>
    <row r="81" ht="15.75" customFormat="1" customHeight="1" s="143">
      <c r="A81" s="175" t="n">
        <v>66</v>
      </c>
      <c r="B81" s="175" t="n"/>
      <c r="C81" s="25" t="inlineStr">
        <is>
          <t>02.2.05.04-1777</t>
        </is>
      </c>
      <c r="D81" s="176" t="inlineStr">
        <is>
          <t>Щебень М 800, фракция 20-40 мм, группа 2</t>
        </is>
      </c>
      <c r="E81" s="175" t="inlineStr">
        <is>
          <t>м3</t>
        </is>
      </c>
      <c r="F81" s="175" t="n">
        <v>0.56984</v>
      </c>
      <c r="G81" s="180" t="n">
        <v>108.4</v>
      </c>
      <c r="H81" s="180">
        <f>ROUND(F81*G81,2)</f>
        <v/>
      </c>
    </row>
    <row r="82" ht="15.75" customFormat="1" customHeight="1" s="143">
      <c r="A82" s="175" t="n">
        <v>67</v>
      </c>
      <c r="B82" s="175" t="n"/>
      <c r="C82" s="25" t="inlineStr">
        <is>
          <t>01.7.03.01-0001</t>
        </is>
      </c>
      <c r="D82" s="176" t="inlineStr">
        <is>
          <t>Вода</t>
        </is>
      </c>
      <c r="E82" s="175" t="inlineStr">
        <is>
          <t>м3</t>
        </is>
      </c>
      <c r="F82" s="175" t="n">
        <v>19.429073</v>
      </c>
      <c r="G82" s="180" t="n">
        <v>2.44</v>
      </c>
      <c r="H82" s="180">
        <f>ROUND(F82*G82,2)</f>
        <v/>
      </c>
    </row>
    <row r="83" ht="15.75" customFormat="1" customHeight="1" s="143"/>
    <row r="84" ht="15.75" customFormat="1" customHeight="1" s="143"/>
    <row r="85" ht="15.75" customFormat="1" customHeight="1" s="143"/>
    <row r="86" ht="15.75" customFormat="1" customHeight="1" s="143"/>
    <row r="87" ht="15.75" customFormat="1" customHeight="1" s="143">
      <c r="B87" s="143" t="inlineStr">
        <is>
          <t>Составил ______________________        М.С. Колотиевская</t>
        </is>
      </c>
      <c r="C87" s="143" t="n"/>
    </row>
    <row r="88" ht="15.75" customFormat="1" customHeight="1" s="143">
      <c r="B88" s="98" t="inlineStr">
        <is>
          <t xml:space="preserve">                         (подпись, инициалы, фамилия)</t>
        </is>
      </c>
      <c r="C88" s="143" t="n"/>
    </row>
    <row r="89" ht="15.75" customFormat="1" customHeight="1" s="143">
      <c r="B89" s="143" t="n"/>
      <c r="C89" s="143" t="n"/>
    </row>
    <row r="90" ht="15.75" customFormat="1" customHeight="1" s="143">
      <c r="B90" s="143" t="inlineStr">
        <is>
          <t>Проверил ______________________          А.В. Костянецкая</t>
        </is>
      </c>
      <c r="C90" s="143" t="n"/>
    </row>
    <row r="91" ht="15.75" customFormat="1" customHeight="1" s="143">
      <c r="B91" s="98" t="inlineStr">
        <is>
          <t xml:space="preserve">                        (подпись, инициалы, фамилия)</t>
        </is>
      </c>
      <c r="C91" s="143" t="n"/>
    </row>
    <row r="92" ht="15.75" customFormat="1" customHeight="1" s="143"/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54:E54"/>
    <mergeCell ref="A7:H7"/>
    <mergeCell ref="A9:A10"/>
    <mergeCell ref="A28:E28"/>
    <mergeCell ref="A2:H2"/>
    <mergeCell ref="C4:H4"/>
    <mergeCell ref="G9:H9"/>
  </mergeCells>
  <conditionalFormatting sqref="F11:F82">
    <cfRule type="expression" priority="1" dxfId="0" stopIfTrue="1">
      <formula>ROUND(F11*10000,0)/10000=F11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11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141" min="1" max="1"/>
    <col width="36.28515625" customWidth="1" style="141" min="2" max="2"/>
    <col width="18.85546875" customWidth="1" style="141" min="3" max="3"/>
    <col width="18.28515625" customWidth="1" style="141" min="4" max="4"/>
    <col width="20.85546875" customWidth="1" style="141" min="5" max="5"/>
    <col width="9.140625" customWidth="1" style="141" min="6" max="10"/>
    <col width="13.5703125" customWidth="1" style="141" min="11" max="11"/>
    <col width="9.140625" customWidth="1" style="141" min="12" max="12"/>
  </cols>
  <sheetData>
    <row r="1" ht="15.75" customHeight="1" s="141">
      <c r="A1" s="73" t="n"/>
      <c r="B1" s="143" t="n"/>
      <c r="C1" s="143" t="n"/>
      <c r="D1" s="143" t="n"/>
      <c r="E1" s="143" t="n"/>
    </row>
    <row r="2" ht="15.75" customHeight="1" s="141">
      <c r="B2" s="143" t="n"/>
      <c r="C2" s="143" t="n"/>
      <c r="D2" s="143" t="n"/>
      <c r="E2" s="181" t="inlineStr">
        <is>
          <t>Приложение № 4</t>
        </is>
      </c>
    </row>
    <row r="3" ht="15.75" customHeight="1" s="141">
      <c r="B3" s="143" t="n"/>
      <c r="C3" s="143" t="n"/>
      <c r="D3" s="143" t="n"/>
      <c r="E3" s="143" t="n"/>
    </row>
    <row r="4" ht="15.75" customHeight="1" s="141">
      <c r="B4" s="143" t="n"/>
      <c r="C4" s="143" t="n"/>
      <c r="D4" s="143" t="n"/>
      <c r="E4" s="143" t="n"/>
    </row>
    <row r="5" ht="15.75" customHeight="1" s="141">
      <c r="B5" s="162" t="inlineStr">
        <is>
          <t>Ресурсная модель</t>
        </is>
      </c>
    </row>
    <row r="6" ht="15.75" customHeight="1" s="141">
      <c r="B6" s="163" t="n"/>
      <c r="C6" s="143" t="n"/>
      <c r="D6" s="143" t="n"/>
      <c r="E6" s="143" t="n"/>
    </row>
    <row r="7" ht="15.75" customHeight="1" s="141">
      <c r="B7" s="164" t="inlineStr">
        <is>
          <t>Наименование разрабатываемой расценки УНЦ —  Подпорная стенка</t>
        </is>
      </c>
    </row>
    <row r="8" ht="15.75" customHeight="1" s="141">
      <c r="B8" s="164" t="inlineStr">
        <is>
          <t>Единица измерения  — м2</t>
        </is>
      </c>
    </row>
    <row r="9">
      <c r="B9" s="78" t="n"/>
      <c r="C9" s="127" t="n"/>
      <c r="D9" s="127" t="n"/>
      <c r="E9" s="127" t="n"/>
    </row>
    <row r="10" ht="78.75" customFormat="1" customHeight="1" s="143">
      <c r="B10" s="179" t="inlineStr">
        <is>
          <t>Наименование</t>
        </is>
      </c>
      <c r="C10" s="179" t="inlineStr">
        <is>
          <t>Сметная стоимость в ценах на 01.01.2023
 (руб.)</t>
        </is>
      </c>
      <c r="D10" s="179" t="inlineStr">
        <is>
          <t>Удельный вес, 
(в СМР)</t>
        </is>
      </c>
      <c r="E10" s="179" t="inlineStr">
        <is>
          <t>Удельный вес, % 
(от всего по РМ)</t>
        </is>
      </c>
    </row>
    <row r="11" ht="15" customFormat="1" customHeight="1" s="143">
      <c r="B11" s="185" t="inlineStr">
        <is>
          <t>Оплата труда рабочих</t>
        </is>
      </c>
      <c r="C11" s="82">
        <f>'Прил.5 Расчет СМР и ОБ'!J14</f>
        <v/>
      </c>
      <c r="D11" s="83">
        <f>C11/C24</f>
        <v/>
      </c>
      <c r="E11" s="83">
        <f>C11/C40</f>
        <v/>
      </c>
    </row>
    <row r="12" ht="15" customFormat="1" customHeight="1" s="143">
      <c r="B12" s="185" t="inlineStr">
        <is>
          <t>Эксплуатация машин основных</t>
        </is>
      </c>
      <c r="C12" s="82">
        <f>'Прил.5 Расчет СМР и ОБ'!J25</f>
        <v/>
      </c>
      <c r="D12" s="83">
        <f>C12/C24</f>
        <v/>
      </c>
      <c r="E12" s="83">
        <f>C12/C40</f>
        <v/>
      </c>
    </row>
    <row r="13" ht="15" customFormat="1" customHeight="1" s="143">
      <c r="B13" s="185" t="inlineStr">
        <is>
          <t>Эксплуатация машин прочих</t>
        </is>
      </c>
      <c r="C13" s="82">
        <f>'Прил.5 Расчет СМР и ОБ'!J43</f>
        <v/>
      </c>
      <c r="D13" s="83">
        <f>C13/C24</f>
        <v/>
      </c>
      <c r="E13" s="83">
        <f>C13/C40</f>
        <v/>
      </c>
    </row>
    <row r="14" ht="15" customFormat="1" customHeight="1" s="143">
      <c r="B14" s="185" t="inlineStr">
        <is>
          <t>ЭКСПЛУАТАЦИЯ МАШИН, ВСЕГО:</t>
        </is>
      </c>
      <c r="C14" s="82">
        <f>C13+C12</f>
        <v/>
      </c>
      <c r="D14" s="83">
        <f>C14/C24</f>
        <v/>
      </c>
      <c r="E14" s="83">
        <f>C14/C40</f>
        <v/>
      </c>
    </row>
    <row r="15" ht="15" customFormat="1" customHeight="1" s="143">
      <c r="B15" s="185" t="inlineStr">
        <is>
          <t>в том числе зарплата машинистов</t>
        </is>
      </c>
      <c r="C15" s="82">
        <f>'Прил.5 Расчет СМР и ОБ'!J16</f>
        <v/>
      </c>
      <c r="D15" s="83">
        <f>C15/C24</f>
        <v/>
      </c>
      <c r="E15" s="83">
        <f>C15/C40</f>
        <v/>
      </c>
    </row>
    <row r="16" ht="15" customFormat="1" customHeight="1" s="143">
      <c r="B16" s="185" t="inlineStr">
        <is>
          <t>Материалы основные</t>
        </is>
      </c>
      <c r="C16" s="82">
        <f>'Прил.5 Расчет СМР и ОБ'!J61</f>
        <v/>
      </c>
      <c r="D16" s="83">
        <f>C16/C24</f>
        <v/>
      </c>
      <c r="E16" s="83">
        <f>C16/C40</f>
        <v/>
      </c>
    </row>
    <row r="17" ht="15" customFormat="1" customHeight="1" s="143">
      <c r="B17" s="185" t="inlineStr">
        <is>
          <t>Материалы прочие</t>
        </is>
      </c>
      <c r="C17" s="82">
        <f>'Прил.5 Расчет СМР и ОБ'!J83</f>
        <v/>
      </c>
      <c r="D17" s="83">
        <f>C17/C24</f>
        <v/>
      </c>
      <c r="E17" s="83">
        <f>C17/C40</f>
        <v/>
      </c>
    </row>
    <row r="18" ht="15" customFormat="1" customHeight="1" s="143">
      <c r="B18" s="185" t="inlineStr">
        <is>
          <t>МАТЕРИАЛЫ, ВСЕГО:</t>
        </is>
      </c>
      <c r="C18" s="82">
        <f>C17+C16</f>
        <v/>
      </c>
      <c r="D18" s="83">
        <f>C18/C24</f>
        <v/>
      </c>
      <c r="E18" s="83">
        <f>C18/C40</f>
        <v/>
      </c>
    </row>
    <row r="19" ht="15" customFormat="1" customHeight="1" s="143">
      <c r="B19" s="185" t="inlineStr">
        <is>
          <t>ИТОГО</t>
        </is>
      </c>
      <c r="C19" s="82">
        <f>C18+C14+C11</f>
        <v/>
      </c>
      <c r="D19" s="83">
        <f>C19/C24</f>
        <v/>
      </c>
      <c r="E19" s="84">
        <f>C19/C40</f>
        <v/>
      </c>
    </row>
    <row r="20" ht="15" customFormat="1" customHeight="1" s="143">
      <c r="B20" s="185" t="inlineStr">
        <is>
          <t>Сметная прибыль, руб.</t>
        </is>
      </c>
      <c r="C20" s="82" t="n">
        <v>3976543.0640922</v>
      </c>
      <c r="D20" s="83">
        <f>C20/C24</f>
        <v/>
      </c>
      <c r="E20" s="83">
        <f>C20/C40</f>
        <v/>
      </c>
    </row>
    <row r="21" ht="15" customFormat="1" customHeight="1" s="143">
      <c r="B21" s="185" t="inlineStr">
        <is>
          <t>Сметная прибыль, %</t>
        </is>
      </c>
      <c r="C21" s="85">
        <f>C20/(C11+C15)</f>
        <v/>
      </c>
      <c r="D21" s="83" t="n"/>
      <c r="E21" s="84" t="n"/>
    </row>
    <row r="22" ht="15" customFormat="1" customHeight="1" s="143">
      <c r="B22" s="185" t="inlineStr">
        <is>
          <t>Накладные расходы, руб.</t>
        </is>
      </c>
      <c r="C22" s="82" t="n">
        <v>7632546.7704586</v>
      </c>
      <c r="D22" s="83">
        <f>C22/C24</f>
        <v/>
      </c>
      <c r="E22" s="83">
        <f>C22/C40</f>
        <v/>
      </c>
    </row>
    <row r="23" ht="15" customFormat="1" customHeight="1" s="143">
      <c r="B23" s="185" t="inlineStr">
        <is>
          <t>Накладные расходы, %</t>
        </is>
      </c>
      <c r="C23" s="85">
        <f>C22/(C11+C15)</f>
        <v/>
      </c>
      <c r="D23" s="83" t="n"/>
      <c r="E23" s="84" t="n"/>
    </row>
    <row r="24" ht="15" customFormat="1" customHeight="1" s="143">
      <c r="B24" s="185" t="inlineStr">
        <is>
          <t>ВСЕГО СМР с НР и СП</t>
        </is>
      </c>
      <c r="C24" s="82">
        <f>C19+C20+C22</f>
        <v/>
      </c>
      <c r="D24" s="83">
        <f>C24/C24</f>
        <v/>
      </c>
      <c r="E24" s="83">
        <f>C24/C40</f>
        <v/>
      </c>
    </row>
    <row r="25" ht="31.7" customFormat="1" customHeight="1" s="143">
      <c r="B25" s="185" t="inlineStr">
        <is>
          <t>ВСЕГО стоимость оборудования, в том числе</t>
        </is>
      </c>
      <c r="C25" s="82">
        <f>'Прил.5 Расчет СМР и ОБ'!J50</f>
        <v/>
      </c>
      <c r="D25" s="83" t="n"/>
      <c r="E25" s="83">
        <f>C25/C40</f>
        <v/>
      </c>
    </row>
    <row r="26" ht="31.7" customFormat="1" customHeight="1" s="143">
      <c r="B26" s="185" t="inlineStr">
        <is>
          <t>стоимость оборудования технологического</t>
        </is>
      </c>
      <c r="C26" s="82">
        <f>C25</f>
        <v/>
      </c>
      <c r="D26" s="83" t="n"/>
      <c r="E26" s="83">
        <f>C26/C40</f>
        <v/>
      </c>
    </row>
    <row r="27" ht="15" customFormat="1" customHeight="1" s="143">
      <c r="B27" s="185" t="inlineStr">
        <is>
          <t>ИТОГО (СМР + ОБОРУДОВАНИЕ)</t>
        </is>
      </c>
      <c r="C27" s="86">
        <f>C24+C25</f>
        <v/>
      </c>
      <c r="D27" s="83" t="n"/>
      <c r="E27" s="83">
        <f>C27/C40</f>
        <v/>
      </c>
    </row>
    <row r="28" ht="33" customFormat="1" customHeight="1" s="143">
      <c r="B28" s="185" t="inlineStr">
        <is>
          <t>ПРОЧ. ЗАТР., УЧТЕННЫЕ ПОКАЗАТЕЛЕМ,  в том числе</t>
        </is>
      </c>
      <c r="C28" s="185" t="n"/>
      <c r="D28" s="84" t="n"/>
      <c r="E28" s="84" t="n"/>
    </row>
    <row r="29" ht="31.7" customFormat="1" customHeight="1" s="143">
      <c r="B29" s="185" t="inlineStr">
        <is>
          <t>Временные здания и сооружения - 3,9%</t>
        </is>
      </c>
      <c r="C29" s="86">
        <f>ROUND(C24*0.039,2)</f>
        <v/>
      </c>
      <c r="D29" s="84" t="n"/>
      <c r="E29" s="83">
        <f>C29/C40</f>
        <v/>
      </c>
    </row>
    <row r="30" ht="63" customFormat="1" customHeight="1" s="143">
      <c r="B30" s="185" t="inlineStr">
        <is>
          <t>Дополнительные затраты при производстве строительно-монтажных работ в зимнее время - 2,1%</t>
        </is>
      </c>
      <c r="C30" s="86">
        <f>ROUND((C24+C29)*0.021,2)</f>
        <v/>
      </c>
      <c r="D30" s="84" t="n"/>
      <c r="E30" s="83">
        <f>C30/C40</f>
        <v/>
      </c>
    </row>
    <row r="31" ht="15.75" customFormat="1" customHeight="1" s="143">
      <c r="B31" s="185" t="inlineStr">
        <is>
          <t>Пусконаладочные работы</t>
        </is>
      </c>
      <c r="C31" s="86">
        <f>ROUND(C25*80%*7%,2)</f>
        <v/>
      </c>
      <c r="D31" s="84" t="n"/>
      <c r="E31" s="83">
        <f>C31/C40</f>
        <v/>
      </c>
    </row>
    <row r="32" ht="31.7" customFormat="1" customHeight="1" s="143">
      <c r="B32" s="185" t="inlineStr">
        <is>
          <t>Затраты по перевозке работников к месту работы и обратно</t>
        </is>
      </c>
      <c r="C32" s="86" t="n">
        <v>0</v>
      </c>
      <c r="D32" s="84" t="n"/>
      <c r="E32" s="83">
        <f>C32/C40</f>
        <v/>
      </c>
    </row>
    <row r="33" ht="47.25" customFormat="1" customHeight="1" s="143">
      <c r="B33" s="185" t="inlineStr">
        <is>
          <t>Затраты, связанные с осуществлением работ вахтовым методом</t>
        </is>
      </c>
      <c r="C33" s="86" t="n">
        <v>0</v>
      </c>
      <c r="D33" s="84" t="n"/>
      <c r="E33" s="83">
        <f>C33/C40</f>
        <v/>
      </c>
    </row>
    <row r="34" ht="63" customFormat="1" customHeight="1" s="143">
      <c r="B34" s="18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6" t="n">
        <v>0</v>
      </c>
      <c r="D34" s="84" t="n"/>
      <c r="E34" s="83">
        <f>C34/C40</f>
        <v/>
      </c>
    </row>
    <row r="35" ht="94.7" customFormat="1" customHeight="1" s="143">
      <c r="B35" s="18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6" t="n">
        <v>0</v>
      </c>
      <c r="D35" s="84" t="n"/>
      <c r="E35" s="83">
        <f>C35/C40</f>
        <v/>
      </c>
    </row>
    <row r="36" ht="47.25" customFormat="1" customHeight="1" s="143">
      <c r="B36" s="87" t="inlineStr">
        <is>
          <t>Строительный контроль и содержание службы заказчика - 2,14%</t>
        </is>
      </c>
      <c r="C36" s="88">
        <f>ROUND((C27+C29+C31+C30)*0.0214,2)</f>
        <v/>
      </c>
      <c r="D36" s="89" t="n"/>
      <c r="E36" s="90">
        <f>C36/C40</f>
        <v/>
      </c>
      <c r="K36" s="91" t="n"/>
    </row>
    <row r="37" ht="15.75" customFormat="1" customHeight="1" s="143">
      <c r="B37" s="188" t="inlineStr">
        <is>
          <t>Авторский надзор - 0,2%</t>
        </is>
      </c>
      <c r="C37" s="188">
        <f>ROUND((C27+C29+C30+C31)*0.002,2)</f>
        <v/>
      </c>
      <c r="D37" s="93" t="n"/>
      <c r="E37" s="93">
        <f>C37/C40</f>
        <v/>
      </c>
    </row>
    <row r="38" ht="63" customFormat="1" customHeight="1" s="143">
      <c r="B38" s="94" t="inlineStr">
        <is>
          <t>ИТОГО (СМР+ОБОРУДОВАНИЕ+ПРОЧ. ЗАТР., УЧТЕННЫЕ ПОКАЗАТЕЛЕМ)</t>
        </is>
      </c>
      <c r="C38" s="95">
        <f>C27+C29+C30+C31+C36+C37</f>
        <v/>
      </c>
      <c r="D38" s="96" t="n"/>
      <c r="E38" s="97">
        <f>C38/C40</f>
        <v/>
      </c>
    </row>
    <row r="39" ht="15.75" customFormat="1" customHeight="1" s="143">
      <c r="B39" s="185" t="inlineStr">
        <is>
          <t>Непредвиденные расходы</t>
        </is>
      </c>
      <c r="C39" s="82">
        <f>ROUND(C38*0.03,2)</f>
        <v/>
      </c>
      <c r="D39" s="84" t="n"/>
      <c r="E39" s="83">
        <f>C39/C40</f>
        <v/>
      </c>
    </row>
    <row r="40" ht="15.75" customFormat="1" customHeight="1" s="143">
      <c r="B40" s="185" t="inlineStr">
        <is>
          <t>ВСЕГО:</t>
        </is>
      </c>
      <c r="C40" s="82">
        <f>C39+C38</f>
        <v/>
      </c>
      <c r="D40" s="84" t="n"/>
      <c r="E40" s="83">
        <f>C40/C40</f>
        <v/>
      </c>
    </row>
    <row r="41" ht="31.7" customFormat="1" customHeight="1" s="143">
      <c r="B41" s="185" t="inlineStr">
        <is>
          <t>ИТОГО ПОКАЗАТЕЛЬ НА ЕД. ИЗМ.</t>
        </is>
      </c>
      <c r="C41" s="82">
        <f>C40/'Прил.5 Расчет СМР и ОБ'!E90</f>
        <v/>
      </c>
      <c r="D41" s="84" t="n"/>
      <c r="E41" s="84" t="n"/>
    </row>
    <row r="42" ht="15.75" customFormat="1" customHeight="1" s="143">
      <c r="B42" s="98" t="n"/>
    </row>
    <row r="43" ht="15.75" customFormat="1" customHeight="1" s="143">
      <c r="B43" s="98" t="inlineStr">
        <is>
          <t>Составил ____________________________ М.С. Колотиевская</t>
        </is>
      </c>
    </row>
    <row r="44" ht="15.75" customFormat="1" customHeight="1" s="143">
      <c r="B44" s="98" t="inlineStr">
        <is>
          <t xml:space="preserve">(должность, подпись, инициалы, фамилия) </t>
        </is>
      </c>
    </row>
    <row r="45" ht="15.75" customFormat="1" customHeight="1" s="143">
      <c r="B45" s="98" t="n"/>
    </row>
    <row r="46" ht="15.75" customFormat="1" customHeight="1" s="143">
      <c r="B46" s="143" t="inlineStr">
        <is>
          <t>Проверил ______________________          А.В. Костянецкая</t>
        </is>
      </c>
    </row>
    <row r="47" ht="15.75" customFormat="1" customHeight="1" s="143">
      <c r="B47" s="164" t="inlineStr">
        <is>
          <t>(должность, подпись, инициалы, фамилия)</t>
        </is>
      </c>
      <c r="C47" s="164" t="n"/>
    </row>
    <row r="48" ht="15.75" customFormat="1" customHeight="1" s="143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97"/>
  <sheetViews>
    <sheetView view="pageBreakPreview" topLeftCell="A52" zoomScale="60" zoomScaleNormal="100" workbookViewId="0">
      <selection activeCell="A95" sqref="A95"/>
    </sheetView>
  </sheetViews>
  <sheetFormatPr baseColWidth="8" defaultColWidth="9.140625" defaultRowHeight="15" outlineLevelRow="1"/>
  <cols>
    <col width="5.7109375" customWidth="1" style="133" min="1" max="1"/>
    <col width="22.5703125" customWidth="1" style="133" min="2" max="2"/>
    <col width="39.140625" customWidth="1" style="133" min="3" max="3"/>
    <col width="10.7109375" customWidth="1" style="133" min="4" max="4"/>
    <col width="12.7109375" customWidth="1" style="133" min="5" max="5"/>
    <col width="14.5703125" customWidth="1" style="133" min="6" max="6"/>
    <col width="18.42578125" customWidth="1" style="133" min="7" max="7"/>
    <col width="12.7109375" customWidth="1" style="133" min="8" max="8"/>
    <col width="14.5703125" customWidth="1" style="133" min="9" max="9"/>
    <col width="15.140625" customWidth="1" style="133" min="10" max="10"/>
    <col width="22.42578125" customWidth="1" style="133" min="11" max="11"/>
    <col width="16.28515625" customWidth="1" style="133" min="12" max="12"/>
    <col width="10.85546875" customWidth="1" style="133" min="13" max="13"/>
    <col width="9.140625" customWidth="1" style="133" min="14" max="14"/>
    <col width="9.140625" customWidth="1" style="141" min="15" max="15"/>
  </cols>
  <sheetData>
    <row r="1" ht="14.25" customFormat="1" customHeight="1" s="133">
      <c r="A1" s="127" t="n"/>
    </row>
    <row r="2" ht="15.75" customFormat="1" customHeight="1" s="133">
      <c r="A2" s="143" t="n"/>
      <c r="B2" s="143" t="n"/>
      <c r="C2" s="143" t="n"/>
      <c r="D2" s="143" t="n"/>
      <c r="E2" s="143" t="n"/>
      <c r="F2" s="143" t="n"/>
      <c r="G2" s="143" t="n"/>
      <c r="H2" s="181" t="inlineStr">
        <is>
          <t>Приложение №5</t>
        </is>
      </c>
    </row>
    <row r="3" ht="15.75" customFormat="1" customHeight="1" s="133">
      <c r="A3" s="143" t="n"/>
      <c r="B3" s="143" t="n"/>
      <c r="C3" s="143" t="n"/>
      <c r="D3" s="143" t="n"/>
      <c r="E3" s="143" t="n"/>
      <c r="F3" s="143" t="n"/>
      <c r="G3" s="143" t="n"/>
      <c r="H3" s="143" t="n"/>
      <c r="I3" s="143" t="n"/>
      <c r="J3" s="143" t="n"/>
    </row>
    <row r="4" ht="15.75" customFormat="1" customHeight="1" s="127">
      <c r="A4" s="162" t="inlineStr">
        <is>
          <t>Расчет стоимости СМР и оборудования</t>
        </is>
      </c>
      <c r="I4" s="162" t="n"/>
      <c r="J4" s="162" t="n"/>
    </row>
    <row r="5" ht="15.75" customFormat="1" customHeight="1" s="127">
      <c r="A5" s="162" t="n"/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</row>
    <row r="6" customFormat="1" s="127">
      <c r="A6" s="182" t="inlineStr">
        <is>
          <t xml:space="preserve">Наименование разрабатываемого показателя УНЦ — </t>
        </is>
      </c>
      <c r="D6" s="182" t="inlineStr">
        <is>
          <t>Подпорная стенка</t>
        </is>
      </c>
    </row>
    <row r="7" ht="15.75" customFormat="1" customHeight="1" s="127">
      <c r="A7" s="182" t="inlineStr">
        <is>
          <t>Единица измерения  — м2</t>
        </is>
      </c>
      <c r="D7" s="32" t="n"/>
      <c r="E7" s="32" t="n"/>
      <c r="F7" s="32" t="n"/>
      <c r="G7" s="32" t="n"/>
      <c r="H7" s="32" t="n"/>
      <c r="I7" s="32" t="n"/>
      <c r="J7" s="32" t="n"/>
    </row>
    <row r="8" ht="15.75" customFormat="1" customHeight="1" s="127">
      <c r="A8" s="143" t="n"/>
      <c r="B8" s="143" t="n"/>
      <c r="C8" s="143" t="n"/>
      <c r="D8" s="143" t="n"/>
      <c r="E8" s="143" t="n"/>
      <c r="F8" s="143" t="n"/>
      <c r="G8" s="143" t="n"/>
      <c r="H8" s="143" t="n"/>
      <c r="I8" s="143" t="n"/>
      <c r="J8" s="143" t="n"/>
    </row>
    <row r="9" ht="27" customFormat="1" customHeight="1" s="143">
      <c r="A9" s="185" t="inlineStr">
        <is>
          <t>№ пп.</t>
        </is>
      </c>
      <c r="B9" s="179" t="inlineStr">
        <is>
          <t>Код ресурса</t>
        </is>
      </c>
      <c r="C9" s="179" t="inlineStr">
        <is>
          <t>Наименование</t>
        </is>
      </c>
      <c r="D9" s="179" t="inlineStr">
        <is>
          <t>Ед. изм.</t>
        </is>
      </c>
      <c r="E9" s="179" t="inlineStr">
        <is>
          <t>Кол-во единиц по проектным данным</t>
        </is>
      </c>
      <c r="F9" s="179" t="inlineStr">
        <is>
          <t>Сметная стоимость в ценах на 01.01.2000 (руб.)</t>
        </is>
      </c>
      <c r="G9" s="198" t="n"/>
      <c r="H9" s="179" t="inlineStr">
        <is>
          <t>Удельный вес, %</t>
        </is>
      </c>
      <c r="I9" s="179" t="inlineStr">
        <is>
          <t>Сметная стоимость в ценах на 01.01.2023 (руб.)</t>
        </is>
      </c>
      <c r="J9" s="198" t="n"/>
      <c r="K9" s="101" t="n"/>
    </row>
    <row r="10" ht="28.5" customFormat="1" customHeight="1" s="143">
      <c r="A10" s="200" t="n"/>
      <c r="B10" s="200" t="n"/>
      <c r="C10" s="200" t="n"/>
      <c r="D10" s="200" t="n"/>
      <c r="E10" s="200" t="n"/>
      <c r="F10" s="179" t="inlineStr">
        <is>
          <t>на ед. изм.</t>
        </is>
      </c>
      <c r="G10" s="179" t="inlineStr">
        <is>
          <t>общая</t>
        </is>
      </c>
      <c r="H10" s="200" t="n"/>
      <c r="I10" s="179" t="inlineStr">
        <is>
          <t>на ед. изм.</t>
        </is>
      </c>
      <c r="J10" s="179" t="inlineStr">
        <is>
          <t>общая</t>
        </is>
      </c>
    </row>
    <row r="11" ht="15.75" customFormat="1" customHeight="1" s="143">
      <c r="A11" s="185" t="n">
        <v>1</v>
      </c>
      <c r="B11" s="179" t="n">
        <v>2</v>
      </c>
      <c r="C11" s="179" t="n">
        <v>3</v>
      </c>
      <c r="D11" s="179" t="n">
        <v>4</v>
      </c>
      <c r="E11" s="179" t="n">
        <v>5</v>
      </c>
      <c r="F11" s="179" t="n">
        <v>6</v>
      </c>
      <c r="G11" s="179" t="n">
        <v>7</v>
      </c>
      <c r="H11" s="179" t="n">
        <v>8</v>
      </c>
      <c r="I11" s="179" t="n">
        <v>9</v>
      </c>
      <c r="J11" s="179" t="n">
        <v>10</v>
      </c>
    </row>
    <row r="12" ht="15.75" customFormat="1" customHeight="1" s="143">
      <c r="A12" s="188" t="n"/>
      <c r="B12" s="186" t="inlineStr">
        <is>
          <t>Затраты труда рабочих-строителей</t>
        </is>
      </c>
      <c r="C12" s="197" t="n"/>
      <c r="D12" s="197" t="n"/>
      <c r="E12" s="197" t="n"/>
      <c r="F12" s="197" t="n"/>
      <c r="G12" s="197" t="n"/>
      <c r="H12" s="198" t="n"/>
      <c r="I12" s="188" t="n"/>
      <c r="J12" s="188" t="n"/>
    </row>
    <row r="13" ht="31.7" customFormat="1" customHeight="1" s="143">
      <c r="A13" s="175" t="n">
        <v>1</v>
      </c>
      <c r="B13" s="175" t="inlineStr">
        <is>
          <t>1-100-30</t>
        </is>
      </c>
      <c r="C13" s="176" t="inlineStr">
        <is>
          <t>Затраты труда рабочих (Средний разряд работы 3,0)</t>
        </is>
      </c>
      <c r="D13" s="175" t="inlineStr">
        <is>
          <t>чел.-ч</t>
        </is>
      </c>
      <c r="E13" s="175" t="n">
        <v>19118.964830012</v>
      </c>
      <c r="F13" s="180" t="n">
        <v>8.529999999999999</v>
      </c>
      <c r="G13" s="180">
        <f>ROUND(E13*F13,2)</f>
        <v/>
      </c>
      <c r="H13" s="42">
        <f>G13/G14</f>
        <v/>
      </c>
      <c r="I13" s="180">
        <f>ФОТр.тек.!E13</f>
        <v/>
      </c>
      <c r="J13" s="180">
        <f>ROUND(E13*I13,2)</f>
        <v/>
      </c>
    </row>
    <row r="14" ht="31.7" customFormat="1" customHeight="1" s="143">
      <c r="A14" s="175" t="n"/>
      <c r="B14" s="175" t="n"/>
      <c r="C14" s="176" t="inlineStr">
        <is>
          <t>Итого по разделу "Затраты труда рабочих-строителей"</t>
        </is>
      </c>
      <c r="D14" s="175" t="inlineStr">
        <is>
          <t>чел.-ч</t>
        </is>
      </c>
      <c r="E14" s="175">
        <f>SUM(E13:E13)</f>
        <v/>
      </c>
      <c r="F14" s="180" t="n"/>
      <c r="G14" s="180">
        <f>SUM(G13:G13)</f>
        <v/>
      </c>
      <c r="H14" s="42" t="n">
        <v>1</v>
      </c>
      <c r="I14" s="180" t="n"/>
      <c r="J14" s="180">
        <f>SUM(J13:J13)</f>
        <v/>
      </c>
    </row>
    <row r="15" ht="15.75" customFormat="1" customHeight="1" s="143">
      <c r="A15" s="175" t="n"/>
      <c r="B15" s="175" t="inlineStr">
        <is>
          <t>Затраты труда машинистов</t>
        </is>
      </c>
      <c r="C15" s="197" t="n"/>
      <c r="D15" s="197" t="n"/>
      <c r="E15" s="197" t="n"/>
      <c r="F15" s="197" t="n"/>
      <c r="G15" s="197" t="n"/>
      <c r="H15" s="198" t="n"/>
      <c r="I15" s="180" t="n"/>
      <c r="J15" s="180" t="n"/>
    </row>
    <row r="16" ht="15.75" customFormat="1" customHeight="1" s="143">
      <c r="A16" s="175" t="n">
        <v>2</v>
      </c>
      <c r="B16" s="175" t="n">
        <v>2</v>
      </c>
      <c r="C16" s="176" t="inlineStr">
        <is>
          <t>Затраты труда машинистов</t>
        </is>
      </c>
      <c r="D16" s="175" t="inlineStr">
        <is>
          <t>чел.-ч</t>
        </is>
      </c>
      <c r="E16" s="175" t="n">
        <v>1688.249793</v>
      </c>
      <c r="F16" s="180" t="n">
        <v>13.19</v>
      </c>
      <c r="G16" s="180">
        <f>ROUND(E16*F16,2)</f>
        <v/>
      </c>
      <c r="H16" s="42" t="n">
        <v>1</v>
      </c>
      <c r="I16" s="180">
        <f>ROUND(F16*Прил.10!$D$10,2)</f>
        <v/>
      </c>
      <c r="J16" s="180">
        <f>ROUND(E16*I16,2)</f>
        <v/>
      </c>
    </row>
    <row r="17" ht="15.75" customFormat="1" customHeight="1" s="143">
      <c r="A17" s="175" t="n"/>
      <c r="B17" s="174" t="inlineStr">
        <is>
          <t>Машины и механизмы</t>
        </is>
      </c>
      <c r="C17" s="197" t="n"/>
      <c r="D17" s="197" t="n"/>
      <c r="E17" s="197" t="n"/>
      <c r="F17" s="197" t="n"/>
      <c r="G17" s="197" t="n"/>
      <c r="H17" s="198" t="n"/>
      <c r="I17" s="180" t="n"/>
      <c r="J17" s="180" t="n"/>
    </row>
    <row r="18" ht="15.75" customFormat="1" customHeight="1" s="143">
      <c r="A18" s="175" t="n"/>
      <c r="B18" s="175" t="inlineStr">
        <is>
          <t>Основные Машины и механизмы</t>
        </is>
      </c>
      <c r="C18" s="197" t="n"/>
      <c r="D18" s="197" t="n"/>
      <c r="E18" s="197" t="n"/>
      <c r="F18" s="197" t="n"/>
      <c r="G18" s="197" t="n"/>
      <c r="H18" s="198" t="n"/>
      <c r="I18" s="180" t="n"/>
      <c r="J18" s="180" t="n"/>
    </row>
    <row r="19" ht="47.25" customFormat="1" customHeight="1" s="143">
      <c r="A19" s="175" t="n">
        <v>3</v>
      </c>
      <c r="B19" s="189" t="inlineStr">
        <is>
          <t>91.01.05-085</t>
        </is>
      </c>
      <c r="C19" s="191" t="inlineStr">
        <is>
          <t>Экскаваторы одноковшовые дизельные на гусеничном ходу, емкость ковша 0,5 м3</t>
        </is>
      </c>
      <c r="D19" s="194" t="inlineStr">
        <is>
          <t>маш.час</t>
        </is>
      </c>
      <c r="E19" s="192" t="n">
        <v>502.48015</v>
      </c>
      <c r="F19" s="47" t="n">
        <v>100</v>
      </c>
      <c r="G19" s="47">
        <f>ROUND(E19*F19,2)</f>
        <v/>
      </c>
      <c r="H19" s="42">
        <f>G19/G44</f>
        <v/>
      </c>
      <c r="I19" s="180">
        <f>ROUND(F19*Прил.10!$D$11,2)</f>
        <v/>
      </c>
      <c r="J19" s="180">
        <f>ROUND(E19*I19,2)</f>
        <v/>
      </c>
    </row>
    <row r="20" ht="31.7" customFormat="1" customHeight="1" s="143">
      <c r="A20" s="175" t="n">
        <v>4</v>
      </c>
      <c r="B20" s="189" t="inlineStr">
        <is>
          <t>91.05.01-017</t>
        </is>
      </c>
      <c r="C20" s="191" t="inlineStr">
        <is>
          <t>Краны башенные, грузоподъемность 8 т</t>
        </is>
      </c>
      <c r="D20" s="194" t="inlineStr">
        <is>
          <t>маш.час</t>
        </is>
      </c>
      <c r="E20" s="192" t="n">
        <v>502.591536</v>
      </c>
      <c r="F20" s="47" t="n">
        <v>86.40000000000001</v>
      </c>
      <c r="G20" s="47">
        <f>ROUND(E20*F20,2)</f>
        <v/>
      </c>
      <c r="H20" s="42">
        <f>G20/G44</f>
        <v/>
      </c>
      <c r="I20" s="180">
        <f>ROUND(F20*Прил.10!$D$11,2)</f>
        <v/>
      </c>
      <c r="J20" s="180">
        <f>ROUND(E20*I20,2)</f>
        <v/>
      </c>
    </row>
    <row r="21" ht="63" customFormat="1" customHeight="1" s="143">
      <c r="A21" s="175" t="n">
        <v>5</v>
      </c>
      <c r="B21" s="189" t="inlineStr">
        <is>
          <t>91.18.01-007</t>
        </is>
      </c>
      <c r="C21" s="1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94" t="inlineStr">
        <is>
          <t>маш.час</t>
        </is>
      </c>
      <c r="E21" s="192" t="n">
        <v>336.24008</v>
      </c>
      <c r="F21" s="47" t="n">
        <v>90</v>
      </c>
      <c r="G21" s="47">
        <f>ROUND(E21*F21,2)</f>
        <v/>
      </c>
      <c r="H21" s="42">
        <f>G21/G44</f>
        <v/>
      </c>
      <c r="I21" s="180">
        <f>ROUND(F21*Прил.10!$D$11,2)</f>
        <v/>
      </c>
      <c r="J21" s="180">
        <f>ROUND(E21*I21,2)</f>
        <v/>
      </c>
    </row>
    <row r="22" ht="31.7" customFormat="1" customHeight="1" s="143">
      <c r="A22" s="175" t="n">
        <v>6</v>
      </c>
      <c r="B22" s="189" t="inlineStr">
        <is>
          <t>91.17.04-034</t>
        </is>
      </c>
      <c r="C22" s="191" t="inlineStr">
        <is>
          <t>Агрегаты сварочные однопостовые для ручной электродуговой сварки</t>
        </is>
      </c>
      <c r="D22" s="194" t="inlineStr">
        <is>
          <t>маш.час</t>
        </is>
      </c>
      <c r="E22" s="192" t="n">
        <v>1652.99242</v>
      </c>
      <c r="F22" s="47" t="n">
        <v>11.77</v>
      </c>
      <c r="G22" s="47">
        <f>ROUND(E22*F22,2)</f>
        <v/>
      </c>
      <c r="H22" s="42">
        <f>G22/G44</f>
        <v/>
      </c>
      <c r="I22" s="180">
        <f>ROUND(F22*Прил.10!$D$11,2)</f>
        <v/>
      </c>
      <c r="J22" s="180">
        <f>ROUND(E22*I22,2)</f>
        <v/>
      </c>
    </row>
    <row r="23" ht="31.7" customFormat="1" customHeight="1" s="143">
      <c r="A23" s="175" t="n">
        <v>7</v>
      </c>
      <c r="B23" s="189" t="inlineStr">
        <is>
          <t>91.17.04-233</t>
        </is>
      </c>
      <c r="C23" s="191" t="inlineStr">
        <is>
          <t>Установки для сварки ручной дуговой (постоянного тока)</t>
        </is>
      </c>
      <c r="D23" s="194" t="inlineStr">
        <is>
          <t>маш.час</t>
        </is>
      </c>
      <c r="E23" s="192" t="n">
        <v>1062.6147</v>
      </c>
      <c r="F23" s="47" t="n">
        <v>8.1</v>
      </c>
      <c r="G23" s="47">
        <f>ROUND(E23*F23,2)</f>
        <v/>
      </c>
      <c r="H23" s="42">
        <f>G23/G44</f>
        <v/>
      </c>
      <c r="I23" s="180">
        <f>ROUND(F23*Прил.10!$D$11,2)</f>
        <v/>
      </c>
      <c r="J23" s="180">
        <f>ROUND(E23*I23,2)</f>
        <v/>
      </c>
    </row>
    <row r="24" ht="15.75" customFormat="1" customHeight="1" s="143">
      <c r="A24" s="175" t="n">
        <v>8</v>
      </c>
      <c r="B24" s="189" t="inlineStr">
        <is>
          <t>91.01.01-034</t>
        </is>
      </c>
      <c r="C24" s="191" t="inlineStr">
        <is>
          <t>Бульдозеры, мощность 59 кВт (80 л.с.)</t>
        </is>
      </c>
      <c r="D24" s="194" t="inlineStr">
        <is>
          <t>маш.час</t>
        </is>
      </c>
      <c r="E24" s="192" t="n">
        <v>128.62536</v>
      </c>
      <c r="F24" s="47" t="n">
        <v>59.47</v>
      </c>
      <c r="G24" s="47">
        <f>ROUND(E24*F24,2)</f>
        <v/>
      </c>
      <c r="H24" s="42">
        <f>G24/G44</f>
        <v/>
      </c>
      <c r="I24" s="180">
        <f>ROUND(F24*Прил.10!$D$11,2)</f>
        <v/>
      </c>
      <c r="J24" s="180">
        <f>ROUND(E24*I24,2)</f>
        <v/>
      </c>
    </row>
    <row r="25" ht="15.75" customFormat="1" customHeight="1" s="143">
      <c r="A25" s="175" t="n"/>
      <c r="B25" s="189" t="inlineStr">
        <is>
          <t>Итого основные Машины и механизмы</t>
        </is>
      </c>
      <c r="C25" s="197" t="n"/>
      <c r="D25" s="197" t="n"/>
      <c r="E25" s="197" t="n"/>
      <c r="F25" s="198" t="n"/>
      <c r="G25" s="47">
        <f>SUM(G19:G24)</f>
        <v/>
      </c>
      <c r="H25" s="42">
        <f>SUM(H19:H24)</f>
        <v/>
      </c>
      <c r="I25" s="180" t="n"/>
      <c r="J25" s="180">
        <f>SUM(J19:J24)</f>
        <v/>
      </c>
    </row>
    <row r="26" hidden="1" outlineLevel="1" ht="31.7" customFormat="1" customHeight="1" s="143">
      <c r="A26" s="175" t="n">
        <v>9</v>
      </c>
      <c r="B26" s="189" t="inlineStr">
        <is>
          <t>91.05.05-015</t>
        </is>
      </c>
      <c r="C26" s="191" t="inlineStr">
        <is>
          <t>Краны на автомобильном ходу, грузоподъемность 16 т</t>
        </is>
      </c>
      <c r="D26" s="194" t="inlineStr">
        <is>
          <t>маш.час</t>
        </is>
      </c>
      <c r="E26" s="192" t="n">
        <v>42.570851</v>
      </c>
      <c r="F26" s="47" t="n">
        <v>115.4</v>
      </c>
      <c r="G26" s="47">
        <f>ROUND(E26*F26,2)</f>
        <v/>
      </c>
      <c r="H26" s="42">
        <f>G26/G44</f>
        <v/>
      </c>
      <c r="I26" s="180">
        <f>ROUND(F26*Прил.10!$D$11,2)</f>
        <v/>
      </c>
      <c r="J26" s="180">
        <f>ROUND(E26*I26,2)</f>
        <v/>
      </c>
    </row>
    <row r="27" hidden="1" outlineLevel="1" ht="31.7" customFormat="1" customHeight="1" s="143">
      <c r="A27" s="175" t="n">
        <v>10</v>
      </c>
      <c r="B27" s="189" t="inlineStr">
        <is>
          <t>91.05.06-012</t>
        </is>
      </c>
      <c r="C27" s="191" t="inlineStr">
        <is>
          <t>Краны на гусеничном ходу, грузоподъемность до 16 т</t>
        </is>
      </c>
      <c r="D27" s="194" t="inlineStr">
        <is>
          <t>маш.час</t>
        </is>
      </c>
      <c r="E27" s="192" t="n">
        <v>46.068</v>
      </c>
      <c r="F27" s="47" t="n">
        <v>96.89</v>
      </c>
      <c r="G27" s="47">
        <f>ROUND(E27*F27,2)</f>
        <v/>
      </c>
      <c r="H27" s="42">
        <f>G27/G44</f>
        <v/>
      </c>
      <c r="I27" s="180">
        <f>ROUND(F27*Прил.10!$D$11,2)</f>
        <v/>
      </c>
      <c r="J27" s="180">
        <f>ROUND(E27*I27,2)</f>
        <v/>
      </c>
    </row>
    <row r="28" hidden="1" outlineLevel="1" ht="31.7" customFormat="1" customHeight="1" s="143">
      <c r="A28" s="175" t="n">
        <v>11</v>
      </c>
      <c r="B28" s="189" t="inlineStr">
        <is>
          <t>91.14.02-001</t>
        </is>
      </c>
      <c r="C28" s="191" t="inlineStr">
        <is>
          <t>Автомобили бортовые, грузоподъемность до 5 т</t>
        </is>
      </c>
      <c r="D28" s="194" t="inlineStr">
        <is>
          <t>маш.час</t>
        </is>
      </c>
      <c r="E28" s="192" t="n">
        <v>63.124841</v>
      </c>
      <c r="F28" s="47" t="n">
        <v>65.70999999999999</v>
      </c>
      <c r="G28" s="47">
        <f>ROUND(E28*F28,2)</f>
        <v/>
      </c>
      <c r="H28" s="42">
        <f>G28/G44</f>
        <v/>
      </c>
      <c r="I28" s="180">
        <f>ROUND(F28*Прил.10!$D$11,2)</f>
        <v/>
      </c>
      <c r="J28" s="180">
        <f>ROUND(E28*I28,2)</f>
        <v/>
      </c>
    </row>
    <row r="29" hidden="1" outlineLevel="1" ht="31.7" customFormat="1" customHeight="1" s="143">
      <c r="A29" s="175" t="n">
        <v>12</v>
      </c>
      <c r="B29" s="189" t="inlineStr">
        <is>
          <t>91.01.01-035</t>
        </is>
      </c>
      <c r="C29" s="191" t="inlineStr">
        <is>
          <t>Бульдозеры, мощность 79 кВт (108 л.с.)</t>
        </is>
      </c>
      <c r="D29" s="194" t="inlineStr">
        <is>
          <t>маш.час</t>
        </is>
      </c>
      <c r="E29" s="192" t="n">
        <v>51.64838</v>
      </c>
      <c r="F29" s="47" t="n">
        <v>79.06999999999999</v>
      </c>
      <c r="G29" s="47">
        <f>ROUND(E29*F29,2)</f>
        <v/>
      </c>
      <c r="H29" s="42">
        <f>G29/G44</f>
        <v/>
      </c>
      <c r="I29" s="180">
        <f>ROUND(F29*Прил.10!$D$11,2)</f>
        <v/>
      </c>
      <c r="J29" s="180">
        <f>ROUND(E29*I29,2)</f>
        <v/>
      </c>
    </row>
    <row r="30" hidden="1" outlineLevel="1" ht="15.75" customFormat="1" customHeight="1" s="143">
      <c r="A30" s="175" t="n">
        <v>13</v>
      </c>
      <c r="B30" s="189" t="inlineStr">
        <is>
          <t>91.21.19-026</t>
        </is>
      </c>
      <c r="C30" s="191" t="inlineStr">
        <is>
          <t>Станки для рубки арматуры</t>
        </is>
      </c>
      <c r="D30" s="194" t="inlineStr">
        <is>
          <t>маш.час</t>
        </is>
      </c>
      <c r="E30" s="192" t="n">
        <v>100.9391</v>
      </c>
      <c r="F30" s="47" t="n">
        <v>28.63</v>
      </c>
      <c r="G30" s="47">
        <f>ROUND(E30*F30,2)</f>
        <v/>
      </c>
      <c r="H30" s="42">
        <f>G30/G44</f>
        <v/>
      </c>
      <c r="I30" s="180">
        <f>ROUND(F30*Прил.10!$D$11,2)</f>
        <v/>
      </c>
      <c r="J30" s="180">
        <f>ROUND(E30*I30,2)</f>
        <v/>
      </c>
    </row>
    <row r="31" hidden="1" outlineLevel="1" ht="15.75" customFormat="1" customHeight="1" s="143">
      <c r="A31" s="175" t="n">
        <v>14</v>
      </c>
      <c r="B31" s="189" t="inlineStr">
        <is>
          <t>91.07.04-001</t>
        </is>
      </c>
      <c r="C31" s="191" t="inlineStr">
        <is>
          <t>Вибраторы глубинные</t>
        </is>
      </c>
      <c r="D31" s="194" t="inlineStr">
        <is>
          <t>маш.час</t>
        </is>
      </c>
      <c r="E31" s="192" t="n">
        <v>454.3233</v>
      </c>
      <c r="F31" s="47" t="n">
        <v>1.9</v>
      </c>
      <c r="G31" s="47">
        <f>ROUND(E31*F31,2)</f>
        <v/>
      </c>
      <c r="H31" s="42">
        <f>G31/G44</f>
        <v/>
      </c>
      <c r="I31" s="180">
        <f>ROUND(F31*Прил.10!$D$11,2)</f>
        <v/>
      </c>
      <c r="J31" s="180">
        <f>ROUND(E31*I31,2)</f>
        <v/>
      </c>
    </row>
    <row r="32" hidden="1" outlineLevel="1" ht="47.25" customFormat="1" customHeight="1" s="143">
      <c r="A32" s="175" t="n">
        <v>15</v>
      </c>
      <c r="B32" s="189" t="inlineStr">
        <is>
          <t>91.08.09-023</t>
        </is>
      </c>
      <c r="C32" s="191" t="inlineStr">
        <is>
          <t>Трамбовки пневматические при работе от передвижных компрессорных станций</t>
        </is>
      </c>
      <c r="D32" s="194" t="inlineStr">
        <is>
          <t>маш.час</t>
        </is>
      </c>
      <c r="E32" s="192" t="n">
        <v>1124.316</v>
      </c>
      <c r="F32" s="47" t="n">
        <v>0.55</v>
      </c>
      <c r="G32" s="47">
        <f>ROUND(E32*F32,2)</f>
        <v/>
      </c>
      <c r="H32" s="42">
        <f>G32/G44</f>
        <v/>
      </c>
      <c r="I32" s="180">
        <f>ROUND(F32*Прил.10!$D$11,2)</f>
        <v/>
      </c>
      <c r="J32" s="180">
        <f>ROUND(E32*I32,2)</f>
        <v/>
      </c>
    </row>
    <row r="33" hidden="1" outlineLevel="1" ht="15.75" customFormat="1" customHeight="1" s="143">
      <c r="A33" s="175" t="n">
        <v>16</v>
      </c>
      <c r="B33" s="189" t="inlineStr">
        <is>
          <t>91.21.19-021</t>
        </is>
      </c>
      <c r="C33" s="191" t="inlineStr">
        <is>
          <t>Станки для гибки арматуры</t>
        </is>
      </c>
      <c r="D33" s="194" t="inlineStr">
        <is>
          <t>маш.час</t>
        </is>
      </c>
      <c r="E33" s="192" t="n">
        <v>197.9818</v>
      </c>
      <c r="F33" s="47" t="n">
        <v>2.33</v>
      </c>
      <c r="G33" s="47">
        <f>ROUND(E33*F33,2)</f>
        <v/>
      </c>
      <c r="H33" s="42">
        <f>G33/G44</f>
        <v/>
      </c>
      <c r="I33" s="180">
        <f>ROUND(F33*Прил.10!$D$11,2)</f>
        <v/>
      </c>
      <c r="J33" s="180">
        <f>ROUND(E33*I33,2)</f>
        <v/>
      </c>
    </row>
    <row r="34" hidden="1" outlineLevel="1" ht="31.7" customFormat="1" customHeight="1" s="143">
      <c r="A34" s="175" t="n">
        <v>17</v>
      </c>
      <c r="B34" s="189" t="inlineStr">
        <is>
          <t>91.14.04-001</t>
        </is>
      </c>
      <c r="C34" s="191" t="inlineStr">
        <is>
          <t>Тягачи седельные, грузоподъемность 12 т</t>
        </is>
      </c>
      <c r="D34" s="194" t="inlineStr">
        <is>
          <t>маш.час</t>
        </is>
      </c>
      <c r="E34" s="192" t="n">
        <v>3.92448</v>
      </c>
      <c r="F34" s="47" t="n">
        <v>102.84</v>
      </c>
      <c r="G34" s="47">
        <f>ROUND(E34*F34,2)</f>
        <v/>
      </c>
      <c r="H34" s="42">
        <f>G34/G44</f>
        <v/>
      </c>
      <c r="I34" s="180">
        <f>ROUND(F34*Прил.10!$D$11,2)</f>
        <v/>
      </c>
      <c r="J34" s="180">
        <f>ROUND(E34*I34,2)</f>
        <v/>
      </c>
    </row>
    <row r="35" hidden="1" outlineLevel="1" ht="47.25" customFormat="1" customHeight="1" s="143">
      <c r="A35" s="175" t="n">
        <v>18</v>
      </c>
      <c r="B35" s="189" t="inlineStr">
        <is>
          <t>91.21.10-003</t>
        </is>
      </c>
      <c r="C35" s="191" t="inlineStr">
        <is>
          <t>Молотки при работе от передвижных компрессорных станций отбойные пневматические</t>
        </is>
      </c>
      <c r="D35" s="194" t="inlineStr">
        <is>
          <t>маш.час</t>
        </is>
      </c>
      <c r="E35" s="192" t="n">
        <v>222.63</v>
      </c>
      <c r="F35" s="47" t="n">
        <v>1.53</v>
      </c>
      <c r="G35" s="47">
        <f>ROUND(E35*F35,2)</f>
        <v/>
      </c>
      <c r="H35" s="42">
        <f>G35/G44</f>
        <v/>
      </c>
      <c r="I35" s="180">
        <f>ROUND(F35*Прил.10!$D$11,2)</f>
        <v/>
      </c>
      <c r="J35" s="180">
        <f>ROUND(E35*I35,2)</f>
        <v/>
      </c>
    </row>
    <row r="36" hidden="1" outlineLevel="1" ht="15.75" customFormat="1" customHeight="1" s="143">
      <c r="A36" s="175" t="n">
        <v>19</v>
      </c>
      <c r="B36" s="189" t="inlineStr">
        <is>
          <t>91.06.05-011</t>
        </is>
      </c>
      <c r="C36" s="191" t="inlineStr">
        <is>
          <t>Погрузчики, грузоподъемность 5 т</t>
        </is>
      </c>
      <c r="D36" s="194" t="inlineStr">
        <is>
          <t>маш.час</t>
        </is>
      </c>
      <c r="E36" s="192" t="n">
        <v>3.333175</v>
      </c>
      <c r="F36" s="47" t="n">
        <v>89.98999999999999</v>
      </c>
      <c r="G36" s="47">
        <f>ROUND(E36*F36,2)</f>
        <v/>
      </c>
      <c r="H36" s="42">
        <f>G36/G44</f>
        <v/>
      </c>
      <c r="I36" s="180">
        <f>ROUND(F36*Прил.10!$D$11,2)</f>
        <v/>
      </c>
      <c r="J36" s="180">
        <f>ROUND(E36*I36,2)</f>
        <v/>
      </c>
    </row>
    <row r="37" hidden="1" outlineLevel="1" ht="47.25" customFormat="1" customHeight="1" s="143">
      <c r="A37" s="175" t="n">
        <v>20</v>
      </c>
      <c r="B37" s="189" t="inlineStr">
        <is>
          <t>91.21.01-012</t>
        </is>
      </c>
      <c r="C37" s="191" t="inlineStr">
        <is>
          <t>Агрегаты окрасочные высокого давления для окраски поверхностей конструкций, мощность 1 кВт</t>
        </is>
      </c>
      <c r="D37" s="194" t="inlineStr">
        <is>
          <t>маш.час</t>
        </is>
      </c>
      <c r="E37" s="192" t="n">
        <v>42.5425</v>
      </c>
      <c r="F37" s="47" t="n">
        <v>6.82</v>
      </c>
      <c r="G37" s="47">
        <f>ROUND(E37*F37,2)</f>
        <v/>
      </c>
      <c r="H37" s="42">
        <f>G37/G44</f>
        <v/>
      </c>
      <c r="I37" s="180">
        <f>ROUND(F37*Прил.10!$D$11,2)</f>
        <v/>
      </c>
      <c r="J37" s="180">
        <f>ROUND(E37*I37,2)</f>
        <v/>
      </c>
    </row>
    <row r="38" hidden="1" outlineLevel="1" ht="15.75" customFormat="1" customHeight="1" s="143">
      <c r="A38" s="175" t="n">
        <v>21</v>
      </c>
      <c r="B38" s="189" t="inlineStr">
        <is>
          <t>91.06.08-003</t>
        </is>
      </c>
      <c r="C38" s="191" t="inlineStr">
        <is>
          <t>Тельферы электрические 2 т</t>
        </is>
      </c>
      <c r="D38" s="194" t="inlineStr">
        <is>
          <t>маш.час</t>
        </is>
      </c>
      <c r="E38" s="192" t="n">
        <v>21.58464</v>
      </c>
      <c r="F38" s="47" t="n">
        <v>4.77</v>
      </c>
      <c r="G38" s="47">
        <f>ROUND(E38*F38,2)</f>
        <v/>
      </c>
      <c r="H38" s="42">
        <f>G38/G44</f>
        <v/>
      </c>
      <c r="I38" s="180">
        <f>ROUND(F38*Прил.10!$D$11,2)</f>
        <v/>
      </c>
      <c r="J38" s="180">
        <f>ROUND(E38*I38,2)</f>
        <v/>
      </c>
    </row>
    <row r="39" hidden="1" outlineLevel="1" ht="31.7" customFormat="1" customHeight="1" s="143">
      <c r="A39" s="175" t="n">
        <v>22</v>
      </c>
      <c r="B39" s="189" t="inlineStr">
        <is>
          <t>91.14.03-001</t>
        </is>
      </c>
      <c r="C39" s="191" t="inlineStr">
        <is>
          <t>Автомобили-самосвалы, грузоподъемность до 7 т</t>
        </is>
      </c>
      <c r="D39" s="194" t="inlineStr">
        <is>
          <t>маш.час</t>
        </is>
      </c>
      <c r="E39" s="192" t="n">
        <v>1.13644</v>
      </c>
      <c r="F39" s="47" t="n">
        <v>89.54000000000001</v>
      </c>
      <c r="G39" s="47">
        <f>ROUND(E39*F39,2)</f>
        <v/>
      </c>
      <c r="H39" s="42">
        <f>G39/G44</f>
        <v/>
      </c>
      <c r="I39" s="180">
        <f>ROUND(F39*Прил.10!$D$11,2)</f>
        <v/>
      </c>
      <c r="J39" s="180">
        <f>ROUND(E39*I39,2)</f>
        <v/>
      </c>
    </row>
    <row r="40" hidden="1" outlineLevel="1" ht="31.7" customFormat="1" customHeight="1" s="143">
      <c r="A40" s="175" t="n">
        <v>23</v>
      </c>
      <c r="B40" s="189" t="inlineStr">
        <is>
          <t>91.07.08-024</t>
        </is>
      </c>
      <c r="C40" s="191" t="inlineStr">
        <is>
          <t>Растворосмесители передвижные, объем барабана 65 л</t>
        </is>
      </c>
      <c r="D40" s="194" t="inlineStr">
        <is>
          <t>маш.час</t>
        </is>
      </c>
      <c r="E40" s="192" t="n">
        <v>6.5065</v>
      </c>
      <c r="F40" s="47" t="n">
        <v>12.39</v>
      </c>
      <c r="G40" s="47">
        <f>ROUND(E40*F40,2)</f>
        <v/>
      </c>
      <c r="H40" s="42">
        <f>G40/G44</f>
        <v/>
      </c>
      <c r="I40" s="180">
        <f>ROUND(F40*Прил.10!$D$11,2)</f>
        <v/>
      </c>
      <c r="J40" s="180">
        <f>ROUND(E40*I40,2)</f>
        <v/>
      </c>
    </row>
    <row r="41" hidden="1" outlineLevel="1" ht="31.7" customFormat="1" customHeight="1" s="143">
      <c r="A41" s="175" t="n">
        <v>24</v>
      </c>
      <c r="B41" s="189" t="inlineStr">
        <is>
          <t>91.14.05-011</t>
        </is>
      </c>
      <c r="C41" s="191" t="inlineStr">
        <is>
          <t>Полуприцепы общего назначения, грузоподъемность 12 т</t>
        </is>
      </c>
      <c r="D41" s="194" t="inlineStr">
        <is>
          <t>маш.час</t>
        </is>
      </c>
      <c r="E41" s="192" t="n">
        <v>3.92448</v>
      </c>
      <c r="F41" s="47" t="n">
        <v>12</v>
      </c>
      <c r="G41" s="47">
        <f>ROUND(E41*F41,2)</f>
        <v/>
      </c>
      <c r="H41" s="42">
        <f>G41/G44</f>
        <v/>
      </c>
      <c r="I41" s="180">
        <f>ROUND(F41*Прил.10!$D$11,2)</f>
        <v/>
      </c>
      <c r="J41" s="180">
        <f>ROUND(E41*I41,2)</f>
        <v/>
      </c>
    </row>
    <row r="42" hidden="1" outlineLevel="1" ht="15.75" customFormat="1" customHeight="1" s="143">
      <c r="A42" s="175" t="n">
        <v>25</v>
      </c>
      <c r="B42" s="189" t="inlineStr">
        <is>
          <t>91.07.04-002</t>
        </is>
      </c>
      <c r="C42" s="191" t="inlineStr">
        <is>
          <t>Вибраторы поверхностные</t>
        </is>
      </c>
      <c r="D42" s="194" t="inlineStr">
        <is>
          <t>маш.час</t>
        </is>
      </c>
      <c r="E42" s="192" t="n">
        <v>13.099963</v>
      </c>
      <c r="F42" s="47" t="n">
        <v>0.5</v>
      </c>
      <c r="G42" s="47">
        <f>ROUND(E42*F42,2)</f>
        <v/>
      </c>
      <c r="H42" s="42">
        <f>G42/G44</f>
        <v/>
      </c>
      <c r="I42" s="180">
        <f>ROUND(F42*Прил.10!$D$11,2)</f>
        <v/>
      </c>
      <c r="J42" s="180">
        <f>ROUND(E42*I42,2)</f>
        <v/>
      </c>
    </row>
    <row r="43" collapsed="1" ht="15.75" customFormat="1" customHeight="1" s="143">
      <c r="A43" s="175" t="n"/>
      <c r="B43" s="175" t="inlineStr">
        <is>
          <t>Итого прочие Машины и механизмы</t>
        </is>
      </c>
      <c r="C43" s="197" t="n"/>
      <c r="D43" s="197" t="n"/>
      <c r="E43" s="197" t="n"/>
      <c r="F43" s="198" t="n"/>
      <c r="G43" s="180">
        <f>SUM(G26:G42)</f>
        <v/>
      </c>
      <c r="H43" s="42">
        <f>SUM(H26:H42)</f>
        <v/>
      </c>
      <c r="I43" s="180" t="n"/>
      <c r="J43" s="180">
        <f>SUM(J26:J42)</f>
        <v/>
      </c>
    </row>
    <row r="44" ht="15.75" customFormat="1" customHeight="1" s="143">
      <c r="A44" s="175" t="n"/>
      <c r="B44" s="175" t="inlineStr">
        <is>
          <t>Итого по разделу "Машины и механизмы"</t>
        </is>
      </c>
      <c r="C44" s="197" t="n"/>
      <c r="D44" s="197" t="n"/>
      <c r="E44" s="197" t="n"/>
      <c r="F44" s="198" t="n"/>
      <c r="G44" s="180">
        <f>G25+G43</f>
        <v/>
      </c>
      <c r="H44" s="42">
        <f>H25+H43</f>
        <v/>
      </c>
      <c r="I44" s="180" t="n"/>
      <c r="J44" s="180">
        <f>J25+J43</f>
        <v/>
      </c>
    </row>
    <row r="45" ht="15.75" customFormat="1" customHeight="1" s="143">
      <c r="A45" s="188" t="n"/>
      <c r="B45" s="186" t="inlineStr">
        <is>
          <t>Оборудование</t>
        </is>
      </c>
      <c r="C45" s="197" t="n"/>
      <c r="D45" s="197" t="n"/>
      <c r="E45" s="197" t="n"/>
      <c r="F45" s="197" t="n"/>
      <c r="G45" s="197" t="n"/>
      <c r="H45" s="197" t="n"/>
      <c r="I45" s="197" t="n"/>
      <c r="J45" s="198" t="n"/>
    </row>
    <row r="46" ht="15.75" customFormat="1" customHeight="1" s="143">
      <c r="A46" s="188" t="n"/>
      <c r="B46" s="188" t="inlineStr">
        <is>
          <t>Основное оборудование</t>
        </is>
      </c>
      <c r="C46" s="197" t="n"/>
      <c r="D46" s="197" t="n"/>
      <c r="E46" s="197" t="n"/>
      <c r="F46" s="197" t="n"/>
      <c r="G46" s="197" t="n"/>
      <c r="H46" s="197" t="n"/>
      <c r="I46" s="197" t="n"/>
      <c r="J46" s="198" t="n"/>
    </row>
    <row r="47" hidden="1" outlineLevel="1" ht="15.75" customFormat="1" customHeight="1" s="143">
      <c r="A47" s="188" t="n"/>
      <c r="B47" s="188" t="n"/>
      <c r="C47" s="188" t="inlineStr">
        <is>
          <t>Итого основное оборудование</t>
        </is>
      </c>
      <c r="D47" s="188" t="n"/>
      <c r="E47" s="188" t="n"/>
      <c r="F47" s="190" t="n"/>
      <c r="G47" s="190" t="n">
        <v>0</v>
      </c>
      <c r="H47" s="188" t="n">
        <v>0</v>
      </c>
      <c r="I47" s="190" t="n"/>
      <c r="J47" s="190" t="n">
        <v>0</v>
      </c>
    </row>
    <row r="48" collapsed="1" ht="15.75" customFormat="1" customHeight="1" s="143">
      <c r="A48" s="188" t="n"/>
      <c r="B48" s="188" t="inlineStr">
        <is>
          <t>Прочее оборудование</t>
        </is>
      </c>
      <c r="C48" s="197" t="n"/>
      <c r="D48" s="197" t="n"/>
      <c r="E48" s="197" t="n"/>
      <c r="F48" s="197" t="n"/>
      <c r="G48" s="197" t="n"/>
      <c r="H48" s="197" t="n"/>
      <c r="I48" s="197" t="n"/>
      <c r="J48" s="198" t="n"/>
    </row>
    <row r="49" hidden="1" outlineLevel="1" ht="15.75" customFormat="1" customHeight="1" s="143">
      <c r="A49" s="188" t="n"/>
      <c r="B49" s="188" t="n"/>
      <c r="C49" s="188" t="inlineStr">
        <is>
          <t>Итого прочее оборудование</t>
        </is>
      </c>
      <c r="D49" s="188" t="n"/>
      <c r="E49" s="188" t="n"/>
      <c r="F49" s="190" t="n"/>
      <c r="G49" s="190" t="n">
        <v>0</v>
      </c>
      <c r="H49" s="188" t="n">
        <v>0</v>
      </c>
      <c r="I49" s="190" t="n"/>
      <c r="J49" s="190" t="n">
        <v>0</v>
      </c>
    </row>
    <row r="50" hidden="1" outlineLevel="1" ht="15.75" customFormat="1" customHeight="1" s="143">
      <c r="A50" s="188" t="n"/>
      <c r="B50" s="188" t="n"/>
      <c r="C50" s="186" t="inlineStr">
        <is>
          <t>Итого по разделу «Оборудование»</t>
        </is>
      </c>
      <c r="D50" s="188" t="n"/>
      <c r="E50" s="188" t="n"/>
      <c r="F50" s="190" t="n"/>
      <c r="G50" s="190" t="n">
        <v>0</v>
      </c>
      <c r="H50" s="188" t="n">
        <v>0</v>
      </c>
      <c r="I50" s="190" t="n"/>
      <c r="J50" s="190" t="n">
        <v>0</v>
      </c>
    </row>
    <row r="51" hidden="1" outlineLevel="1" ht="15.75" customFormat="1" customHeight="1" s="143">
      <c r="A51" s="188" t="n"/>
      <c r="B51" s="188" t="n"/>
      <c r="C51" s="188" t="inlineStr">
        <is>
          <t>в том числе технологическое оборудование</t>
        </is>
      </c>
      <c r="D51" s="188" t="n"/>
      <c r="E51" s="188" t="n"/>
      <c r="F51" s="190" t="n"/>
      <c r="G51" s="190" t="n">
        <v>0</v>
      </c>
      <c r="H51" s="188" t="n"/>
      <c r="I51" s="190" t="n"/>
      <c r="J51" s="190" t="n">
        <v>0</v>
      </c>
    </row>
    <row r="52" collapsed="1" ht="15.75" customFormat="1" customHeight="1" s="143">
      <c r="A52" s="175" t="n"/>
      <c r="B52" s="174" t="inlineStr">
        <is>
          <t>Материалы</t>
        </is>
      </c>
      <c r="C52" s="197" t="n"/>
      <c r="D52" s="197" t="n"/>
      <c r="E52" s="197" t="n"/>
      <c r="F52" s="197" t="n"/>
      <c r="G52" s="197" t="n"/>
      <c r="H52" s="198" t="n"/>
      <c r="I52" s="180" t="n"/>
      <c r="J52" s="180" t="n"/>
    </row>
    <row r="53" ht="15.75" customFormat="1" customHeight="1" s="143">
      <c r="A53" s="175" t="n"/>
      <c r="B53" s="175" t="inlineStr">
        <is>
          <t>Основные Материалы</t>
        </is>
      </c>
      <c r="C53" s="197" t="n"/>
      <c r="D53" s="197" t="n"/>
      <c r="E53" s="197" t="n"/>
      <c r="F53" s="197" t="n"/>
      <c r="G53" s="197" t="n"/>
      <c r="H53" s="198" t="n"/>
      <c r="I53" s="180" t="n"/>
      <c r="J53" s="180" t="n"/>
    </row>
    <row r="54" ht="15.75" customFormat="1" customHeight="1" s="143">
      <c r="A54" s="175" t="n">
        <v>26</v>
      </c>
      <c r="B54" s="189" t="inlineStr">
        <is>
          <t>02.1.01.02-0002</t>
        </is>
      </c>
      <c r="C54" s="191" t="inlineStr">
        <is>
          <t xml:space="preserve">Суглинок непросадочный </t>
        </is>
      </c>
      <c r="D54" s="194" t="inlineStr">
        <is>
          <t>м3</t>
        </is>
      </c>
      <c r="E54" s="192" t="n">
        <v>13879.622</v>
      </c>
      <c r="F54" s="47" t="n">
        <v>68.98999999999999</v>
      </c>
      <c r="G54" s="47">
        <f>ROUND(E54*F54,2)</f>
        <v/>
      </c>
      <c r="H54" s="42">
        <f>G54/G84</f>
        <v/>
      </c>
      <c r="I54" s="180">
        <f>ROUND(F54*Прил.10!$D$12,2)</f>
        <v/>
      </c>
      <c r="J54" s="180">
        <f>ROUND(E54*I54,2)</f>
        <v/>
      </c>
    </row>
    <row r="55" ht="78.75" customFormat="1" customHeight="1" s="143">
      <c r="A55" s="175" t="n">
        <v>27</v>
      </c>
      <c r="B55" s="189" t="inlineStr">
        <is>
          <t>04.3.02.04-0174</t>
        </is>
      </c>
      <c r="C55" s="191" t="inlineStr">
        <is>
          <t>Смеси бетонные, БСГ, тяжелого бетона на известняковом щебне для инженерных коммуникаций и дорог, фракция: 20-40 мм, класс B15 (М200), П2, F100, W2</t>
        </is>
      </c>
      <c r="D55" s="194" t="inlineStr">
        <is>
          <t>м3</t>
        </is>
      </c>
      <c r="E55" s="192" t="n">
        <v>1345.71</v>
      </c>
      <c r="F55" s="47" t="n">
        <v>647.83</v>
      </c>
      <c r="G55" s="47">
        <f>ROUND(E55*F55,2)</f>
        <v/>
      </c>
      <c r="H55" s="42">
        <f>G55/G84</f>
        <v/>
      </c>
      <c r="I55" s="180">
        <f>ROUND(F55*Прил.10!$D$12,2)</f>
        <v/>
      </c>
      <c r="J55" s="180">
        <f>ROUND(E55*I55,2)</f>
        <v/>
      </c>
    </row>
    <row r="56" ht="47.25" customFormat="1" customHeight="1" s="143">
      <c r="A56" s="175" t="n">
        <v>28</v>
      </c>
      <c r="B56" s="189" t="inlineStr">
        <is>
          <t>04.3.02.09-0821</t>
        </is>
      </c>
      <c r="C56" s="191" t="inlineStr">
        <is>
          <t>Смесь сухая: гидроизоляционная проникающая капиллярная марка "Пенетрон"</t>
        </is>
      </c>
      <c r="D56" s="194" t="inlineStr">
        <is>
          <t>кг</t>
        </is>
      </c>
      <c r="E56" s="192" t="n">
        <v>5005</v>
      </c>
      <c r="F56" s="47" t="n">
        <v>78.95</v>
      </c>
      <c r="G56" s="47">
        <f>ROUND(E56*F56,2)</f>
        <v/>
      </c>
      <c r="H56" s="42">
        <f>G56/G84</f>
        <v/>
      </c>
      <c r="I56" s="180">
        <f>ROUND(F56*Прил.10!$D$12,2)</f>
        <v/>
      </c>
      <c r="J56" s="180">
        <f>ROUND(E56*I56,2)</f>
        <v/>
      </c>
    </row>
    <row r="57" ht="47.25" customFormat="1" customHeight="1" s="143">
      <c r="A57" s="175" t="n">
        <v>29</v>
      </c>
      <c r="B57" s="189" t="inlineStr">
        <is>
          <t>08.4.03.03-0034</t>
        </is>
      </c>
      <c r="C57" s="191" t="inlineStr">
        <is>
          <t>Сталь арматурная, горячекатаная, периодического профиля, класс А-III, диаметр 16-18 мм</t>
        </is>
      </c>
      <c r="D57" s="194" t="inlineStr">
        <is>
          <t>т</t>
        </is>
      </c>
      <c r="E57" s="192" t="n">
        <v>33.384</v>
      </c>
      <c r="F57" s="47" t="n">
        <v>7956.21</v>
      </c>
      <c r="G57" s="47">
        <f>ROUND(E57*F57,2)</f>
        <v/>
      </c>
      <c r="H57" s="42">
        <f>G57/G84</f>
        <v/>
      </c>
      <c r="I57" s="180">
        <f>ROUND(F57*Прил.10!$D$12,2)</f>
        <v/>
      </c>
      <c r="J57" s="180">
        <f>ROUND(E57*I57,2)</f>
        <v/>
      </c>
    </row>
    <row r="58" ht="47.25" customFormat="1" customHeight="1" s="143">
      <c r="A58" s="175" t="n">
        <v>30</v>
      </c>
      <c r="B58" s="189" t="inlineStr">
        <is>
          <t>08.4.03.03-0035</t>
        </is>
      </c>
      <c r="C58" s="191" t="inlineStr">
        <is>
          <t>Сталь арматурная, горячекатаная, периодического профиля, класс А-III, диаметр 20-22 мм</t>
        </is>
      </c>
      <c r="D58" s="194" t="inlineStr">
        <is>
          <t>т</t>
        </is>
      </c>
      <c r="E58" s="192" t="n">
        <v>21.917</v>
      </c>
      <c r="F58" s="47" t="n">
        <v>7917</v>
      </c>
      <c r="G58" s="47">
        <f>ROUND(E58*F58,2)</f>
        <v/>
      </c>
      <c r="H58" s="42">
        <f>G58/G84</f>
        <v/>
      </c>
      <c r="I58" s="180">
        <f>ROUND(F58*Прил.10!$D$12,2)</f>
        <v/>
      </c>
      <c r="J58" s="180">
        <f>ROUND(E58*I58,2)</f>
        <v/>
      </c>
    </row>
    <row r="59" ht="47.25" customFormat="1" customHeight="1" s="143">
      <c r="A59" s="175" t="n">
        <v>31</v>
      </c>
      <c r="B59" s="189" t="inlineStr">
        <is>
          <t>08.4.03.03-0032</t>
        </is>
      </c>
      <c r="C59" s="191" t="inlineStr">
        <is>
          <t>Сталь арматурная, горячекатаная, периодического профиля, класс А-III, диаметр 12 мм</t>
        </is>
      </c>
      <c r="D59" s="194" t="inlineStr">
        <is>
          <t>т</t>
        </is>
      </c>
      <c r="E59" s="192" t="n">
        <v>19.141</v>
      </c>
      <c r="F59" s="47" t="n">
        <v>7997.23</v>
      </c>
      <c r="G59" s="47">
        <f>ROUND(E59*F59,2)</f>
        <v/>
      </c>
      <c r="H59" s="42">
        <f>G59/G84</f>
        <v/>
      </c>
      <c r="I59" s="180">
        <f>ROUND(F59*Прил.10!$D$12,2)</f>
        <v/>
      </c>
      <c r="J59" s="180">
        <f>ROUND(E59*I59,2)</f>
        <v/>
      </c>
    </row>
    <row r="60" ht="47.25" customFormat="1" customHeight="1" s="143">
      <c r="A60" s="175" t="n">
        <v>32</v>
      </c>
      <c r="B60" s="189" t="inlineStr">
        <is>
          <t>04.3.02.04-0112</t>
        </is>
      </c>
      <c r="C60" s="191" t="inlineStr">
        <is>
          <t>Смеси бетонные, БСГ, тяжелого бетона мелкозернистые, класс: В15 (М200), Пк4, F100, W4</t>
        </is>
      </c>
      <c r="D60" s="194" t="inlineStr">
        <is>
          <t>м3</t>
        </is>
      </c>
      <c r="E60" s="192" t="n">
        <v>225.3</v>
      </c>
      <c r="F60" s="47" t="n">
        <v>562.02</v>
      </c>
      <c r="G60" s="47">
        <f>ROUND(E60*F60,2)</f>
        <v/>
      </c>
      <c r="H60" s="42">
        <f>G60/G84</f>
        <v/>
      </c>
      <c r="I60" s="180">
        <f>ROUND(F60*Прил.10!$D$12,2)</f>
        <v/>
      </c>
      <c r="J60" s="180">
        <f>ROUND(E60*I60,2)</f>
        <v/>
      </c>
    </row>
    <row r="61" ht="15.75" customFormat="1" customHeight="1" s="143">
      <c r="A61" s="175" t="n"/>
      <c r="B61" s="189" t="inlineStr">
        <is>
          <t>Итого основные Материалы</t>
        </is>
      </c>
      <c r="C61" s="197" t="n"/>
      <c r="D61" s="197" t="n"/>
      <c r="E61" s="197" t="n"/>
      <c r="F61" s="198" t="n"/>
      <c r="G61" s="47">
        <f>SUM(G54:G60)</f>
        <v/>
      </c>
      <c r="H61" s="42">
        <f>SUM(H54:H60)</f>
        <v/>
      </c>
      <c r="I61" s="180" t="n"/>
      <c r="J61" s="180">
        <f>SUM(J54:J60)</f>
        <v/>
      </c>
    </row>
    <row r="62" hidden="1" outlineLevel="1" ht="47.25" customFormat="1" customHeight="1" s="143">
      <c r="A62" s="175" t="n">
        <v>33</v>
      </c>
      <c r="B62" s="189" t="inlineStr">
        <is>
          <t>08.4.03.03-0031</t>
        </is>
      </c>
      <c r="C62" s="191" t="inlineStr">
        <is>
          <t>Сталь арматурная, горячекатаная, периодического профиля, класс А-III, диаметр 10 мм</t>
        </is>
      </c>
      <c r="D62" s="194" t="inlineStr">
        <is>
          <t>т</t>
        </is>
      </c>
      <c r="E62" s="192" t="n">
        <v>11.181</v>
      </c>
      <c r="F62" s="47" t="n">
        <v>8014.15</v>
      </c>
      <c r="G62" s="47">
        <f>ROUND(E62*F62,2)</f>
        <v/>
      </c>
      <c r="H62" s="42">
        <f>G62/G84</f>
        <v/>
      </c>
      <c r="I62" s="180">
        <f>ROUND(F62*Прил.10!$D$12,2)</f>
        <v/>
      </c>
      <c r="J62" s="180">
        <f>ROUND(E62*I62,2)</f>
        <v/>
      </c>
    </row>
    <row r="63" hidden="1" outlineLevel="1" ht="47.25" customFormat="1" customHeight="1" s="143">
      <c r="A63" s="175" t="n">
        <v>34</v>
      </c>
      <c r="B63" s="189" t="inlineStr">
        <is>
          <t>08.4.03.03-0030</t>
        </is>
      </c>
      <c r="C63" s="191" t="inlineStr">
        <is>
          <t>Сталь арматурная, горячекатаная, периодического профиля, класс А-III, диаметр 8 мм</t>
        </is>
      </c>
      <c r="D63" s="194" t="inlineStr">
        <is>
          <t>т</t>
        </is>
      </c>
      <c r="E63" s="192" t="n">
        <v>10.179</v>
      </c>
      <c r="F63" s="47" t="n">
        <v>8102.64</v>
      </c>
      <c r="G63" s="47">
        <f>ROUND(E63*F63,2)</f>
        <v/>
      </c>
      <c r="H63" s="42">
        <f>G63/G84</f>
        <v/>
      </c>
      <c r="I63" s="180">
        <f>ROUND(F63*Прил.10!$D$12,2)</f>
        <v/>
      </c>
      <c r="J63" s="180">
        <f>ROUND(E63*I63,2)</f>
        <v/>
      </c>
    </row>
    <row r="64" hidden="1" outlineLevel="1" ht="63" customFormat="1" customHeight="1" s="143">
      <c r="A64" s="175" t="n">
        <v>35</v>
      </c>
      <c r="B64" s="189" t="inlineStr">
        <is>
          <t>05.2.02.01-0057</t>
        </is>
      </c>
      <c r="C64" s="191" t="inlineStr">
        <is>
          <t>Блоки бетонные для стен подвалов полнотелые ФБС24-6-6-Т, бетон B7,5 (М100, объем 0,815 м3, расход арматуры 2,36 кг</t>
        </is>
      </c>
      <c r="D64" s="194" t="inlineStr">
        <is>
          <t>шт</t>
        </is>
      </c>
      <c r="E64" s="192" t="n">
        <v>148</v>
      </c>
      <c r="F64" s="47" t="n">
        <v>472.7</v>
      </c>
      <c r="G64" s="47">
        <f>ROUND(E64*F64,2)</f>
        <v/>
      </c>
      <c r="H64" s="42">
        <f>G64/G84</f>
        <v/>
      </c>
      <c r="I64" s="180">
        <f>ROUND(F64*Прил.10!$D$12,2)</f>
        <v/>
      </c>
      <c r="J64" s="180">
        <f>ROUND(E64*I64,2)</f>
        <v/>
      </c>
    </row>
    <row r="65" hidden="1" outlineLevel="1" ht="15.75" customFormat="1" customHeight="1" s="143">
      <c r="A65" s="175" t="n">
        <v>36</v>
      </c>
      <c r="B65" s="189" t="inlineStr">
        <is>
          <t>11.2.13.04-0011</t>
        </is>
      </c>
      <c r="C65" s="191" t="inlineStr">
        <is>
          <t>Щиты из досок, толщина 25 мм</t>
        </is>
      </c>
      <c r="D65" s="194" t="inlineStr">
        <is>
          <t>м2</t>
        </is>
      </c>
      <c r="E65" s="192" t="n">
        <v>989.3228</v>
      </c>
      <c r="F65" s="47" t="n">
        <v>35.53</v>
      </c>
      <c r="G65" s="47">
        <f>ROUND(E65*F65,2)</f>
        <v/>
      </c>
      <c r="H65" s="42">
        <f>G65/G84</f>
        <v/>
      </c>
      <c r="I65" s="180">
        <f>ROUND(F65*Прил.10!$D$12,2)</f>
        <v/>
      </c>
      <c r="J65" s="180">
        <f>ROUND(E65*I65,2)</f>
        <v/>
      </c>
    </row>
    <row r="66" hidden="1" outlineLevel="1" ht="47.25" customFormat="1" customHeight="1" s="143">
      <c r="A66" s="175" t="n">
        <v>37</v>
      </c>
      <c r="B66" s="189" t="inlineStr">
        <is>
          <t>11.1.03.06-0095</t>
        </is>
      </c>
      <c r="C66" s="191" t="inlineStr">
        <is>
          <t>Доска обрезная, хвойных пород, ширина 75-150 мм, толщина 44 мм и более, длина 4-6,5 м, сорт III</t>
        </is>
      </c>
      <c r="D66" s="194" t="inlineStr">
        <is>
          <t>м3</t>
        </is>
      </c>
      <c r="E66" s="192" t="n">
        <v>24.752434</v>
      </c>
      <c r="F66" s="47" t="n">
        <v>1056</v>
      </c>
      <c r="G66" s="47">
        <f>ROUND(E66*F66,2)</f>
        <v/>
      </c>
      <c r="H66" s="42">
        <f>G66/G84</f>
        <v/>
      </c>
      <c r="I66" s="180">
        <f>ROUND(F66*Прил.10!$D$12,2)</f>
        <v/>
      </c>
      <c r="J66" s="180">
        <f>ROUND(E66*I66,2)</f>
        <v/>
      </c>
    </row>
    <row r="67" hidden="1" outlineLevel="1" ht="47.25" customFormat="1" customHeight="1" s="143">
      <c r="A67" s="175" t="n">
        <v>38</v>
      </c>
      <c r="B67" s="189" t="inlineStr">
        <is>
          <t>08.4.03.03-0036</t>
        </is>
      </c>
      <c r="C67" s="191" t="inlineStr">
        <is>
          <t>Сталь арматурная, горячекатаная, периодического профиля, класс А-III, диаметр 25-28 мм</t>
        </is>
      </c>
      <c r="D67" s="194" t="inlineStr">
        <is>
          <t>т</t>
        </is>
      </c>
      <c r="E67" s="192" t="n">
        <v>2.89</v>
      </c>
      <c r="F67" s="47" t="n">
        <v>7792.12</v>
      </c>
      <c r="G67" s="47">
        <f>ROUND(E67*F67,2)</f>
        <v/>
      </c>
      <c r="H67" s="42">
        <f>G67/G84</f>
        <v/>
      </c>
      <c r="I67" s="180">
        <f>ROUND(F67*Прил.10!$D$12,2)</f>
        <v/>
      </c>
      <c r="J67" s="180">
        <f>ROUND(E67*I67,2)</f>
        <v/>
      </c>
    </row>
    <row r="68" hidden="1" outlineLevel="1" ht="31.7" customFormat="1" customHeight="1" s="143">
      <c r="A68" s="175" t="n">
        <v>39</v>
      </c>
      <c r="B68" s="189" t="inlineStr">
        <is>
          <t>01.7.11.07-0032</t>
        </is>
      </c>
      <c r="C68" s="191" t="inlineStr">
        <is>
          <t>Электроды сварочные Э42, диаметр 4 мм</t>
        </is>
      </c>
      <c r="D68" s="194" t="inlineStr">
        <is>
          <t>т</t>
        </is>
      </c>
      <c r="E68" s="192" t="n">
        <v>1.9115708</v>
      </c>
      <c r="F68" s="47" t="n">
        <v>10315.01</v>
      </c>
      <c r="G68" s="47">
        <f>ROUND(E68*F68,2)</f>
        <v/>
      </c>
      <c r="H68" s="42">
        <f>G68/G84</f>
        <v/>
      </c>
      <c r="I68" s="180">
        <f>ROUND(F68*Прил.10!$D$12,2)</f>
        <v/>
      </c>
      <c r="J68" s="180">
        <f>ROUND(E68*I68,2)</f>
        <v/>
      </c>
    </row>
    <row r="69" hidden="1" outlineLevel="1" ht="31.7" customFormat="1" customHeight="1" s="143">
      <c r="A69" s="175" t="n">
        <v>40</v>
      </c>
      <c r="B69" s="189" t="inlineStr">
        <is>
          <t>01.7.15.03-0042</t>
        </is>
      </c>
      <c r="C69" s="191" t="inlineStr">
        <is>
          <t>Болты с гайками и шайбами строительные</t>
        </is>
      </c>
      <c r="D69" s="194" t="inlineStr">
        <is>
          <t>кг</t>
        </is>
      </c>
      <c r="E69" s="192" t="n">
        <v>1184.848</v>
      </c>
      <c r="F69" s="47" t="n">
        <v>9.039999999999999</v>
      </c>
      <c r="G69" s="47">
        <f>ROUND(E69*F69,2)</f>
        <v/>
      </c>
      <c r="H69" s="42">
        <f>G69/G84</f>
        <v/>
      </c>
      <c r="I69" s="180">
        <f>ROUND(F69*Прил.10!$D$12,2)</f>
        <v/>
      </c>
      <c r="J69" s="180">
        <f>ROUND(E69*I69,2)</f>
        <v/>
      </c>
    </row>
    <row r="70" hidden="1" outlineLevel="1" ht="15.75" customFormat="1" customHeight="1" s="143">
      <c r="A70" s="175" t="n">
        <v>41</v>
      </c>
      <c r="B70" s="189" t="inlineStr">
        <is>
          <t>01.7.15.06-0111</t>
        </is>
      </c>
      <c r="C70" s="191" t="inlineStr">
        <is>
          <t>Гвозди строительные</t>
        </is>
      </c>
      <c r="D70" s="194" t="inlineStr">
        <is>
          <t>т</t>
        </is>
      </c>
      <c r="E70" s="192" t="n">
        <v>0.7834207</v>
      </c>
      <c r="F70" s="47" t="n">
        <v>11978</v>
      </c>
      <c r="G70" s="47">
        <f>ROUND(E70*F70,2)</f>
        <v/>
      </c>
      <c r="H70" s="42">
        <f>G70/G84</f>
        <v/>
      </c>
      <c r="I70" s="180">
        <f>ROUND(F70*Прил.10!$D$12,2)</f>
        <v/>
      </c>
      <c r="J70" s="180">
        <f>ROUND(E70*I70,2)</f>
        <v/>
      </c>
    </row>
    <row r="71" hidden="1" outlineLevel="1" ht="47.25" customFormat="1" customHeight="1" s="143">
      <c r="A71" s="175" t="n">
        <v>42</v>
      </c>
      <c r="B71" s="189" t="inlineStr">
        <is>
          <t>08.4.03.03-0033</t>
        </is>
      </c>
      <c r="C71" s="191" t="inlineStr">
        <is>
          <t>Сталь арматурная, горячекатаная, периодического профиля, класс А-III, диаметр 14 мм</t>
        </is>
      </c>
      <c r="D71" s="194" t="inlineStr">
        <is>
          <t>т</t>
        </is>
      </c>
      <c r="E71" s="192" t="n">
        <v>0.659</v>
      </c>
      <c r="F71" s="47" t="n">
        <v>7997.23</v>
      </c>
      <c r="G71" s="47">
        <f>ROUND(E71*F71,2)</f>
        <v/>
      </c>
      <c r="H71" s="42">
        <f>G71/G84</f>
        <v/>
      </c>
      <c r="I71" s="180">
        <f>ROUND(F71*Прил.10!$D$12,2)</f>
        <v/>
      </c>
      <c r="J71" s="180">
        <f>ROUND(E71*I71,2)</f>
        <v/>
      </c>
    </row>
    <row r="72" hidden="1" outlineLevel="1" ht="63" customFormat="1" customHeight="1" s="143">
      <c r="A72" s="175" t="n">
        <v>43</v>
      </c>
      <c r="B72" s="189" t="inlineStr">
        <is>
          <t>05.2.02.01-0038</t>
        </is>
      </c>
      <c r="C72" s="191" t="inlineStr">
        <is>
          <t>Блоки бетонные для стен подвалов полнотелые ФБС9-6-6-Т, бетон B7,5 (М100, объем 0,293 м3, расход арматуры 1,46 кг</t>
        </is>
      </c>
      <c r="D72" s="194" t="inlineStr">
        <is>
          <t>шт</t>
        </is>
      </c>
      <c r="E72" s="192" t="n">
        <v>24</v>
      </c>
      <c r="F72" s="47" t="n">
        <v>181.66</v>
      </c>
      <c r="G72" s="47">
        <f>ROUND(E72*F72,2)</f>
        <v/>
      </c>
      <c r="H72" s="42">
        <f>G72/G84</f>
        <v/>
      </c>
      <c r="I72" s="180">
        <f>ROUND(F72*Прил.10!$D$12,2)</f>
        <v/>
      </c>
      <c r="J72" s="180">
        <f>ROUND(E72*I72,2)</f>
        <v/>
      </c>
    </row>
    <row r="73" hidden="1" outlineLevel="1" ht="31.7" customFormat="1" customHeight="1" s="143">
      <c r="A73" s="175" t="n">
        <v>44</v>
      </c>
      <c r="B73" s="189" t="inlineStr">
        <is>
          <t>01.7.11.07-0054</t>
        </is>
      </c>
      <c r="C73" s="191" t="inlineStr">
        <is>
          <t>Электроды сварочные Э42, диаметр 6 мм</t>
        </is>
      </c>
      <c r="D73" s="194" t="inlineStr">
        <is>
          <t>т</t>
        </is>
      </c>
      <c r="E73" s="192" t="n">
        <v>0.3545559</v>
      </c>
      <c r="F73" s="47" t="n">
        <v>9424</v>
      </c>
      <c r="G73" s="47">
        <f>ROUND(E73*F73,2)</f>
        <v/>
      </c>
      <c r="H73" s="42">
        <f>G73/G84</f>
        <v/>
      </c>
      <c r="I73" s="180">
        <f>ROUND(F73*Прил.10!$D$12,2)</f>
        <v/>
      </c>
      <c r="J73" s="180">
        <f>ROUND(E73*I73,2)</f>
        <v/>
      </c>
    </row>
    <row r="74" hidden="1" outlineLevel="1" ht="63" customFormat="1" customHeight="1" s="143">
      <c r="A74" s="175" t="n">
        <v>45</v>
      </c>
      <c r="B74" s="189" t="inlineStr">
        <is>
          <t>05.2.02.01-0049</t>
        </is>
      </c>
      <c r="C74" s="191" t="inlineStr">
        <is>
          <t>Блоки бетонные для стен подвалов полнотелые ФБС12-6-6-Т, бетон B7,5 (М100, объем 0,398 м3, расход арматуры 1,46 кг</t>
        </is>
      </c>
      <c r="D74" s="194" t="inlineStr">
        <is>
          <t>шт</t>
        </is>
      </c>
      <c r="E74" s="192" t="n">
        <v>12</v>
      </c>
      <c r="F74" s="47" t="n">
        <v>238.8</v>
      </c>
      <c r="G74" s="47">
        <f>ROUND(E74*F74,2)</f>
        <v/>
      </c>
      <c r="H74" s="42">
        <f>G74/G84</f>
        <v/>
      </c>
      <c r="I74" s="180">
        <f>ROUND(F74*Прил.10!$D$12,2)</f>
        <v/>
      </c>
      <c r="J74" s="180">
        <f>ROUND(E74*I74,2)</f>
        <v/>
      </c>
    </row>
    <row r="75" hidden="1" outlineLevel="1" ht="31.7" customFormat="1" customHeight="1" s="143">
      <c r="A75" s="175" t="n">
        <v>46</v>
      </c>
      <c r="B75" s="189" t="inlineStr">
        <is>
          <t>04.3.01.09-0014</t>
        </is>
      </c>
      <c r="C75" s="191" t="inlineStr">
        <is>
          <t>Раствор готовый кладочный, цементный, М100</t>
        </is>
      </c>
      <c r="D75" s="194" t="inlineStr">
        <is>
          <t>м3</t>
        </is>
      </c>
      <c r="E75" s="192" t="n">
        <v>4.96</v>
      </c>
      <c r="F75" s="47" t="n">
        <v>519.8</v>
      </c>
      <c r="G75" s="47">
        <f>ROUND(E75*F75,2)</f>
        <v/>
      </c>
      <c r="H75" s="42">
        <f>G75/G84</f>
        <v/>
      </c>
      <c r="I75" s="180">
        <f>ROUND(F75*Прил.10!$D$12,2)</f>
        <v/>
      </c>
      <c r="J75" s="180">
        <f>ROUND(E75*I75,2)</f>
        <v/>
      </c>
    </row>
    <row r="76" hidden="1" outlineLevel="1" ht="47.25" customFormat="1" customHeight="1" s="143">
      <c r="A76" s="175" t="n">
        <v>47</v>
      </c>
      <c r="B76" s="189" t="inlineStr">
        <is>
          <t>11.1.03.01-0079</t>
        </is>
      </c>
      <c r="C76" s="191" t="inlineStr">
        <is>
          <t>Бруски обрезные, хвойных пород, длина 4-6,5 м, ширина 75-150 мм, толщина 40-75 мм, сорт III</t>
        </is>
      </c>
      <c r="D76" s="194" t="inlineStr">
        <is>
          <t>м3</t>
        </is>
      </c>
      <c r="E76" s="192" t="n">
        <v>1.80683</v>
      </c>
      <c r="F76" s="47" t="n">
        <v>1287</v>
      </c>
      <c r="G76" s="47">
        <f>ROUND(E76*F76,2)</f>
        <v/>
      </c>
      <c r="H76" s="42">
        <f>G76/G84</f>
        <v/>
      </c>
      <c r="I76" s="180">
        <f>ROUND(F76*Прил.10!$D$12,2)</f>
        <v/>
      </c>
      <c r="J76" s="180">
        <f>ROUND(E76*I76,2)</f>
        <v/>
      </c>
    </row>
    <row r="77" hidden="1" outlineLevel="1" ht="31.7" customFormat="1" customHeight="1" s="143">
      <c r="A77" s="175" t="n">
        <v>48</v>
      </c>
      <c r="B77" s="189" t="inlineStr">
        <is>
          <t>01.7.07.12-0024</t>
        </is>
      </c>
      <c r="C77" s="191" t="inlineStr">
        <is>
          <t>Пленка полиэтиленовая, толщина 0,15 мм</t>
        </is>
      </c>
      <c r="D77" s="194" t="inlineStr">
        <is>
          <t>м2</t>
        </is>
      </c>
      <c r="E77" s="192" t="n">
        <v>552.275</v>
      </c>
      <c r="F77" s="47" t="n">
        <v>3.62</v>
      </c>
      <c r="G77" s="47">
        <f>ROUND(E77*F77,2)</f>
        <v/>
      </c>
      <c r="H77" s="42">
        <f>G77/G84</f>
        <v/>
      </c>
      <c r="I77" s="180">
        <f>ROUND(F77*Прил.10!$D$12,2)</f>
        <v/>
      </c>
      <c r="J77" s="180">
        <f>ROUND(E77*I77,2)</f>
        <v/>
      </c>
    </row>
    <row r="78" hidden="1" outlineLevel="1" ht="31.7" customFormat="1" customHeight="1" s="143">
      <c r="A78" s="175" t="n">
        <v>49</v>
      </c>
      <c r="B78" s="189" t="inlineStr">
        <is>
          <t>08.4.03.02-0001</t>
        </is>
      </c>
      <c r="C78" s="191" t="inlineStr">
        <is>
          <t>Сталь арматурная, горячекатаная, гладкая, класс А-I, диаметр 6 мм</t>
        </is>
      </c>
      <c r="D78" s="194" t="inlineStr">
        <is>
          <t>т</t>
        </is>
      </c>
      <c r="E78" s="192" t="n">
        <v>0.226</v>
      </c>
      <c r="F78" s="47" t="n">
        <v>7418.82</v>
      </c>
      <c r="G78" s="47">
        <f>ROUND(E78*F78,2)</f>
        <v/>
      </c>
      <c r="H78" s="42">
        <f>G78/G84</f>
        <v/>
      </c>
      <c r="I78" s="180">
        <f>ROUND(F78*Прил.10!$D$12,2)</f>
        <v/>
      </c>
      <c r="J78" s="180">
        <f>ROUND(E78*I78,2)</f>
        <v/>
      </c>
    </row>
    <row r="79" hidden="1" outlineLevel="1" ht="31.7" customFormat="1" customHeight="1" s="143">
      <c r="A79" s="175" t="n">
        <v>50</v>
      </c>
      <c r="B79" s="189" t="inlineStr">
        <is>
          <t>03.1.02.03-0011</t>
        </is>
      </c>
      <c r="C79" s="191" t="inlineStr">
        <is>
          <t>Известь строительная негашеная комовая, сорт I</t>
        </is>
      </c>
      <c r="D79" s="194" t="inlineStr">
        <is>
          <t>т</t>
        </is>
      </c>
      <c r="E79" s="192" t="n">
        <v>0.6856897</v>
      </c>
      <c r="F79" s="47" t="n">
        <v>734.5</v>
      </c>
      <c r="G79" s="47">
        <f>ROUND(E79*F79,2)</f>
        <v/>
      </c>
      <c r="H79" s="42">
        <f>G79/G84</f>
        <v/>
      </c>
      <c r="I79" s="180">
        <f>ROUND(F79*Прил.10!$D$12,2)</f>
        <v/>
      </c>
      <c r="J79" s="180">
        <f>ROUND(E79*I79,2)</f>
        <v/>
      </c>
    </row>
    <row r="80" hidden="1" outlineLevel="1" ht="31.7" customFormat="1" customHeight="1" s="143">
      <c r="A80" s="175" t="n">
        <v>51</v>
      </c>
      <c r="B80" s="189" t="inlineStr">
        <is>
          <t>01.7.11.07-0064</t>
        </is>
      </c>
      <c r="C80" s="191" t="inlineStr">
        <is>
          <t>Электроды сварочные Э42, диаметр 8 мм</t>
        </is>
      </c>
      <c r="D80" s="194" t="inlineStr">
        <is>
          <t>т</t>
        </is>
      </c>
      <c r="E80" s="192" t="n">
        <v>0.013872</v>
      </c>
      <c r="F80" s="47" t="n">
        <v>9211</v>
      </c>
      <c r="G80" s="47">
        <f>ROUND(E80*F80,2)</f>
        <v/>
      </c>
      <c r="H80" s="42">
        <f>G80/G84</f>
        <v/>
      </c>
      <c r="I80" s="180">
        <f>ROUND(F80*Прил.10!$D$12,2)</f>
        <v/>
      </c>
      <c r="J80" s="180">
        <f>ROUND(E80*I80,2)</f>
        <v/>
      </c>
    </row>
    <row r="81" hidden="1" outlineLevel="1" ht="31.7" customFormat="1" customHeight="1" s="143">
      <c r="A81" s="175" t="n">
        <v>52</v>
      </c>
      <c r="B81" s="189" t="inlineStr">
        <is>
          <t>02.2.05.04-1777</t>
        </is>
      </c>
      <c r="C81" s="191" t="inlineStr">
        <is>
          <t>Щебень М 800, фракция 20-40 мм, группа 2</t>
        </is>
      </c>
      <c r="D81" s="194" t="inlineStr">
        <is>
          <t>м3</t>
        </is>
      </c>
      <c r="E81" s="192" t="n">
        <v>0.56984</v>
      </c>
      <c r="F81" s="47" t="n">
        <v>108.4</v>
      </c>
      <c r="G81" s="47">
        <f>ROUND(E81*F81,2)</f>
        <v/>
      </c>
      <c r="H81" s="42">
        <f>G81/G84</f>
        <v/>
      </c>
      <c r="I81" s="180">
        <f>ROUND(F81*Прил.10!$D$12,2)</f>
        <v/>
      </c>
      <c r="J81" s="180">
        <f>ROUND(E81*I81,2)</f>
        <v/>
      </c>
    </row>
    <row r="82" hidden="1" outlineLevel="1" ht="15.75" customFormat="1" customHeight="1" s="143">
      <c r="A82" s="175" t="n">
        <v>53</v>
      </c>
      <c r="B82" s="189" t="inlineStr">
        <is>
          <t>01.7.03.01-0001</t>
        </is>
      </c>
      <c r="C82" s="191" t="inlineStr">
        <is>
          <t>Вода</t>
        </is>
      </c>
      <c r="D82" s="194" t="inlineStr">
        <is>
          <t>м3</t>
        </is>
      </c>
      <c r="E82" s="192" t="n">
        <v>19.429073</v>
      </c>
      <c r="F82" s="47" t="n">
        <v>2.44</v>
      </c>
      <c r="G82" s="47">
        <f>ROUND(E82*F82,2)</f>
        <v/>
      </c>
      <c r="H82" s="42">
        <f>G82/G84</f>
        <v/>
      </c>
      <c r="I82" s="180">
        <f>ROUND(F82*Прил.10!$D$12,2)</f>
        <v/>
      </c>
      <c r="J82" s="180">
        <f>ROUND(E82*I82,2)</f>
        <v/>
      </c>
    </row>
    <row r="83" collapsed="1" ht="15.75" customFormat="1" customHeight="1" s="143">
      <c r="A83" s="175" t="n"/>
      <c r="B83" s="175" t="inlineStr">
        <is>
          <t>Итого прочие Материалы</t>
        </is>
      </c>
      <c r="C83" s="197" t="n"/>
      <c r="D83" s="197" t="n"/>
      <c r="E83" s="197" t="n"/>
      <c r="F83" s="198" t="n"/>
      <c r="G83" s="180">
        <f>SUM(G62:G82)</f>
        <v/>
      </c>
      <c r="H83" s="42">
        <f>SUM(H62:H82)</f>
        <v/>
      </c>
      <c r="I83" s="180" t="n"/>
      <c r="J83" s="180">
        <f>SUM(J62:J82)</f>
        <v/>
      </c>
    </row>
    <row r="84" ht="15.75" customFormat="1" customHeight="1" s="143">
      <c r="A84" s="175" t="n"/>
      <c r="B84" s="175" t="inlineStr">
        <is>
          <t>Итого по разделу "Материалы"</t>
        </is>
      </c>
      <c r="C84" s="197" t="n"/>
      <c r="D84" s="197" t="n"/>
      <c r="E84" s="197" t="n"/>
      <c r="F84" s="198" t="n"/>
      <c r="G84" s="180">
        <f>G61+G83</f>
        <v/>
      </c>
      <c r="H84" s="42">
        <f>H61+H83</f>
        <v/>
      </c>
      <c r="I84" s="180" t="n"/>
      <c r="J84" s="180">
        <f>J61+J83</f>
        <v/>
      </c>
    </row>
    <row r="85" ht="15.75" customFormat="1" customHeight="1" s="143">
      <c r="A85" s="176" t="n"/>
      <c r="B85" s="194" t="n"/>
      <c r="C85" s="191" t="inlineStr">
        <is>
          <t>ИТОГО ПО РМ</t>
        </is>
      </c>
      <c r="D85" s="194" t="n"/>
      <c r="E85" s="194" t="n"/>
      <c r="F85" s="193" t="n"/>
      <c r="G85" s="193">
        <f>+G14+G44+G84</f>
        <v/>
      </c>
      <c r="H85" s="58" t="n"/>
      <c r="I85" s="180" t="n"/>
      <c r="J85" s="193">
        <f>+J14+J44+J84</f>
        <v/>
      </c>
    </row>
    <row r="86" ht="15.75" customFormat="1" customHeight="1" s="143">
      <c r="A86" s="176" t="n"/>
      <c r="B86" s="194" t="n"/>
      <c r="C86" s="191" t="inlineStr">
        <is>
          <t>Накладные расходы</t>
        </is>
      </c>
      <c r="D86" s="60" t="n">
        <v>0.92975384561267</v>
      </c>
      <c r="E86" s="194" t="n"/>
      <c r="F86" s="193" t="n"/>
      <c r="G86" s="193">
        <f>(G14+G16)*D86</f>
        <v/>
      </c>
      <c r="H86" s="58" t="n"/>
      <c r="I86" s="180" t="n"/>
      <c r="J86" s="180">
        <f>(J14+J16)*D86</f>
        <v/>
      </c>
    </row>
    <row r="87" ht="15.75" customFormat="1" customHeight="1" s="143">
      <c r="A87" s="176" t="n"/>
      <c r="B87" s="194" t="n"/>
      <c r="C87" s="191" t="inlineStr">
        <is>
          <t>Сметная прибыль</t>
        </is>
      </c>
      <c r="D87" s="60" t="n">
        <v>0.48440007212193</v>
      </c>
      <c r="E87" s="194" t="n"/>
      <c r="F87" s="193" t="n"/>
      <c r="G87" s="193">
        <f>(G14+G16)*D87</f>
        <v/>
      </c>
      <c r="H87" s="58" t="n"/>
      <c r="I87" s="180" t="n"/>
      <c r="J87" s="180">
        <f>(J14+J16)*D87</f>
        <v/>
      </c>
    </row>
    <row r="88" ht="15.75" customFormat="1" customHeight="1" s="143">
      <c r="A88" s="176" t="n"/>
      <c r="B88" s="194" t="n"/>
      <c r="C88" s="191" t="inlineStr">
        <is>
          <t>Итого СМР (с НР и СП)</t>
        </is>
      </c>
      <c r="D88" s="194" t="n"/>
      <c r="E88" s="194" t="n"/>
      <c r="F88" s="193" t="n"/>
      <c r="G88" s="193">
        <f>G85+G86+G87</f>
        <v/>
      </c>
      <c r="H88" s="58" t="n"/>
      <c r="I88" s="180" t="n"/>
      <c r="J88" s="193">
        <f>J85+J86+J87</f>
        <v/>
      </c>
    </row>
    <row r="89" ht="15.75" customFormat="1" customHeight="1" s="143">
      <c r="A89" s="176" t="n"/>
      <c r="B89" s="194" t="n"/>
      <c r="C89" s="191" t="inlineStr">
        <is>
          <t>ВСЕГО СМР + ОБОРУДОВАНИЕ</t>
        </is>
      </c>
      <c r="D89" s="194" t="n"/>
      <c r="E89" s="194" t="n"/>
      <c r="F89" s="193" t="n"/>
      <c r="G89" s="193">
        <f>G50+G88</f>
        <v/>
      </c>
      <c r="H89" s="58" t="n"/>
      <c r="I89" s="180" t="n"/>
      <c r="J89" s="180">
        <f>J50+J88</f>
        <v/>
      </c>
    </row>
    <row r="90" ht="15.75" customFormat="1" customHeight="1" s="143">
      <c r="A90" s="176" t="n"/>
      <c r="B90" s="194" t="n"/>
      <c r="C90" s="191" t="inlineStr">
        <is>
          <t>ИТОГО ПОКАЗАТЕЛЬ НА ЕД. ИЗМ.</t>
        </is>
      </c>
      <c r="D90" s="194" t="inlineStr">
        <is>
          <t>м3</t>
        </is>
      </c>
      <c r="E90" s="194" t="n">
        <v>1578</v>
      </c>
      <c r="F90" s="193" t="n"/>
      <c r="G90" s="193">
        <f>G89/E90</f>
        <v/>
      </c>
      <c r="H90" s="58" t="n"/>
      <c r="I90" s="180" t="n"/>
      <c r="J90" s="193">
        <f>J89/E90</f>
        <v/>
      </c>
    </row>
    <row r="91" ht="15.75" customFormat="1" customHeight="1" s="143">
      <c r="E91" s="143" t="n"/>
      <c r="F91" s="91" t="n"/>
      <c r="G91" s="91" t="n"/>
      <c r="I91" s="91" t="n"/>
      <c r="J91" s="91" t="n"/>
    </row>
    <row r="92" ht="15.75" customFormat="1" customHeight="1" s="143">
      <c r="A92" s="143" t="inlineStr">
        <is>
          <t>Составил ______________________        М.С. Колотиевская</t>
        </is>
      </c>
    </row>
    <row r="93" ht="15.75" customFormat="1" customHeight="1" s="143">
      <c r="A93" s="98" t="inlineStr">
        <is>
          <t xml:space="preserve">                         (подпись, инициалы, фамилия)</t>
        </is>
      </c>
    </row>
    <row r="94" ht="15.75" customFormat="1" customHeight="1" s="143"/>
    <row r="95" ht="15.75" customFormat="1" customHeight="1" s="143">
      <c r="A95" s="143" t="inlineStr">
        <is>
          <t>Проверил ______________________          А.В. Костянецкая</t>
        </is>
      </c>
    </row>
    <row r="96" ht="15.75" customFormat="1" customHeight="1" s="143">
      <c r="A96" s="98" t="inlineStr">
        <is>
          <t xml:space="preserve">                        (подпись, инициалы, фамилия)</t>
        </is>
      </c>
    </row>
    <row r="97" ht="15.75" customFormat="1" customHeight="1" s="143">
      <c r="E97" s="143" t="n"/>
      <c r="F97" s="91" t="n"/>
      <c r="G97" s="91" t="n"/>
      <c r="I97" s="91" t="n"/>
      <c r="J97" s="91" t="n"/>
    </row>
  </sheetData>
  <mergeCells count="28">
    <mergeCell ref="H9:H10"/>
    <mergeCell ref="B25:F25"/>
    <mergeCell ref="B15:H15"/>
    <mergeCell ref="H2:J2"/>
    <mergeCell ref="C9:C10"/>
    <mergeCell ref="B43:F43"/>
    <mergeCell ref="E9:E10"/>
    <mergeCell ref="B61:F61"/>
    <mergeCell ref="B44:F44"/>
    <mergeCell ref="B9:B10"/>
    <mergeCell ref="D9:D10"/>
    <mergeCell ref="B18:H18"/>
    <mergeCell ref="B45:J45"/>
    <mergeCell ref="B52:H52"/>
    <mergeCell ref="B12:H12"/>
    <mergeCell ref="D6:J6"/>
    <mergeCell ref="B84:F84"/>
    <mergeCell ref="F9:G9"/>
    <mergeCell ref="B83:F83"/>
    <mergeCell ref="A4:H4"/>
    <mergeCell ref="B17:H17"/>
    <mergeCell ref="A9:A10"/>
    <mergeCell ref="B46:J46"/>
    <mergeCell ref="B53:H53"/>
    <mergeCell ref="A6:C6"/>
    <mergeCell ref="A7:C7"/>
    <mergeCell ref="I9:J9"/>
    <mergeCell ref="B48:J48"/>
  </mergeCells>
  <conditionalFormatting sqref="E13:E97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60" zoomScaleNormal="100" workbookViewId="0">
      <selection activeCell="A18" sqref="A18"/>
    </sheetView>
  </sheetViews>
  <sheetFormatPr baseColWidth="8" defaultColWidth="9.140625" defaultRowHeight="15"/>
  <cols>
    <col width="5.7109375" customWidth="1" style="141" min="1" max="1"/>
    <col width="14.85546875" customWidth="1" style="141" min="2" max="2"/>
    <col width="39.140625" customWidth="1" style="141" min="3" max="3"/>
    <col width="8.28515625" customWidth="1" style="141" min="4" max="4"/>
    <col width="13.5703125" customWidth="1" style="141" min="5" max="5"/>
    <col width="12.42578125" customWidth="1" style="141" min="6" max="6"/>
    <col width="14.140625" customWidth="1" style="141" min="7" max="7"/>
    <col width="9.140625" customWidth="1" style="141" min="8" max="8"/>
  </cols>
  <sheetData>
    <row r="1" ht="15.75" customHeight="1" s="141">
      <c r="A1" s="181" t="inlineStr">
        <is>
          <t>Приложение №6</t>
        </is>
      </c>
    </row>
    <row r="2" ht="21.75" customHeight="1" s="141">
      <c r="A2" s="181" t="n"/>
      <c r="B2" s="181" t="n"/>
      <c r="C2" s="181" t="n"/>
      <c r="D2" s="181" t="n"/>
      <c r="E2" s="181" t="n"/>
      <c r="F2" s="181" t="n"/>
      <c r="G2" s="181" t="n"/>
    </row>
    <row r="3" ht="15.75" customHeight="1" s="141">
      <c r="A3" s="162" t="inlineStr">
        <is>
          <t>Расчет стоимости оборудования</t>
        </is>
      </c>
    </row>
    <row r="4" ht="25.5" customHeight="1" s="141">
      <c r="A4" s="182" t="inlineStr">
        <is>
          <t>Наименование разрабатываемого показателя УНЦ —  Подпорная стенка</t>
        </is>
      </c>
    </row>
    <row r="5" ht="15.75" customHeight="1" s="141">
      <c r="A5" s="143" t="n"/>
      <c r="B5" s="143" t="n"/>
      <c r="C5" s="143" t="n"/>
      <c r="D5" s="143" t="n"/>
      <c r="E5" s="143" t="n"/>
      <c r="F5" s="143" t="n"/>
      <c r="G5" s="143" t="n"/>
    </row>
    <row r="6" ht="30.2" customFormat="1" customHeight="1" s="143">
      <c r="A6" s="194" t="inlineStr">
        <is>
          <t>№ пп.</t>
        </is>
      </c>
      <c r="B6" s="194" t="inlineStr">
        <is>
          <t>Код ресурса</t>
        </is>
      </c>
      <c r="C6" s="194" t="inlineStr">
        <is>
          <t>Наименование</t>
        </is>
      </c>
      <c r="D6" s="194" t="inlineStr">
        <is>
          <t>Ед. изм.</t>
        </is>
      </c>
      <c r="E6" s="179" t="inlineStr">
        <is>
          <t>Кол-во единиц по проектным данным</t>
        </is>
      </c>
      <c r="F6" s="194" t="inlineStr">
        <is>
          <t>Сметная стоимость в ценах на 01.01.2000 (руб.)</t>
        </is>
      </c>
      <c r="G6" s="198" t="n"/>
    </row>
    <row r="7" ht="15.75" customFormat="1" customHeight="1" s="143">
      <c r="A7" s="200" t="n"/>
      <c r="B7" s="200" t="n"/>
      <c r="C7" s="200" t="n"/>
      <c r="D7" s="200" t="n"/>
      <c r="E7" s="200" t="n"/>
      <c r="F7" s="179" t="inlineStr">
        <is>
          <t>на ед. изм.</t>
        </is>
      </c>
      <c r="G7" s="179" t="inlineStr">
        <is>
          <t>общая</t>
        </is>
      </c>
    </row>
    <row r="8" ht="15.75" customFormat="1" customHeight="1" s="143">
      <c r="A8" s="179" t="n">
        <v>1</v>
      </c>
      <c r="B8" s="179" t="n">
        <v>2</v>
      </c>
      <c r="C8" s="179" t="n">
        <v>3</v>
      </c>
      <c r="D8" s="179" t="n">
        <v>4</v>
      </c>
      <c r="E8" s="179" t="n">
        <v>5</v>
      </c>
      <c r="F8" s="179" t="n">
        <v>6</v>
      </c>
      <c r="G8" s="179" t="n">
        <v>7</v>
      </c>
    </row>
    <row r="9" ht="15.75" customFormat="1" customHeight="1" s="143">
      <c r="A9" s="176" t="n"/>
      <c r="B9" s="191" t="inlineStr">
        <is>
          <t>ИНЖЕНЕРНОЕ ОБОРУДОВАНИЕ</t>
        </is>
      </c>
      <c r="C9" s="197" t="n"/>
      <c r="D9" s="197" t="n"/>
      <c r="E9" s="197" t="n"/>
      <c r="F9" s="197" t="n"/>
      <c r="G9" s="198" t="n"/>
    </row>
    <row r="10" ht="31.7" customFormat="1" customHeight="1" s="143">
      <c r="A10" s="194" t="n"/>
      <c r="B10" s="66" t="n"/>
      <c r="C10" s="191" t="inlineStr">
        <is>
          <t>ИТОГО ИНЖЕНЕРНОЕ ОБОРУДОВАНИЕ</t>
        </is>
      </c>
      <c r="D10" s="66" t="n"/>
      <c r="E10" s="67" t="n"/>
      <c r="F10" s="193" t="n"/>
      <c r="G10" s="193" t="n">
        <v>0</v>
      </c>
    </row>
    <row r="11" ht="15.75" customFormat="1" customHeight="1" s="143">
      <c r="A11" s="194" t="n"/>
      <c r="B11" s="191" t="inlineStr">
        <is>
          <t>ТЕХНОЛОГИЧЕСКОЕ ОБОРУДОВАНИЕ</t>
        </is>
      </c>
      <c r="C11" s="197" t="n"/>
      <c r="D11" s="197" t="n"/>
      <c r="E11" s="197" t="n"/>
      <c r="F11" s="197" t="n"/>
      <c r="G11" s="198" t="n"/>
    </row>
    <row r="12" ht="31.7" customFormat="1" customHeight="1" s="143">
      <c r="A12" s="194" t="n"/>
      <c r="B12" s="191" t="n"/>
      <c r="C12" s="191" t="inlineStr">
        <is>
          <t>ИТОГО ТЕХНОЛОГИЧЕСКОЕ ОБОРУДОВАНИЕ</t>
        </is>
      </c>
      <c r="D12" s="191" t="n"/>
      <c r="E12" s="192" t="n"/>
      <c r="F12" s="193" t="n"/>
      <c r="G12" s="193" t="n">
        <v>0</v>
      </c>
    </row>
    <row r="13" ht="15.75" customFormat="1" customHeight="1" s="143">
      <c r="A13" s="194" t="n"/>
      <c r="B13" s="191" t="n"/>
      <c r="C13" s="191" t="inlineStr">
        <is>
          <t>Итого по разделу "Оборудование"</t>
        </is>
      </c>
      <c r="D13" s="191" t="n"/>
      <c r="E13" s="192" t="n"/>
      <c r="F13" s="193" t="n"/>
      <c r="G13" s="193" t="n">
        <v>0</v>
      </c>
    </row>
    <row r="14" ht="17.25" customFormat="1" customHeight="1" s="143">
      <c r="B14" s="181" t="n"/>
    </row>
    <row r="15" ht="15.75" customFormat="1" customHeight="1" s="143">
      <c r="A15" s="143" t="inlineStr">
        <is>
          <t>Составил ______________________        М.С. Колотиевская</t>
        </is>
      </c>
      <c r="B15" s="143" t="n"/>
      <c r="C15" s="143" t="n"/>
    </row>
    <row r="16" ht="15.75" customFormat="1" customHeight="1" s="143">
      <c r="A16" s="98" t="inlineStr">
        <is>
          <t xml:space="preserve">                         (подпись, инициалы, фамилия)</t>
        </is>
      </c>
      <c r="B16" s="143" t="n"/>
      <c r="C16" s="143" t="n"/>
    </row>
    <row r="17" ht="15.75" customFormat="1" customHeight="1" s="143">
      <c r="A17" s="143" t="n"/>
      <c r="B17" s="143" t="n"/>
      <c r="C17" s="143" t="n"/>
    </row>
    <row r="18" ht="15.75" customFormat="1" customHeight="1" s="143">
      <c r="A18" s="143" t="inlineStr">
        <is>
          <t>Проверил ______________________          А.В. Костянецкая</t>
        </is>
      </c>
      <c r="B18" s="143" t="n"/>
      <c r="C18" s="143" t="n"/>
    </row>
    <row r="19" ht="15.75" customFormat="1" customHeight="1" s="143">
      <c r="A19" s="98" t="inlineStr">
        <is>
          <t xml:space="preserve">                        (подпись, инициалы, фамилия)</t>
        </is>
      </c>
      <c r="B19" s="143" t="n"/>
      <c r="C19" s="143" t="n"/>
    </row>
    <row r="20" ht="15.75" customFormat="1" customHeight="1" s="143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6" sqref="A16"/>
    </sheetView>
  </sheetViews>
  <sheetFormatPr baseColWidth="8" defaultColWidth="8.85546875" defaultRowHeight="15"/>
  <cols>
    <col width="14.42578125" customWidth="1" style="141" min="1" max="1"/>
    <col width="29.5703125" customWidth="1" style="141" min="2" max="2"/>
    <col width="39.140625" customWidth="1" style="141" min="3" max="3"/>
    <col width="24.42578125" customWidth="1" style="141" min="4" max="4"/>
    <col width="8.85546875" customWidth="1" style="141" min="5" max="5"/>
  </cols>
  <sheetData>
    <row r="1">
      <c r="B1" s="127" t="n"/>
      <c r="C1" s="127" t="n"/>
      <c r="D1" s="124" t="inlineStr">
        <is>
          <t>Приложение №7</t>
        </is>
      </c>
    </row>
    <row r="2">
      <c r="A2" s="124" t="n"/>
      <c r="B2" s="124" t="n"/>
      <c r="C2" s="124" t="n"/>
      <c r="D2" s="124" t="n"/>
    </row>
    <row r="3" ht="24.75" customHeight="1" s="141">
      <c r="A3" s="195" t="inlineStr">
        <is>
          <t>Расчет показателя УНЦ</t>
        </is>
      </c>
    </row>
    <row r="4" ht="24.75" customHeight="1" s="141">
      <c r="A4" s="195" t="n"/>
      <c r="B4" s="195" t="n"/>
      <c r="C4" s="195" t="n"/>
      <c r="D4" s="195" t="n"/>
    </row>
    <row r="5" ht="24.6" customHeight="1" s="141">
      <c r="A5" s="196" t="inlineStr">
        <is>
          <t xml:space="preserve">Наименование разрабатываемого показателя УНЦ - </t>
        </is>
      </c>
      <c r="D5" s="196">
        <f>'Прил.5 Расчет СМР и ОБ'!D6:J6</f>
        <v/>
      </c>
    </row>
    <row r="6" ht="19.9" customHeight="1" s="141">
      <c r="A6" s="196" t="inlineStr">
        <is>
          <t>Единица измерения  — 1 м2</t>
        </is>
      </c>
      <c r="D6" s="196" t="n"/>
    </row>
    <row r="7">
      <c r="A7" s="127" t="n"/>
      <c r="B7" s="127" t="n"/>
      <c r="C7" s="127" t="n"/>
      <c r="D7" s="127" t="n"/>
    </row>
    <row r="8" ht="14.45" customHeight="1" s="141">
      <c r="A8" s="179" t="inlineStr">
        <is>
          <t>Код показателя</t>
        </is>
      </c>
      <c r="B8" s="179" t="inlineStr">
        <is>
          <t>Наименование показателя</t>
        </is>
      </c>
      <c r="C8" s="179" t="inlineStr">
        <is>
          <t>Наименование РМ, входящих в состав показателя</t>
        </is>
      </c>
      <c r="D8" s="179" t="inlineStr">
        <is>
          <t>Норматив цены на 01.01.2023, тыс.руб.</t>
        </is>
      </c>
    </row>
    <row r="9" ht="15" customHeight="1" s="141">
      <c r="A9" s="200" t="n"/>
      <c r="B9" s="200" t="n"/>
      <c r="C9" s="200" t="n"/>
      <c r="D9" s="200" t="n"/>
    </row>
    <row r="10">
      <c r="A10" s="128" t="n">
        <v>1</v>
      </c>
      <c r="B10" s="128" t="n">
        <v>2</v>
      </c>
      <c r="C10" s="128" t="n">
        <v>3</v>
      </c>
      <c r="D10" s="128" t="n">
        <v>4</v>
      </c>
    </row>
    <row r="11" ht="41.45" customHeight="1" s="141">
      <c r="A11" s="128" t="inlineStr">
        <is>
          <t>З8-07</t>
        </is>
      </c>
      <c r="B11" s="128" t="inlineStr">
        <is>
          <t>УНЦ прочих здания и сооружений ПС</t>
        </is>
      </c>
      <c r="C11" s="129">
        <f>D5</f>
        <v/>
      </c>
      <c r="D11" s="130">
        <f>'Прил.4 РМ'!C41/1000</f>
        <v/>
      </c>
      <c r="E11" s="121" t="n"/>
    </row>
    <row r="12">
      <c r="A12" s="131" t="n"/>
      <c r="B12" s="132" t="n"/>
      <c r="C12" s="131" t="n"/>
      <c r="D12" s="131" t="n"/>
    </row>
    <row r="13">
      <c r="A13" s="127" t="inlineStr">
        <is>
          <t>Составил ______________________      М.С. Колотиевская</t>
        </is>
      </c>
      <c r="B13" s="133" t="n"/>
      <c r="C13" s="133" t="n"/>
      <c r="D13" s="131" t="n"/>
    </row>
    <row r="14">
      <c r="A14" s="134" t="inlineStr">
        <is>
          <t xml:space="preserve">                         (подпись, инициалы, фамилия)</t>
        </is>
      </c>
      <c r="B14" s="133" t="n"/>
      <c r="C14" s="133" t="n"/>
      <c r="D14" s="131" t="n"/>
    </row>
    <row r="15">
      <c r="A15" s="127" t="n"/>
      <c r="B15" s="133" t="n"/>
      <c r="C15" s="133" t="n"/>
      <c r="D15" s="131" t="n"/>
    </row>
    <row r="16" ht="15.75" customHeight="1" s="141">
      <c r="A16" s="143" t="inlineStr">
        <is>
          <t>Проверил ______________________          А.В. Костянецкая</t>
        </is>
      </c>
      <c r="B16" s="133" t="n"/>
      <c r="C16" s="133" t="n"/>
      <c r="D16" s="131" t="n"/>
    </row>
    <row r="17">
      <c r="A17" s="134" t="inlineStr">
        <is>
          <t xml:space="preserve">                        (подпись, инициалы, фамилия)</t>
        </is>
      </c>
      <c r="B17" s="133" t="n"/>
      <c r="C17" s="133" t="n"/>
      <c r="D17" s="1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100" workbookViewId="0">
      <selection activeCell="B29" sqref="B29"/>
    </sheetView>
  </sheetViews>
  <sheetFormatPr baseColWidth="8" defaultRowHeight="15"/>
  <cols>
    <col width="9.140625" customWidth="1" style="141" min="1" max="1"/>
    <col width="40.7109375" customWidth="1" style="141" min="2" max="2"/>
    <col width="37" customWidth="1" style="141" min="3" max="3"/>
    <col width="32" customWidth="1" style="141" min="4" max="4"/>
    <col width="9.140625" customWidth="1" style="141" min="5" max="5"/>
  </cols>
  <sheetData>
    <row r="4" ht="15.75" customHeight="1" s="141">
      <c r="B4" s="161" t="inlineStr">
        <is>
          <t>Приложение № 10</t>
        </is>
      </c>
    </row>
    <row r="5" ht="18.75" customHeight="1" s="141">
      <c r="B5" s="8" t="n"/>
    </row>
    <row r="6" ht="15.75" customHeight="1" s="141">
      <c r="B6" s="162" t="inlineStr">
        <is>
          <t>Используемые индексы изменений сметной стоимости и нормы сопутствующих затрат</t>
        </is>
      </c>
    </row>
    <row r="7" ht="18.75" customHeight="1" s="141">
      <c r="B7" s="111" t="n"/>
    </row>
    <row r="8" ht="47.25" customFormat="1" customHeight="1" s="143">
      <c r="B8" s="179" t="inlineStr">
        <is>
          <t>Наименование индекса / норм сопутствующих затрат</t>
        </is>
      </c>
      <c r="C8" s="179" t="inlineStr">
        <is>
          <t>Дата применения и обоснование индекса / норм сопутствующих затрат</t>
        </is>
      </c>
      <c r="D8" s="179" t="inlineStr">
        <is>
          <t>Размер индекса / норма сопутствующих затрат</t>
        </is>
      </c>
    </row>
    <row r="9" ht="15.75" customFormat="1" customHeight="1" s="143">
      <c r="B9" s="179" t="n">
        <v>1</v>
      </c>
      <c r="C9" s="179" t="n">
        <v>2</v>
      </c>
      <c r="D9" s="179" t="n">
        <v>3</v>
      </c>
    </row>
    <row r="10" ht="31.7" customFormat="1" customHeight="1" s="143">
      <c r="B10" s="179" t="inlineStr">
        <is>
          <t xml:space="preserve">Индекс изменения сметной стоимости на 1 квартал 2023 года. ОЗП </t>
        </is>
      </c>
      <c r="C10" s="179" t="inlineStr">
        <is>
          <t>Письмо Минстроя России от 30.03.2023г. №17106-ИФ/09  прил.1</t>
        </is>
      </c>
      <c r="D10" s="179" t="n">
        <v>44.29</v>
      </c>
    </row>
    <row r="11" ht="31.7" customFormat="1" customHeight="1" s="143">
      <c r="B11" s="179" t="inlineStr">
        <is>
          <t>Индекс изменения сметной стоимости на 1 квартал 2023 года. ЭМ</t>
        </is>
      </c>
      <c r="C11" s="179" t="inlineStr">
        <is>
          <t>Письмо Минстроя России от 30.03.2023г. №17106-ИФ/09  прил.1</t>
        </is>
      </c>
      <c r="D11" s="179" t="n">
        <v>13.47</v>
      </c>
    </row>
    <row r="12" ht="31.7" customFormat="1" customHeight="1" s="143">
      <c r="B12" s="179" t="inlineStr">
        <is>
          <t>Индекс изменения сметной стоимости на 1 квартал 2023 года. МАТ</t>
        </is>
      </c>
      <c r="C12" s="179" t="inlineStr">
        <is>
          <t>Письмо Минстроя России от 30.03.2023г. №17106-ИФ/09  прил.1</t>
        </is>
      </c>
      <c r="D12" s="179" t="n">
        <v>8.039999999999999</v>
      </c>
    </row>
    <row r="13" ht="31.7" customFormat="1" customHeight="1" s="143">
      <c r="B13" s="179" t="inlineStr">
        <is>
          <t>Индекс изменения сметной стоимости на 1 квартал 2023 года. ОБ</t>
        </is>
      </c>
      <c r="C13" s="104" t="inlineStr">
        <is>
          <t>Письмо Минстроя России от 23.02.2023г. №9791-ИФ/09 прил.6</t>
        </is>
      </c>
      <c r="D13" s="179" t="n">
        <v>6.26</v>
      </c>
    </row>
    <row r="14" ht="78.75" customFormat="1" customHeight="1" s="143">
      <c r="B14" s="179" t="inlineStr">
        <is>
          <t>Временные здания и сооружения</t>
        </is>
      </c>
      <c r="C14" s="1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43">
      <c r="B15" s="179" t="inlineStr">
        <is>
          <t>Дополнительные затраты при производстве строительно-монтажных работ в зимнее время</t>
        </is>
      </c>
      <c r="C15" s="1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1" t="n"/>
    </row>
    <row r="16" ht="31.7" customFormat="1" customHeight="1" s="143">
      <c r="B16" s="179" t="inlineStr">
        <is>
          <t>Пусконаладочные работы</t>
        </is>
      </c>
      <c r="C16" s="179" t="n"/>
      <c r="D16" s="179" t="inlineStr">
        <is>
          <t>Расчёт</t>
        </is>
      </c>
    </row>
    <row r="17" ht="31.7" customFormat="1" customHeight="1" s="143">
      <c r="B17" s="179" t="inlineStr">
        <is>
          <t>Строительный контроль</t>
        </is>
      </c>
      <c r="C17" s="179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43">
      <c r="B18" s="179" t="inlineStr">
        <is>
          <t>Авторский надзор</t>
        </is>
      </c>
      <c r="C18" s="179" t="inlineStr">
        <is>
          <t>Приказ от 4.08.2020 № 421/пр п.173</t>
        </is>
      </c>
      <c r="D18" s="12" t="n">
        <v>0.002</v>
      </c>
    </row>
    <row r="19" ht="15.75" customFormat="1" customHeight="1" s="143">
      <c r="B19" s="179" t="inlineStr">
        <is>
          <t>Непредвиденные расходы</t>
        </is>
      </c>
      <c r="C19" s="179" t="inlineStr">
        <is>
          <t>Приказ от 4.08.2020 № 421/пр п.179</t>
        </is>
      </c>
      <c r="D19" s="12" t="n">
        <v>0.03</v>
      </c>
    </row>
    <row r="20" ht="15.75" customFormat="1" customHeight="1" s="143">
      <c r="B20" s="163" t="n"/>
    </row>
    <row r="21" ht="15.75" customFormat="1" customHeight="1" s="143">
      <c r="B21" s="163" t="n"/>
    </row>
    <row r="22" ht="15.75" customFormat="1" customHeight="1" s="143">
      <c r="B22" s="163" t="n"/>
    </row>
    <row r="23" ht="15.75" customFormat="1" customHeight="1" s="143">
      <c r="B23" s="163" t="n"/>
    </row>
    <row r="24" ht="15.75" customFormat="1" customHeight="1" s="143"/>
    <row r="25" ht="15.75" customFormat="1" customHeight="1" s="143"/>
    <row r="26" ht="15.75" customFormat="1" customHeight="1" s="143">
      <c r="B26" s="143" t="inlineStr">
        <is>
          <t>Составил ______________________        М.С. Колотиевская</t>
        </is>
      </c>
      <c r="C26" s="143" t="n"/>
    </row>
    <row r="27" ht="15.75" customFormat="1" customHeight="1" s="143">
      <c r="B27" s="98" t="inlineStr">
        <is>
          <t xml:space="preserve">                         (подпись, инициалы, фамилия)</t>
        </is>
      </c>
      <c r="C27" s="143" t="n"/>
    </row>
    <row r="28" ht="15.75" customFormat="1" customHeight="1" s="143">
      <c r="B28" s="143" t="n"/>
      <c r="C28" s="143" t="n"/>
    </row>
    <row r="29" ht="15.75" customFormat="1" customHeight="1" s="143">
      <c r="B29" s="143" t="inlineStr">
        <is>
          <t>Проверил ______________________          А.В. Костянецкая</t>
        </is>
      </c>
      <c r="C29" s="143" t="n"/>
    </row>
    <row r="30" ht="15.75" customFormat="1" customHeight="1" s="143">
      <c r="B30" s="98" t="inlineStr">
        <is>
          <t xml:space="preserve">                        (подпись, инициалы, фамилия)</t>
        </is>
      </c>
      <c r="C30" s="143" t="n"/>
    </row>
    <row r="31" ht="15.75" customFormat="1" customHeight="1" s="143"/>
    <row r="32" ht="15.75" customFormat="1" customHeight="1" s="143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style="141" min="2" max="2"/>
    <col width="13" customWidth="1" style="141" min="3" max="3"/>
    <col width="22.85546875" customWidth="1" style="141" min="4" max="4"/>
    <col width="21.5703125" customWidth="1" style="141" min="5" max="5"/>
    <col width="43.85546875" customWidth="1" style="141" min="6" max="6"/>
  </cols>
  <sheetData>
    <row r="1" s="141"/>
    <row r="2" ht="17.25" customHeight="1" s="141">
      <c r="A2" s="162" t="inlineStr">
        <is>
          <t>Расчет размера средств на оплату труда рабочих-строителей в текущем уровне цен (ФОТр.тек.)</t>
        </is>
      </c>
    </row>
    <row r="3" s="141"/>
    <row r="4" ht="18" customHeight="1" s="141">
      <c r="A4" s="142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 s="141">
      <c r="A5" s="148" t="inlineStr">
        <is>
          <t>№ пп.</t>
        </is>
      </c>
      <c r="B5" s="148" t="inlineStr">
        <is>
          <t>Наименование элемента</t>
        </is>
      </c>
      <c r="C5" s="148" t="inlineStr">
        <is>
          <t>Обозначение</t>
        </is>
      </c>
      <c r="D5" s="148" t="inlineStr">
        <is>
          <t>Формула</t>
        </is>
      </c>
      <c r="E5" s="148" t="inlineStr">
        <is>
          <t>Величина элемента</t>
        </is>
      </c>
      <c r="F5" s="148" t="inlineStr">
        <is>
          <t>Наименования обосновывающих документов</t>
        </is>
      </c>
      <c r="G5" s="143" t="n"/>
    </row>
    <row r="6" ht="15.75" customHeight="1" s="141">
      <c r="A6" s="148" t="n">
        <v>1</v>
      </c>
      <c r="B6" s="148" t="n">
        <v>2</v>
      </c>
      <c r="C6" s="148" t="n">
        <v>3</v>
      </c>
      <c r="D6" s="148" t="n">
        <v>4</v>
      </c>
      <c r="E6" s="148" t="n">
        <v>5</v>
      </c>
      <c r="F6" s="148" t="n">
        <v>6</v>
      </c>
      <c r="G6" s="143" t="n"/>
    </row>
    <row r="7" ht="110.25" customHeight="1" s="141">
      <c r="A7" s="149" t="inlineStr">
        <is>
          <t>1.1</t>
        </is>
      </c>
      <c r="B7" s="1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1" t="inlineStr">
        <is>
          <t>С1ср</t>
        </is>
      </c>
      <c r="D7" s="151" t="inlineStr">
        <is>
          <t>-</t>
        </is>
      </c>
      <c r="E7" s="152" t="n">
        <v>47872.94</v>
      </c>
      <c r="F7" s="1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 s="141">
      <c r="A8" s="149" t="inlineStr">
        <is>
          <t>1.2</t>
        </is>
      </c>
      <c r="B8" s="150" t="inlineStr">
        <is>
          <t>Среднегодовое нормативное число часов работы одного рабочего в месяц, часы (ч.)</t>
        </is>
      </c>
      <c r="C8" s="151" t="inlineStr">
        <is>
          <t>tср</t>
        </is>
      </c>
      <c r="D8" s="151" t="inlineStr">
        <is>
          <t>1973ч/12мес.</t>
        </is>
      </c>
      <c r="E8" s="153">
        <f>1973/12</f>
        <v/>
      </c>
      <c r="F8" s="150" t="inlineStr">
        <is>
          <t>Производственный календарь 2023 год
(40-часов.неделя)</t>
        </is>
      </c>
      <c r="G8" s="145" t="n"/>
    </row>
    <row r="9" ht="15.75" customHeight="1" s="141">
      <c r="A9" s="149" t="inlineStr">
        <is>
          <t>1.3</t>
        </is>
      </c>
      <c r="B9" s="150" t="inlineStr">
        <is>
          <t>Коэффициент увеличения</t>
        </is>
      </c>
      <c r="C9" s="151" t="inlineStr">
        <is>
          <t>Кув</t>
        </is>
      </c>
      <c r="D9" s="151" t="inlineStr">
        <is>
          <t>-</t>
        </is>
      </c>
      <c r="E9" s="153" t="n">
        <v>1</v>
      </c>
      <c r="F9" s="150" t="n"/>
      <c r="G9" s="145" t="n"/>
    </row>
    <row r="10" ht="15.75" customHeight="1" s="141">
      <c r="A10" s="149" t="inlineStr">
        <is>
          <t>1.4</t>
        </is>
      </c>
      <c r="B10" s="150" t="inlineStr">
        <is>
          <t>Средний разряд работ</t>
        </is>
      </c>
      <c r="C10" s="151" t="n"/>
      <c r="D10" s="151" t="n"/>
      <c r="E10" s="203" t="n">
        <v>3</v>
      </c>
      <c r="F10" s="150" t="inlineStr">
        <is>
          <t>РТМ</t>
        </is>
      </c>
      <c r="G10" s="145" t="n"/>
    </row>
    <row r="11" ht="78.75" customHeight="1" s="141">
      <c r="A11" s="149" t="inlineStr">
        <is>
          <t>1.5</t>
        </is>
      </c>
      <c r="B11" s="150" t="inlineStr">
        <is>
          <t>Тарифный коэффициент среднего разряда работ</t>
        </is>
      </c>
      <c r="C11" s="151" t="inlineStr">
        <is>
          <t>КТ</t>
        </is>
      </c>
      <c r="D11" s="151" t="inlineStr">
        <is>
          <t>-</t>
        </is>
      </c>
      <c r="E11" s="204" t="n">
        <v>1.19</v>
      </c>
      <c r="F11" s="1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 s="141">
      <c r="A12" s="149" t="inlineStr">
        <is>
          <t>1.6</t>
        </is>
      </c>
      <c r="B12" s="156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205" t="n">
        <v>1.139</v>
      </c>
      <c r="F12" s="1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45" t="n"/>
    </row>
    <row r="13" ht="63" customHeight="1" s="141">
      <c r="A13" s="149" t="inlineStr">
        <is>
          <t>1.7</t>
        </is>
      </c>
      <c r="B13" s="159" t="inlineStr">
        <is>
          <t>Размер средств на оплату труда рабочих-строителей в текущем уровне цен (ФОТр.тек.), руб/чел.-ч</t>
        </is>
      </c>
      <c r="C13" s="151" t="inlineStr">
        <is>
          <t>ФОТр.тек.</t>
        </is>
      </c>
      <c r="D13" s="151" t="inlineStr">
        <is>
          <t>(С1ср/tср*КТ*Т*Кув)*Кинф</t>
        </is>
      </c>
      <c r="E13" s="160">
        <f>((E7*E9/E8)*E11)*E12</f>
        <v/>
      </c>
      <c r="F13" s="1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2023-08-25T11:34:37Z</dcterms:created>
  <dcterms:modified xsi:type="dcterms:W3CDTF">2025-01-24T12:00:00Z</dcterms:modified>
  <cp:lastModifiedBy>Nikolay Ivanov</cp:lastModifiedBy>
  <cp:lastPrinted>2023-11-30T09:13:08Z</cp:lastPrinted>
</cp:coreProperties>
</file>