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стоим'!$A$1:$J$45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7">'Прил. 10'!$A$1:$D$30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5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5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65" fontId="1" fillId="0" borderId="1" pivotButton="0" quotePrefix="0" xfId="0"/>
    <xf numFmtId="49" fontId="1" fillId="0" borderId="1" pivotButton="0" quotePrefix="0" xfId="0"/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5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4" fontId="0" fillId="0" borderId="8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 wrapText="1"/>
    </xf>
    <xf numFmtId="168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wrapText="1"/>
    </xf>
    <xf numFmtId="0" fontId="5" fillId="0" borderId="8" applyAlignment="1" pivotButton="0" quotePrefix="0" xfId="0">
      <alignment vertical="center" wrapText="1"/>
    </xf>
    <xf numFmtId="4" fontId="5" fillId="0" borderId="8" applyAlignment="1" pivotButton="0" quotePrefix="0" xfId="0">
      <alignment horizontal="center" vertical="center"/>
    </xf>
    <xf numFmtId="10" fontId="1" fillId="0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3" fillId="0" borderId="8" applyAlignment="1" pivotButton="0" quotePrefix="0" xfId="0">
      <alignment horizontal="right" vertical="center"/>
    </xf>
    <xf numFmtId="0" fontId="5" fillId="0" borderId="8" applyAlignment="1" pivotButton="0" quotePrefix="0" xfId="0">
      <alignment horizontal="center" vertical="center"/>
    </xf>
    <xf numFmtId="0" fontId="3" fillId="0" borderId="8" applyAlignment="1" pivotButton="0" quotePrefix="0" xfId="0">
      <alignment horizontal="justify" vertical="center"/>
    </xf>
    <xf numFmtId="0" fontId="1" fillId="0" borderId="8" pivotButton="0" quotePrefix="0" xfId="0"/>
    <xf numFmtId="0" fontId="1" fillId="0" borderId="8" applyAlignment="1" pivotButton="0" quotePrefix="0" xfId="0">
      <alignment horizontal="justify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43" fontId="5" fillId="0" borderId="0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32"/>
  <sheetViews>
    <sheetView view="pageBreakPreview" topLeftCell="C20" zoomScale="85" zoomScaleNormal="75" zoomScaleSheetLayoutView="85" workbookViewId="0">
      <selection activeCell="C28" sqref="C28"/>
    </sheetView>
  </sheetViews>
  <sheetFormatPr baseColWidth="8" defaultRowHeight="15.75"/>
  <cols>
    <col width="6.7109375" customWidth="1" style="139" min="1" max="1"/>
    <col width="31.7109375" customWidth="1" style="139" min="2" max="2"/>
    <col width="57.140625" customWidth="1" style="139" min="3" max="3"/>
    <col width="50.5703125" customWidth="1" style="139" min="4" max="4"/>
    <col width="32.5703125" customWidth="1" style="139" min="5" max="5"/>
    <col width="36.85546875" customWidth="1" style="139" min="6" max="6"/>
  </cols>
  <sheetData>
    <row r="1" customFormat="1" s="139">
      <c r="B1" s="144" t="inlineStr">
        <is>
          <t>Приложение № 1</t>
        </is>
      </c>
    </row>
    <row r="2" customFormat="1" s="139">
      <c r="B2" s="145" t="inlineStr">
        <is>
          <t>Сравнительная таблица отбора объекта-представителя</t>
        </is>
      </c>
    </row>
    <row r="3" customFormat="1" s="139">
      <c r="B3" s="98" t="n"/>
      <c r="C3" s="98" t="n"/>
      <c r="D3" s="98" t="n"/>
      <c r="E3" s="98" t="n"/>
      <c r="F3" s="98" t="n"/>
    </row>
    <row r="4" customFormat="1" s="139">
      <c r="B4" s="98" t="n"/>
      <c r="C4" s="98" t="n"/>
      <c r="D4" s="98" t="n"/>
      <c r="E4" s="98" t="n"/>
      <c r="F4" s="98" t="n"/>
    </row>
    <row r="5" customFormat="1" s="139">
      <c r="B5" s="146" t="inlineStr">
        <is>
          <t>Наименование разрабатываемого показателя УНЦ — Аварийные маслостоки</t>
        </is>
      </c>
    </row>
    <row r="6" ht="31.7" customFormat="1" customHeight="1" s="139">
      <c r="B6" s="146" t="inlineStr">
        <is>
          <t>Сопоставимый уровень цен: базовый уровень цен</t>
        </is>
      </c>
    </row>
    <row r="7" customFormat="1" s="139">
      <c r="B7" s="146" t="inlineStr">
        <is>
          <t>Единица измерения  — м</t>
        </is>
      </c>
    </row>
    <row r="10" ht="16.5" customHeight="1" s="137"/>
    <row r="11" ht="32.25" customHeight="1" s="137">
      <c r="A11" s="162" t="inlineStr">
        <is>
          <t>№ п/п</t>
        </is>
      </c>
      <c r="B11" s="162" t="inlineStr">
        <is>
          <t>Параметр</t>
        </is>
      </c>
      <c r="C11" s="162" t="inlineStr">
        <is>
          <t>Объект-представитель 1</t>
        </is>
      </c>
      <c r="D11" s="162" t="inlineStr">
        <is>
          <t>Объект-представитель 2</t>
        </is>
      </c>
      <c r="E11" s="162" t="inlineStr">
        <is>
          <t>Объект-представитель 3</t>
        </is>
      </c>
      <c r="F11" s="162" t="inlineStr">
        <is>
          <t>Объект-представитель 4</t>
        </is>
      </c>
    </row>
    <row r="12" ht="179.45" customHeight="1" s="137">
      <c r="A12" s="162" t="n">
        <v>1</v>
      </c>
      <c r="B12" s="133" t="inlineStr">
        <is>
          <t>Наименование объекта-представителя</t>
        </is>
      </c>
      <c r="C12" s="162" t="inlineStr">
        <is>
          <t>Подстанция «Верещагинская» (110 кВ) с заходами линий электропередачи</t>
        </is>
      </c>
      <c r="D12" s="162" t="inlineStr">
        <is>
          <t>Строительство ПС 110 кВ Имени Сморгунова и питающей двухцепной отпайки от ВЛ 110 кВ Левобережная – Центр С-217/С-218</t>
        </is>
      </c>
      <c r="E12" s="162" t="inlineStr">
        <is>
          <t>Реконструкция ПС 35/10 кВ «Калинино». Замена трансформаторов 2х10МВА на 2х16МВА</t>
        </is>
      </c>
      <c r="F12" s="162" t="inlineStr">
        <is>
          <t>Реконструкция ПС 110/6 кВ "Пасечная" с заменой трансформаторов</t>
        </is>
      </c>
    </row>
    <row r="13" ht="69" customHeight="1" s="137">
      <c r="A13" s="162" t="n">
        <v>2</v>
      </c>
      <c r="B13" s="133" t="inlineStr">
        <is>
          <t>Наименование субъекта Российской Федерации</t>
        </is>
      </c>
      <c r="C13" s="162" t="inlineStr">
        <is>
          <t>Краснодарский край, г. Сочи</t>
        </is>
      </c>
      <c r="D13" s="162" t="inlineStr">
        <is>
          <t>Красноярский край, Емельяновский район, п. Солонцы, пр-кт Котельникова, участок 14Д</t>
        </is>
      </c>
      <c r="E13" s="162" t="inlineStr">
        <is>
          <t>Краснодарский край, г. Краснодар</t>
        </is>
      </c>
      <c r="F13" s="162" t="inlineStr">
        <is>
          <t>г.Сочи</t>
        </is>
      </c>
    </row>
    <row r="14" ht="32.25" customHeight="1" s="137">
      <c r="A14" s="162" t="n">
        <v>3</v>
      </c>
      <c r="B14" s="133" t="inlineStr">
        <is>
          <t>Климатический район и подрайон</t>
        </is>
      </c>
      <c r="C14" s="162" t="inlineStr">
        <is>
          <t>IIIБ</t>
        </is>
      </c>
      <c r="D14" s="162" t="inlineStr">
        <is>
          <t>IВ</t>
        </is>
      </c>
      <c r="E14" s="162" t="inlineStr">
        <is>
          <t>IIIБ</t>
        </is>
      </c>
      <c r="F14" s="162" t="inlineStr">
        <is>
          <t>IIIБ</t>
        </is>
      </c>
    </row>
    <row r="15" ht="102.75" customHeight="1" s="137">
      <c r="A15" s="162" t="n">
        <v>4</v>
      </c>
      <c r="B15" s="133" t="inlineStr">
        <is>
          <t>Мощность объекта</t>
        </is>
      </c>
      <c r="C15" s="162" t="n">
        <v>31.6</v>
      </c>
      <c r="D15" s="162" t="n">
        <v>69.45</v>
      </c>
      <c r="E15" s="162" t="n">
        <v>31.68</v>
      </c>
      <c r="F15" s="162" t="n">
        <v>72</v>
      </c>
    </row>
    <row r="16" ht="409.5" customHeight="1" s="137">
      <c r="A16" s="162" t="n">
        <v>5</v>
      </c>
      <c r="B16" s="1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33" t="inlineStr">
        <is>
          <t>Маслостоки
Трубопровод из асбестоцементных напорных труб, ВТ6 250х3950 тип 1 – 31,60м
Маслостоки
- Трубопровод из асбестоцементных напорных труб, ВТ6 250х3950 тип 1 – 31,60м
- Стальная труба-футляр L=250мм, диаметр 325х6 – 12 штук
Колодцы - сборные железобетонные элементы по серии 3.900.1-14 в.1:
МК-1=ПН10+К06+КС7.3+(люк)Т+ кирпичная кладка (3 ряда)
МК-2 =ПН10 +К06 +2хКС7.3 +(люк)Т+ кирпичная кладка (1 ряд)
МК-3= ПН10+К06+КС7.3+(люк)Т+ кирпичная кладка (2 ряда)
МК-4= ПН10 +К06 +2хКС7.3 +(люк)Т+ кирпичная кладка (1 ряд)
- Кладка стен приямков и каналов (ряды кирпичные вокруг колодца) – 0,91 м3;
- Люки чугунные тяжелые – 4 шт;
- Устройство круглых сборных железобетонных канализационных колодцев диаметром 0,7 м – 1,6 м3;
- Трубы асбестоцементные напорные ВТ6 х 300 тип 1 – 31,60 м;
- Стальная труба-футляр L=250мм, диаметр 325х6 – 3 м (12 шт)  Общий объем бетона на ж/б колодцы – 1,6 м3</t>
        </is>
      </c>
      <c r="D16" s="133" t="inlineStr">
        <is>
          <t>Труба асбестоцементная безнапорная БНТ200 – 69,45 м
Асбестоцементная муфта – 17 шт.
Колодцы - сборные железобетонные элементы по серии 3.900.1-14
МК-1= ПН10 +К06 +КС10.9+ПП10-1+2хКС7.3 +(люк)Т+ стремянка
МК-2= ПН10 +К06 +КС10.9+ПП10-1+КС7.3 +(люк)Т+ стремянка+ кирпичная кладка (3 ряда)
МК-3= ПН10 +К06 +КС10.9+ПП10-1+2хКС7.3 +(люк)Т+ стремянка
Люки чугунные тяжелые – 3 шт;
Устройство круглых сборных железобетонных канализационных колодцев диаметром 1 м – 1,87 м3
Труба асбестоцементная безнапорная БНТ200 – 69,45 м
Асбестоцементная муфта – 17 шт.</t>
        </is>
      </c>
      <c r="E16" s="133" t="inlineStr">
        <is>
          <t>Колодцы - сборные железобетонные элементы по серии 3.900.1-14
МК-1= ПН10 +ПП10-2+К06 +КС7.3 +(люк)Т
МК-2= ПН10 +ПП10-2+К06 +КС7.3 +(люк)Т</t>
        </is>
      </c>
      <c r="F16" s="133" t="inlineStr">
        <is>
          <t>Сеть маслотоков принята из хризотилцементных напорных труб диаметром 250мм</t>
        </is>
      </c>
    </row>
    <row r="17" ht="135.75" customHeight="1" s="137">
      <c r="A17" s="162" t="n">
        <v>6</v>
      </c>
      <c r="B17" s="1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62" t="inlineStr">
        <is>
          <t>14,367/75,57 ТЕР 4 квартал 2011 г.</t>
        </is>
      </c>
      <c r="D17" s="162" t="inlineStr">
        <is>
          <t>22,33/125,72 ТЕР 3 квартал 2015 г.</t>
        </is>
      </c>
      <c r="E17" s="162" t="inlineStr">
        <is>
          <t>14,62/93,13 ТЕР 1 квартал 2017 г.</t>
        </is>
      </c>
      <c r="F17" s="162" t="inlineStr">
        <is>
          <t>32,16/312,83 1 квартал 2021 г.</t>
        </is>
      </c>
    </row>
    <row r="18" ht="32.25" customHeight="1" s="137">
      <c r="A18" s="134" t="inlineStr">
        <is>
          <t>6.1</t>
        </is>
      </c>
      <c r="B18" s="133" t="inlineStr">
        <is>
          <t>строительно-монтажные работы</t>
        </is>
      </c>
      <c r="C18" s="162" t="inlineStr">
        <is>
          <t>14,367/75,57</t>
        </is>
      </c>
      <c r="D18" s="162" t="inlineStr">
        <is>
          <t>22,33/125,72</t>
        </is>
      </c>
      <c r="E18" s="162" t="inlineStr">
        <is>
          <t>14,62/93,13</t>
        </is>
      </c>
      <c r="F18" s="162" t="inlineStr">
        <is>
          <t>32,16/312,83</t>
        </is>
      </c>
    </row>
    <row r="19" ht="16.5" customHeight="1" s="137">
      <c r="A19" s="134" t="inlineStr">
        <is>
          <t>6.2</t>
        </is>
      </c>
      <c r="B19" s="133" t="inlineStr">
        <is>
          <t>оборудование и инвентарь</t>
        </is>
      </c>
      <c r="C19" s="162" t="n"/>
      <c r="D19" s="162" t="n"/>
      <c r="E19" s="162" t="n"/>
      <c r="F19" s="162" t="n"/>
    </row>
    <row r="20" ht="16.5" customHeight="1" s="137">
      <c r="A20" s="134" t="inlineStr">
        <is>
          <t>6.3</t>
        </is>
      </c>
      <c r="B20" s="133" t="inlineStr">
        <is>
          <t>пусконаладочные работы</t>
        </is>
      </c>
      <c r="C20" s="162" t="n"/>
      <c r="D20" s="162" t="n"/>
      <c r="E20" s="162" t="n"/>
      <c r="F20" s="162" t="n"/>
    </row>
    <row r="21" ht="32.25" customHeight="1" s="137">
      <c r="A21" s="134" t="inlineStr">
        <is>
          <t>6.4</t>
        </is>
      </c>
      <c r="B21" s="133" t="inlineStr">
        <is>
          <t>прочие и лимитированные затраты</t>
        </is>
      </c>
      <c r="C21" s="162" t="n"/>
      <c r="D21" s="162" t="n"/>
      <c r="E21" s="162" t="n"/>
      <c r="F21" s="162" t="n"/>
    </row>
    <row r="22" ht="16.5" customHeight="1" s="137">
      <c r="A22" s="135" t="n">
        <v>7</v>
      </c>
      <c r="B22" s="133" t="inlineStr">
        <is>
          <t>Сопоставимый уровень цен</t>
        </is>
      </c>
      <c r="C22" s="162" t="inlineStr">
        <is>
          <t>1 квартал 2021 г.</t>
        </is>
      </c>
      <c r="D22" s="162" t="inlineStr">
        <is>
          <t>1 квартал 2021 г.</t>
        </is>
      </c>
      <c r="E22" s="162" t="inlineStr">
        <is>
          <t>1 квартал 2021 г.</t>
        </is>
      </c>
      <c r="F22" s="162" t="inlineStr">
        <is>
          <t>1 квартал 2021 г.</t>
        </is>
      </c>
    </row>
    <row r="23" ht="119.25" customHeight="1" s="137">
      <c r="A23" s="135" t="n">
        <v>8</v>
      </c>
      <c r="B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36" t="n">
        <v>135.11176103226</v>
      </c>
      <c r="D23" s="136" t="n">
        <v>176.15977491383</v>
      </c>
      <c r="E23" s="136" t="n">
        <v>118.56036750575</v>
      </c>
      <c r="F23" s="136" t="n">
        <v>312.83</v>
      </c>
    </row>
    <row r="24" ht="63.75" customHeight="1" s="137">
      <c r="A24" s="135" t="n">
        <v>9</v>
      </c>
      <c r="B24" s="133" t="inlineStr">
        <is>
          <t>Приведенная сметная стоимость на единицу мощности, тыс. руб. (строка 8/строку 4)</t>
        </is>
      </c>
      <c r="C24" s="136" t="n">
        <v>4.2756886402614</v>
      </c>
      <c r="D24" s="136" t="n">
        <v>2.536497838932</v>
      </c>
      <c r="E24" s="136" t="n">
        <v>3.7424358429845</v>
      </c>
      <c r="F24" s="136" t="n">
        <v>4.3448611111111</v>
      </c>
    </row>
    <row r="25" ht="63.75" customHeight="1" s="137">
      <c r="A25" s="135" t="n">
        <v>10</v>
      </c>
      <c r="B25" s="133" t="inlineStr">
        <is>
          <t>Примечание</t>
        </is>
      </c>
      <c r="C25" s="133" t="n"/>
      <c r="D25" s="162" t="inlineStr">
        <is>
          <t>Раздел сметной документации включает в себя иные системы трубопроводов, кроме аварийных маслостоков</t>
        </is>
      </c>
      <c r="E25" s="162" t="inlineStr">
        <is>
          <t xml:space="preserve">Выбран объектом представителем. Сопоставим с объектом 1 Наличие сметной документации в редактируемом формате </t>
        </is>
      </c>
      <c r="F25" s="162" t="n"/>
    </row>
    <row r="28" customFormat="1" s="139">
      <c r="C28" s="139" t="inlineStr">
        <is>
          <t>Составил ______________________         М.С. Колотиевская</t>
        </is>
      </c>
    </row>
    <row r="29" customFormat="1" s="139">
      <c r="C29" s="96" t="inlineStr">
        <is>
          <t xml:space="preserve">                         (подпись, инициалы, фамилия)</t>
        </is>
      </c>
    </row>
    <row r="30" customFormat="1" s="139"/>
    <row r="31" s="137">
      <c r="B31" s="139" t="n"/>
      <c r="C31" s="139" t="inlineStr">
        <is>
          <t>Проверил ______________________          А.В. Костянецкая</t>
        </is>
      </c>
      <c r="D31" s="139" t="n"/>
      <c r="E31" s="139" t="n"/>
      <c r="F31" s="139" t="n"/>
    </row>
    <row r="32" s="137">
      <c r="B32" s="139" t="n"/>
      <c r="C32" s="96" t="inlineStr">
        <is>
          <t xml:space="preserve">                        (подпись, инициалы, фамилия)</t>
        </is>
      </c>
      <c r="D32" s="139" t="n"/>
      <c r="E32" s="139" t="n"/>
      <c r="F32" s="139" t="n"/>
    </row>
  </sheetData>
  <mergeCells count="5">
    <mergeCell ref="B7:F7"/>
    <mergeCell ref="B6:F6"/>
    <mergeCell ref="B2:F2"/>
    <mergeCell ref="B5:F5"/>
    <mergeCell ref="B1:F1"/>
  </mergeCells>
  <pageMargins left="0.7" right="0.7" top="0.75" bottom="0.75" header="0.3" footer="0.3"/>
  <pageSetup orientation="portrait" paperSize="9" scale="40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6"/>
  <sheetViews>
    <sheetView view="pageBreakPreview" topLeftCell="A22" zoomScaleNormal="85" workbookViewId="0">
      <selection activeCell="C41" sqref="C41"/>
    </sheetView>
  </sheetViews>
  <sheetFormatPr baseColWidth="8" defaultColWidth="9.140625" defaultRowHeight="15"/>
  <cols>
    <col width="5.5703125" customWidth="1" style="137" min="1" max="1"/>
    <col width="9.140625" customWidth="1" style="137" min="2" max="2"/>
    <col width="28.140625" customWidth="1" style="137" min="3" max="3"/>
    <col width="13.85546875" customWidth="1" style="137" min="4" max="4"/>
    <col width="39" customWidth="1" style="137" min="5" max="5"/>
    <col width="14.5703125" customWidth="1" style="137" min="6" max="6"/>
    <col width="21.42578125" customWidth="1" style="137" min="7" max="7"/>
    <col width="19.5703125" customWidth="1" style="137" min="8" max="8"/>
    <col width="13" customWidth="1" style="137" min="9" max="9"/>
    <col width="20.85546875" customWidth="1" style="137" min="10" max="10"/>
    <col width="18" customWidth="1" style="137" min="11" max="11"/>
    <col width="9.140625" customWidth="1" style="137" min="12" max="12"/>
  </cols>
  <sheetData>
    <row r="3" ht="15.75" customHeight="1" s="137">
      <c r="B3" s="144" t="inlineStr">
        <is>
          <t>Приложение № 2</t>
        </is>
      </c>
    </row>
    <row r="4" ht="15.75" customHeight="1" s="137">
      <c r="B4" s="145" t="inlineStr">
        <is>
          <t>Расчет стоимости основных видов работ для выбора объекта-представителя</t>
        </is>
      </c>
    </row>
    <row r="5" ht="15.75" customHeight="1" s="137">
      <c r="B5" s="98" t="n"/>
      <c r="C5" s="98" t="n"/>
      <c r="D5" s="98" t="n"/>
      <c r="E5" s="98" t="n"/>
      <c r="F5" s="98" t="n"/>
      <c r="G5" s="98" t="n"/>
      <c r="H5" s="98" t="n"/>
      <c r="I5" s="98" t="n"/>
      <c r="J5" s="98" t="n"/>
      <c r="K5" s="98" t="n"/>
    </row>
    <row r="6" ht="15.75" customHeight="1" s="137">
      <c r="B6" s="146">
        <f>'Прил.1 Сравнит табл'!B5:F5</f>
        <v/>
      </c>
      <c r="L6" s="100" t="n"/>
    </row>
    <row r="7" ht="15.75" customHeight="1" s="137">
      <c r="B7" s="156">
        <f>'Прил.1 Сравнит табл'!B7:F7</f>
        <v/>
      </c>
      <c r="L7" s="100" t="n"/>
    </row>
    <row r="8" ht="18.75" customHeight="1" s="137">
      <c r="B8" s="101" t="n"/>
      <c r="K8" s="102" t="n"/>
    </row>
    <row r="9" ht="15.75" customFormat="1" customHeight="1" s="139">
      <c r="B9" s="162" t="inlineStr">
        <is>
          <t>№ п/п</t>
        </is>
      </c>
      <c r="C9" s="1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2" t="inlineStr">
        <is>
          <t>Подстанция «Верещагинская» (110 кВ) с заходами линий электропередачи</t>
        </is>
      </c>
      <c r="E9" s="200" t="n"/>
      <c r="F9" s="200" t="n"/>
      <c r="G9" s="200" t="n"/>
      <c r="H9" s="200" t="n"/>
      <c r="I9" s="200" t="n"/>
      <c r="J9" s="201" t="n"/>
    </row>
    <row r="10" ht="15.75" customFormat="1" customHeight="1" s="139">
      <c r="B10" s="202" t="n"/>
      <c r="C10" s="202" t="n"/>
      <c r="D10" s="162" t="inlineStr">
        <is>
          <t>Номер сметы</t>
        </is>
      </c>
      <c r="E10" s="162" t="inlineStr">
        <is>
          <t>Наименование сметы</t>
        </is>
      </c>
      <c r="F10" s="162" t="inlineStr">
        <is>
          <t>Сметная стоимость в уровне цен 4 квартал 2011 г., тыс. руб.</t>
        </is>
      </c>
      <c r="G10" s="200" t="n"/>
      <c r="H10" s="200" t="n"/>
      <c r="I10" s="200" t="n"/>
      <c r="J10" s="201" t="n"/>
    </row>
    <row r="11" ht="31.7" customFormat="1" customHeight="1" s="139">
      <c r="B11" s="203" t="n"/>
      <c r="C11" s="203" t="n"/>
      <c r="D11" s="203" t="n"/>
      <c r="E11" s="203" t="n"/>
      <c r="F11" s="162" t="inlineStr">
        <is>
          <t>Строительные работы</t>
        </is>
      </c>
      <c r="G11" s="162" t="inlineStr">
        <is>
          <t>Монтажные работы</t>
        </is>
      </c>
      <c r="H11" s="162" t="inlineStr">
        <is>
          <t>Оборудование</t>
        </is>
      </c>
      <c r="I11" s="162" t="inlineStr">
        <is>
          <t>Прочее</t>
        </is>
      </c>
      <c r="J11" s="162" t="inlineStr">
        <is>
          <t>Всего</t>
        </is>
      </c>
    </row>
    <row r="12" ht="15.75" customFormat="1" customHeight="1" s="139">
      <c r="B12" s="162" t="n">
        <v>1</v>
      </c>
      <c r="C12" s="174" t="n"/>
      <c r="D12" s="108" t="inlineStr">
        <is>
          <t>06-06-02</t>
        </is>
      </c>
      <c r="E12" s="173" t="inlineStr">
        <is>
          <t>Аварийные маслостоки</t>
        </is>
      </c>
      <c r="F12" s="176" t="n">
        <v>75.56999999999999</v>
      </c>
      <c r="G12" s="103" t="n"/>
      <c r="H12" s="103" t="n"/>
      <c r="I12" s="175" t="n"/>
      <c r="J12" s="176" t="n">
        <v>75.56999999999999</v>
      </c>
    </row>
    <row r="13" ht="15.75" customFormat="1" customHeight="1" s="139">
      <c r="B13" s="204" t="inlineStr">
        <is>
          <t>Всего по объекту:</t>
        </is>
      </c>
      <c r="C13" s="200" t="n"/>
      <c r="D13" s="200" t="n"/>
      <c r="E13" s="201" t="n"/>
      <c r="F13" s="107" t="n">
        <v>75.56999999999999</v>
      </c>
      <c r="G13" s="107" t="n">
        <v>0</v>
      </c>
      <c r="H13" s="107" t="n">
        <v>0</v>
      </c>
      <c r="I13" s="107" t="n">
        <v>0</v>
      </c>
      <c r="J13" s="107" t="n">
        <v>75.56999999999999</v>
      </c>
    </row>
    <row r="14" ht="15.75" customFormat="1" customHeight="1" s="139">
      <c r="B14" s="204" t="inlineStr">
        <is>
          <t>Всего по объекту в сопоставимом уровне цен 1 кв. 2021г:</t>
        </is>
      </c>
      <c r="C14" s="200" t="n"/>
      <c r="D14" s="200" t="n"/>
      <c r="E14" s="201" t="n"/>
      <c r="F14" s="205" t="n">
        <v>135.11176103226</v>
      </c>
      <c r="G14" s="205" t="n">
        <v>0</v>
      </c>
      <c r="H14" s="205" t="n">
        <v>0</v>
      </c>
      <c r="I14" s="205" t="n">
        <v>0</v>
      </c>
      <c r="J14" s="205" t="n">
        <v>135.11176103226</v>
      </c>
    </row>
    <row r="15" ht="15.75" customFormat="1" customHeight="1" s="139">
      <c r="B15" s="146" t="n"/>
      <c r="C15" s="139" t="n"/>
      <c r="D15" s="139" t="n"/>
      <c r="E15" s="139" t="n"/>
      <c r="F15" s="139" t="n"/>
      <c r="G15" s="139" t="n"/>
      <c r="H15" s="139" t="n"/>
      <c r="I15" s="139" t="n"/>
      <c r="J15" s="139" t="n"/>
    </row>
    <row r="16" ht="15.75" customFormat="1" customHeight="1" s="139">
      <c r="B16" s="146" t="n"/>
      <c r="C16" s="139" t="n"/>
      <c r="D16" s="139" t="n"/>
      <c r="E16" s="139" t="n"/>
      <c r="F16" s="139" t="n"/>
      <c r="G16" s="139" t="n"/>
      <c r="H16" s="139" t="n"/>
      <c r="I16" s="139" t="n"/>
      <c r="J16" s="139" t="n"/>
      <c r="K16" s="106" t="n"/>
    </row>
    <row r="17" ht="25.5" customFormat="1" customHeight="1" s="139">
      <c r="B17" s="162" t="inlineStr">
        <is>
          <t>№ п/п</t>
        </is>
      </c>
      <c r="C17" s="1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62" t="inlineStr">
        <is>
          <t>Строительство ПС 110 кВ Имени Сморгунова и питающей двухцепной отпайки от ВЛ 110 кВ Левобережная – Центр С-217/С-218</t>
        </is>
      </c>
      <c r="E17" s="200" t="n"/>
      <c r="F17" s="200" t="n"/>
      <c r="G17" s="200" t="n"/>
      <c r="H17" s="200" t="n"/>
      <c r="I17" s="200" t="n"/>
      <c r="J17" s="201" t="n"/>
    </row>
    <row r="18" ht="15.75" customFormat="1" customHeight="1" s="139">
      <c r="B18" s="202" t="n"/>
      <c r="C18" s="202" t="n"/>
      <c r="D18" s="162" t="inlineStr">
        <is>
          <t>Номер сметы</t>
        </is>
      </c>
      <c r="E18" s="162" t="inlineStr">
        <is>
          <t>Наименование сметы</t>
        </is>
      </c>
      <c r="F18" s="162" t="inlineStr">
        <is>
          <t>Сметная стоимость в уровне цен 3 кв. 2015г., тыс. руб.</t>
        </is>
      </c>
      <c r="G18" s="200" t="n"/>
      <c r="H18" s="200" t="n"/>
      <c r="I18" s="200" t="n"/>
      <c r="J18" s="201" t="n"/>
    </row>
    <row r="19" ht="45" customFormat="1" customHeight="1" s="139">
      <c r="B19" s="203" t="n"/>
      <c r="C19" s="203" t="n"/>
      <c r="D19" s="203" t="n"/>
      <c r="E19" s="203" t="n"/>
      <c r="F19" s="162" t="inlineStr">
        <is>
          <t>Строительные работы</t>
        </is>
      </c>
      <c r="G19" s="162" t="inlineStr">
        <is>
          <t>Монтажные работы</t>
        </is>
      </c>
      <c r="H19" s="162" t="inlineStr">
        <is>
          <t>Оборудование</t>
        </is>
      </c>
      <c r="I19" s="162" t="inlineStr">
        <is>
          <t>Прочее</t>
        </is>
      </c>
      <c r="J19" s="162" t="inlineStr">
        <is>
          <t>Всего</t>
        </is>
      </c>
    </row>
    <row r="20" ht="15.75" customFormat="1" customHeight="1" s="139">
      <c r="B20" s="162" t="n">
        <v>1</v>
      </c>
      <c r="C20" s="174" t="n"/>
      <c r="D20" s="108" t="inlineStr">
        <is>
          <t>06-01-01</t>
        </is>
      </c>
      <c r="E20" s="173" t="inlineStr">
        <is>
          <t xml:space="preserve">Маслостоки </t>
        </is>
      </c>
      <c r="F20" s="176" t="n">
        <v>125.72</v>
      </c>
      <c r="G20" s="103" t="n"/>
      <c r="H20" s="103" t="n"/>
      <c r="I20" s="175" t="n"/>
      <c r="J20" s="176" t="n">
        <v>125.72</v>
      </c>
    </row>
    <row r="21" ht="15.75" customFormat="1" customHeight="1" s="139">
      <c r="B21" s="204" t="inlineStr">
        <is>
          <t>Всего по объекту:</t>
        </is>
      </c>
      <c r="C21" s="200" t="n"/>
      <c r="D21" s="200" t="n"/>
      <c r="E21" s="201" t="n"/>
      <c r="F21" s="107" t="n">
        <v>125.72</v>
      </c>
      <c r="G21" s="107" t="n">
        <v>0</v>
      </c>
      <c r="H21" s="107" t="n">
        <v>0</v>
      </c>
      <c r="I21" s="107" t="n">
        <v>0</v>
      </c>
      <c r="J21" s="107" t="n">
        <v>125.72</v>
      </c>
    </row>
    <row r="22" ht="15.75" customFormat="1" customHeight="1" s="139">
      <c r="B22" s="204" t="inlineStr">
        <is>
          <t>Всего по объекту в сопоставимом уровне цен 1 кв. 2021г:</t>
        </is>
      </c>
      <c r="C22" s="200" t="n"/>
      <c r="D22" s="200" t="n"/>
      <c r="E22" s="201" t="n"/>
      <c r="F22" s="205" t="n">
        <v>176.15977491383</v>
      </c>
      <c r="G22" s="205" t="n">
        <v>0</v>
      </c>
      <c r="H22" s="205" t="n">
        <v>0</v>
      </c>
      <c r="I22" s="205" t="n">
        <v>0</v>
      </c>
      <c r="J22" s="205" t="n">
        <v>176.15977491383</v>
      </c>
    </row>
    <row r="23" ht="15.75" customFormat="1" customHeight="1" s="139">
      <c r="B23" s="146" t="n"/>
      <c r="C23" s="139" t="n"/>
      <c r="D23" s="139" t="n"/>
      <c r="E23" s="139" t="n"/>
      <c r="F23" s="139" t="n"/>
      <c r="G23" s="139" t="n"/>
      <c r="H23" s="139" t="n"/>
      <c r="I23" s="139" t="n"/>
      <c r="J23" s="139" t="n"/>
    </row>
    <row r="24" ht="15.75" customFormat="1" customHeight="1" s="139">
      <c r="B24" s="146" t="n"/>
      <c r="C24" s="139" t="n"/>
      <c r="D24" s="139" t="n"/>
      <c r="E24" s="139" t="n"/>
      <c r="F24" s="139" t="n"/>
      <c r="G24" s="139" t="n"/>
      <c r="H24" s="139" t="n"/>
      <c r="I24" s="139" t="n"/>
      <c r="J24" s="139" t="n"/>
      <c r="K24" s="106" t="n"/>
    </row>
    <row r="25" ht="15.75" customFormat="1" customHeight="1" s="139">
      <c r="B25" s="162" t="inlineStr">
        <is>
          <t>№ п/п</t>
        </is>
      </c>
      <c r="C25" s="1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5" s="162" t="inlineStr">
        <is>
          <t>Реконструкция ПС 35/10 кВ «Калинино». Замена трансформаторов 2х10МВА на 2х16МВА</t>
        </is>
      </c>
      <c r="E25" s="200" t="n"/>
      <c r="F25" s="200" t="n"/>
      <c r="G25" s="200" t="n"/>
      <c r="H25" s="200" t="n"/>
      <c r="I25" s="200" t="n"/>
      <c r="J25" s="201" t="n"/>
    </row>
    <row r="26" ht="15.75" customFormat="1" customHeight="1" s="139">
      <c r="B26" s="202" t="n"/>
      <c r="C26" s="202" t="n"/>
      <c r="D26" s="162" t="inlineStr">
        <is>
          <t>Номер сметы</t>
        </is>
      </c>
      <c r="E26" s="162" t="inlineStr">
        <is>
          <t>Наименование сметы</t>
        </is>
      </c>
      <c r="F26" s="162" t="inlineStr">
        <is>
          <t>Сметная стоимость в уровне цен 1 кв. 2017г., тыс. руб.</t>
        </is>
      </c>
      <c r="G26" s="200" t="n"/>
      <c r="H26" s="200" t="n"/>
      <c r="I26" s="200" t="n"/>
      <c r="J26" s="201" t="n"/>
    </row>
    <row r="27" ht="31.7" customFormat="1" customHeight="1" s="139">
      <c r="B27" s="203" t="n"/>
      <c r="C27" s="203" t="n"/>
      <c r="D27" s="203" t="n"/>
      <c r="E27" s="203" t="n"/>
      <c r="F27" s="162" t="inlineStr">
        <is>
          <t>Строительные работы</t>
        </is>
      </c>
      <c r="G27" s="162" t="inlineStr">
        <is>
          <t>Монтажные работы</t>
        </is>
      </c>
      <c r="H27" s="162" t="inlineStr">
        <is>
          <t>Оборудование</t>
        </is>
      </c>
      <c r="I27" s="162" t="inlineStr">
        <is>
          <t>Прочее</t>
        </is>
      </c>
      <c r="J27" s="162" t="inlineStr">
        <is>
          <t>Всего</t>
        </is>
      </c>
    </row>
    <row r="28" ht="19.5" customFormat="1" customHeight="1" s="139">
      <c r="B28" s="162" t="n"/>
      <c r="C28" s="174" t="n"/>
      <c r="D28" s="108" t="inlineStr">
        <is>
          <t>06-01-02</t>
        </is>
      </c>
      <c r="E28" s="173" t="inlineStr">
        <is>
          <t>Аварийный маслосток Калинино</t>
        </is>
      </c>
      <c r="F28" s="176" t="n">
        <v>93.13</v>
      </c>
      <c r="G28" s="176" t="n"/>
      <c r="H28" s="176" t="n"/>
      <c r="I28" s="175" t="n"/>
      <c r="J28" s="176" t="n">
        <v>93.13</v>
      </c>
    </row>
    <row r="29" ht="15.75" customFormat="1" customHeight="1" s="139">
      <c r="B29" s="204" t="inlineStr">
        <is>
          <t>Всего по объекту:</t>
        </is>
      </c>
      <c r="C29" s="200" t="n"/>
      <c r="D29" s="200" t="n"/>
      <c r="E29" s="201" t="n"/>
      <c r="F29" s="107" t="n">
        <v>93.13</v>
      </c>
      <c r="G29" s="107" t="n">
        <v>0</v>
      </c>
      <c r="H29" s="107" t="n">
        <v>0</v>
      </c>
      <c r="I29" s="107" t="n">
        <v>0</v>
      </c>
      <c r="J29" s="107" t="n">
        <v>93.13</v>
      </c>
    </row>
    <row r="30" ht="15.75" customFormat="1" customHeight="1" s="139">
      <c r="B30" s="204" t="inlineStr">
        <is>
          <t>Всего по объекту в сопоставимом уровне цен 1 кв. 2021г:</t>
        </is>
      </c>
      <c r="C30" s="200" t="n"/>
      <c r="D30" s="200" t="n"/>
      <c r="E30" s="201" t="n"/>
      <c r="F30" s="205" t="n">
        <v>118.56036750576</v>
      </c>
      <c r="G30" s="205" t="n">
        <v>0</v>
      </c>
      <c r="H30" s="205" t="n">
        <v>0</v>
      </c>
      <c r="I30" s="205" t="n">
        <v>0</v>
      </c>
      <c r="J30" s="205" t="n">
        <v>118.56036750576</v>
      </c>
    </row>
    <row r="31" ht="15.75" customFormat="1" customHeight="1" s="139">
      <c r="B31" s="109" t="n"/>
      <c r="C31" s="109" t="n"/>
      <c r="D31" s="109" t="n"/>
      <c r="E31" s="109" t="n"/>
      <c r="F31" s="206" t="n"/>
      <c r="G31" s="206" t="n"/>
      <c r="H31" s="206" t="n"/>
      <c r="I31" s="206" t="n"/>
      <c r="J31" s="206" t="n"/>
    </row>
    <row r="32" ht="15.75" customFormat="1" customHeight="1" s="139">
      <c r="B32" s="146" t="n"/>
      <c r="C32" s="139" t="n"/>
      <c r="D32" s="139" t="n"/>
      <c r="E32" s="139" t="n"/>
      <c r="F32" s="139" t="n"/>
      <c r="G32" s="139" t="n"/>
      <c r="H32" s="139" t="n"/>
      <c r="I32" s="139" t="n"/>
      <c r="J32" s="139" t="n"/>
    </row>
    <row r="33" ht="32.25" customFormat="1" customHeight="1" s="139">
      <c r="B33" s="162" t="inlineStr">
        <is>
          <t>№ п/п</t>
        </is>
      </c>
      <c r="C33" s="1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33" s="162" t="inlineStr">
        <is>
          <t>Реконструкция ПС 110/6 кВ "Пасечная" с заменой трансформаторов</t>
        </is>
      </c>
      <c r="E33" s="200" t="n"/>
      <c r="F33" s="200" t="n"/>
      <c r="G33" s="200" t="n"/>
      <c r="H33" s="200" t="n"/>
      <c r="I33" s="200" t="n"/>
      <c r="J33" s="201" t="n"/>
    </row>
    <row r="34" ht="15.75" customFormat="1" customHeight="1" s="139">
      <c r="B34" s="202" t="n"/>
      <c r="C34" s="202" t="n"/>
      <c r="D34" s="162" t="inlineStr">
        <is>
          <t>Номер сметы</t>
        </is>
      </c>
      <c r="E34" s="162" t="inlineStr">
        <is>
          <t>Наименование сметы</t>
        </is>
      </c>
      <c r="F34" s="162" t="inlineStr">
        <is>
          <t>Сметная стоимость в уровне цен 1 кв. 2021г., тыс. руб.</t>
        </is>
      </c>
      <c r="G34" s="200" t="n"/>
      <c r="H34" s="200" t="n"/>
      <c r="I34" s="200" t="n"/>
      <c r="J34" s="201" t="n"/>
    </row>
    <row r="35" ht="31.7" customFormat="1" customHeight="1" s="139">
      <c r="B35" s="203" t="n"/>
      <c r="C35" s="203" t="n"/>
      <c r="D35" s="203" t="n"/>
      <c r="E35" s="203" t="n"/>
      <c r="F35" s="162" t="inlineStr">
        <is>
          <t>Строительные работы</t>
        </is>
      </c>
      <c r="G35" s="162" t="inlineStr">
        <is>
          <t>Монтажные работы</t>
        </is>
      </c>
      <c r="H35" s="162" t="inlineStr">
        <is>
          <t>Оборудование</t>
        </is>
      </c>
      <c r="I35" s="162" t="inlineStr">
        <is>
          <t>Прочее</t>
        </is>
      </c>
      <c r="J35" s="162" t="inlineStr">
        <is>
          <t>Всего</t>
        </is>
      </c>
    </row>
    <row r="36" ht="19.5" customFormat="1" customHeight="1" s="139">
      <c r="B36" s="162" t="n"/>
      <c r="C36" s="174" t="n"/>
      <c r="D36" s="108" t="inlineStr">
        <is>
          <t>06-04-01</t>
        </is>
      </c>
      <c r="E36" s="173" t="inlineStr">
        <is>
          <t>Маслостоки</t>
        </is>
      </c>
      <c r="F36" s="175" t="n">
        <v>312.83</v>
      </c>
      <c r="G36" s="176" t="n"/>
      <c r="H36" s="176" t="n"/>
      <c r="I36" s="175" t="n"/>
      <c r="J36" s="176" t="n">
        <v>312.83</v>
      </c>
    </row>
    <row r="37" ht="15.75" customFormat="1" customHeight="1" s="139">
      <c r="B37" s="204" t="inlineStr">
        <is>
          <t>Всего по объекту:</t>
        </is>
      </c>
      <c r="C37" s="200" t="n"/>
      <c r="D37" s="200" t="n"/>
      <c r="E37" s="201" t="n"/>
      <c r="F37" s="107" t="n">
        <v>312.83</v>
      </c>
      <c r="G37" s="107" t="n">
        <v>0</v>
      </c>
      <c r="H37" s="107" t="n">
        <v>0</v>
      </c>
      <c r="I37" s="107" t="n">
        <v>0</v>
      </c>
      <c r="J37" s="107" t="n">
        <v>312.83</v>
      </c>
    </row>
    <row r="38" ht="15.75" customFormat="1" customHeight="1" s="139">
      <c r="B38" s="204" t="inlineStr">
        <is>
          <t>Всего по объекту в сопоставимом уровне цен 1 кв. 2021г:</t>
        </is>
      </c>
      <c r="C38" s="200" t="n"/>
      <c r="D38" s="200" t="n"/>
      <c r="E38" s="201" t="n"/>
      <c r="F38" s="205" t="n">
        <v>312.83</v>
      </c>
      <c r="G38" s="205" t="n">
        <v>0</v>
      </c>
      <c r="H38" s="205" t="n">
        <v>0</v>
      </c>
      <c r="I38" s="205" t="n">
        <v>0</v>
      </c>
      <c r="J38" s="205" t="n">
        <v>312.83</v>
      </c>
    </row>
    <row r="39" ht="15.75" customFormat="1" customHeight="1" s="139">
      <c r="B39" s="146" t="n"/>
    </row>
    <row r="40" ht="15.75" customFormat="1" customHeight="1" s="139"/>
    <row r="41" ht="15.75" customFormat="1" customHeight="1" s="139">
      <c r="C41" s="139" t="inlineStr">
        <is>
          <t>Составил ______________________         М.С. Колотиевская</t>
        </is>
      </c>
    </row>
    <row r="42" ht="15.75" customFormat="1" customHeight="1" s="139">
      <c r="C42" s="96" t="inlineStr">
        <is>
          <t xml:space="preserve">                         (подпись, инициалы, фамилия)</t>
        </is>
      </c>
    </row>
    <row r="43" ht="15.75" customFormat="1" customHeight="1" s="139"/>
    <row r="44" ht="15.75" customHeight="1" s="137">
      <c r="B44" s="139" t="n"/>
      <c r="C44" s="139" t="inlineStr">
        <is>
          <t>Проверил ______________________          А.В. Костянецкая</t>
        </is>
      </c>
      <c r="D44" s="139" t="n"/>
      <c r="E44" s="139" t="n"/>
      <c r="F44" s="139" t="n"/>
      <c r="G44" s="139" t="n"/>
      <c r="H44" s="139" t="n"/>
      <c r="I44" s="139" t="n"/>
      <c r="J44" s="139" t="n"/>
    </row>
    <row r="45" ht="15.75" customHeight="1" s="137">
      <c r="B45" s="139" t="n"/>
      <c r="C45" s="96" t="inlineStr">
        <is>
          <t xml:space="preserve">                        (подпись, инициалы, фамилия)</t>
        </is>
      </c>
      <c r="D45" s="139" t="n"/>
      <c r="E45" s="139" t="n"/>
      <c r="F45" s="139" t="n"/>
      <c r="G45" s="139" t="n"/>
      <c r="H45" s="139" t="n"/>
      <c r="I45" s="139" t="n"/>
      <c r="J45" s="139" t="n"/>
    </row>
    <row r="46" ht="15.75" customHeight="1" s="137">
      <c r="B46" s="139" t="n"/>
      <c r="C46" s="139" t="n"/>
      <c r="D46" s="139" t="n"/>
      <c r="E46" s="139" t="n"/>
      <c r="F46" s="139" t="n"/>
      <c r="G46" s="139" t="n"/>
      <c r="H46" s="139" t="n"/>
      <c r="I46" s="139" t="n"/>
      <c r="J46" s="139" t="n"/>
    </row>
  </sheetData>
  <mergeCells count="36">
    <mergeCell ref="D9:J9"/>
    <mergeCell ref="F34:J34"/>
    <mergeCell ref="C17:C19"/>
    <mergeCell ref="F10:J10"/>
    <mergeCell ref="D25:J25"/>
    <mergeCell ref="B30:E30"/>
    <mergeCell ref="B33:B35"/>
    <mergeCell ref="B6:K6"/>
    <mergeCell ref="E34:E35"/>
    <mergeCell ref="D33:J33"/>
    <mergeCell ref="E10:E11"/>
    <mergeCell ref="B4:K4"/>
    <mergeCell ref="B7:K7"/>
    <mergeCell ref="F18:J18"/>
    <mergeCell ref="B25:B27"/>
    <mergeCell ref="C33:C35"/>
    <mergeCell ref="B22:E22"/>
    <mergeCell ref="F26:J26"/>
    <mergeCell ref="B3:K3"/>
    <mergeCell ref="D18:D19"/>
    <mergeCell ref="B21:E21"/>
    <mergeCell ref="E26:E27"/>
    <mergeCell ref="B14:E14"/>
    <mergeCell ref="B17:B19"/>
    <mergeCell ref="D10:D11"/>
    <mergeCell ref="D17:J17"/>
    <mergeCell ref="C25:C27"/>
    <mergeCell ref="B13:E13"/>
    <mergeCell ref="E18:E19"/>
    <mergeCell ref="D26:D27"/>
    <mergeCell ref="B38:E38"/>
    <mergeCell ref="B29:E29"/>
    <mergeCell ref="B9:B11"/>
    <mergeCell ref="D34:D35"/>
    <mergeCell ref="B37:E37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8"/>
  <sheetViews>
    <sheetView view="pageBreakPreview" topLeftCell="A64" zoomScale="60" zoomScaleNormal="55" workbookViewId="0">
      <selection activeCell="C84" sqref="C84"/>
    </sheetView>
  </sheetViews>
  <sheetFormatPr baseColWidth="8" defaultColWidth="9.140625" defaultRowHeight="15"/>
  <cols>
    <col width="9.140625" customWidth="1" style="137" min="1" max="1"/>
    <col width="12.5703125" customWidth="1" style="137" min="2" max="2"/>
    <col width="17" customWidth="1" style="137" min="3" max="3"/>
    <col width="49.7109375" customWidth="1" style="137" min="4" max="4"/>
    <col width="16.28515625" customWidth="1" style="137" min="5" max="5"/>
    <col width="20.7109375" customWidth="1" style="137" min="6" max="6"/>
    <col width="16.140625" customWidth="1" style="137" min="7" max="7"/>
    <col width="16.7109375" customWidth="1" style="137" min="8" max="8"/>
    <col width="9.140625" customWidth="1" style="137" min="9" max="9"/>
  </cols>
  <sheetData>
    <row r="2" ht="15.75" customHeight="1" s="137">
      <c r="A2" s="144" t="inlineStr">
        <is>
          <t xml:space="preserve">Приложение № 3 </t>
        </is>
      </c>
    </row>
    <row r="3" ht="18.75" customHeight="1" s="137">
      <c r="A3" s="160" t="inlineStr">
        <is>
          <t>Объектная ресурсная ведомость</t>
        </is>
      </c>
    </row>
    <row r="4" ht="18.75" customHeight="1" s="137">
      <c r="A4" s="160" t="n"/>
      <c r="B4" s="160" t="n"/>
      <c r="C4" s="1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39" t="n"/>
      <c r="J4" s="139" t="n"/>
      <c r="K4" s="139" t="n"/>
      <c r="L4" s="139" t="n"/>
    </row>
    <row r="5" ht="18.75" customHeight="1" s="137">
      <c r="A5" s="101" t="n"/>
    </row>
    <row r="6" ht="15.75" customHeight="1" s="137">
      <c r="A6" s="156" t="inlineStr">
        <is>
          <t>Наименование разрабатываемого показателя УНЦ -  Аварийные маслостоки</t>
        </is>
      </c>
    </row>
    <row r="7" ht="15.75" customFormat="1" customHeight="1" s="139">
      <c r="A7" s="16" t="n"/>
      <c r="B7" s="16" t="n"/>
      <c r="C7" s="16" t="n"/>
      <c r="D7" s="16" t="n"/>
      <c r="E7" s="16" t="n"/>
      <c r="F7" s="16" t="n"/>
      <c r="G7" s="16" t="n"/>
      <c r="H7" s="16" t="n"/>
    </row>
    <row r="8" ht="38.25" customFormat="1" customHeight="1" s="139">
      <c r="A8" s="162" t="inlineStr">
        <is>
          <t>п/п</t>
        </is>
      </c>
      <c r="B8" s="162" t="inlineStr">
        <is>
          <t>№ЛСР</t>
        </is>
      </c>
      <c r="C8" s="162" t="inlineStr">
        <is>
          <t>Код ресурса</t>
        </is>
      </c>
      <c r="D8" s="162" t="inlineStr">
        <is>
          <t>Наименование ресурса</t>
        </is>
      </c>
      <c r="E8" s="162" t="inlineStr">
        <is>
          <t>Ед. изм.</t>
        </is>
      </c>
      <c r="F8" s="162" t="inlineStr">
        <is>
          <t>Кол-во единиц по данным объекта-представителя</t>
        </is>
      </c>
      <c r="G8" s="162" t="inlineStr">
        <is>
          <t>Сметная стоимость в ценах на 01.01.2000 (руб.)</t>
        </is>
      </c>
      <c r="H8" s="201" t="n"/>
    </row>
    <row r="9" ht="40.7" customFormat="1" customHeight="1" s="139">
      <c r="A9" s="203" t="n"/>
      <c r="B9" s="203" t="n"/>
      <c r="C9" s="203" t="n"/>
      <c r="D9" s="203" t="n"/>
      <c r="E9" s="203" t="n"/>
      <c r="F9" s="203" t="n"/>
      <c r="G9" s="162" t="inlineStr">
        <is>
          <t>на ед.изм.</t>
        </is>
      </c>
      <c r="H9" s="162" t="inlineStr">
        <is>
          <t>общая</t>
        </is>
      </c>
    </row>
    <row r="10" ht="15.75" customFormat="1" customHeight="1" s="139">
      <c r="A10" s="162" t="n">
        <v>1</v>
      </c>
      <c r="B10" s="162" t="n"/>
      <c r="C10" s="162" t="n">
        <v>2</v>
      </c>
      <c r="D10" s="162" t="inlineStr">
        <is>
          <t>З</t>
        </is>
      </c>
      <c r="E10" s="162" t="n">
        <v>4</v>
      </c>
      <c r="F10" s="162" t="n">
        <v>5</v>
      </c>
      <c r="G10" s="15" t="n">
        <v>6</v>
      </c>
      <c r="H10" s="15" t="n">
        <v>7</v>
      </c>
    </row>
    <row r="11" ht="15.75" customFormat="1" customHeight="1" s="13">
      <c r="A11" s="157" t="inlineStr">
        <is>
          <t>Затраты труда рабочих</t>
        </is>
      </c>
      <c r="B11" s="200" t="n"/>
      <c r="C11" s="200" t="n"/>
      <c r="D11" s="200" t="n"/>
      <c r="E11" s="201" t="n"/>
      <c r="F11" s="157" t="n">
        <v>198.9656428</v>
      </c>
      <c r="G11" s="18" t="n"/>
      <c r="H11" s="18">
        <f>SUM(H12:H22)</f>
        <v/>
      </c>
    </row>
    <row r="12" ht="15.75" customFormat="1" customHeight="1" s="139">
      <c r="A12" s="158" t="n">
        <v>1</v>
      </c>
      <c r="B12" s="158" t="n"/>
      <c r="C12" s="159" t="inlineStr">
        <is>
          <t>1-100-20</t>
        </is>
      </c>
      <c r="D12" s="159" t="inlineStr">
        <is>
          <t>Затраты труда рабочих (ср 2)</t>
        </is>
      </c>
      <c r="E12" s="158" t="inlineStr">
        <is>
          <t>чел.-ч</t>
        </is>
      </c>
      <c r="F12" s="158" t="n">
        <v>66.87953400000001</v>
      </c>
      <c r="G12" s="163" t="n">
        <v>7.8</v>
      </c>
      <c r="H12" s="163">
        <f>ROUND(F12*G12,2)</f>
        <v/>
      </c>
    </row>
    <row r="13" ht="15.75" customFormat="1" customHeight="1" s="139">
      <c r="A13" s="158" t="n">
        <v>2</v>
      </c>
      <c r="B13" s="158" t="n"/>
      <c r="C13" s="159" t="inlineStr">
        <is>
          <t>1-100-15</t>
        </is>
      </c>
      <c r="D13" s="159" t="inlineStr">
        <is>
          <t>Затраты труда рабочих (ср 1,5)</t>
        </is>
      </c>
      <c r="E13" s="158" t="inlineStr">
        <is>
          <t>чел.-ч</t>
        </is>
      </c>
      <c r="F13" s="158" t="n">
        <v>47.97666</v>
      </c>
      <c r="G13" s="163" t="n">
        <v>7.5</v>
      </c>
      <c r="H13" s="163">
        <f>ROUND(F13*G13,2)</f>
        <v/>
      </c>
    </row>
    <row r="14" ht="15.75" customFormat="1" customHeight="1" s="139">
      <c r="A14" s="158" t="n">
        <v>3</v>
      </c>
      <c r="B14" s="158" t="n"/>
      <c r="C14" s="159" t="inlineStr">
        <is>
          <t>1-100-34</t>
        </is>
      </c>
      <c r="D14" s="159" t="inlineStr">
        <is>
          <t>Затраты труда рабочих (ср 3,4)</t>
        </is>
      </c>
      <c r="E14" s="158" t="inlineStr">
        <is>
          <t>чел.-ч</t>
        </is>
      </c>
      <c r="F14" s="158" t="n">
        <v>33.8837904</v>
      </c>
      <c r="G14" s="163" t="n">
        <v>8.970000000000001</v>
      </c>
      <c r="H14" s="163">
        <f>ROUND(F14*G14,2)</f>
        <v/>
      </c>
    </row>
    <row r="15" ht="15.75" customFormat="1" customHeight="1" s="139">
      <c r="A15" s="158" t="n">
        <v>4</v>
      </c>
      <c r="B15" s="158" t="n"/>
      <c r="C15" s="159" t="inlineStr">
        <is>
          <t>1-100-38</t>
        </is>
      </c>
      <c r="D15" s="159" t="inlineStr">
        <is>
          <t>Затраты труда рабочих (ср 3,8)</t>
        </is>
      </c>
      <c r="E15" s="158" t="inlineStr">
        <is>
          <t>чел.час</t>
        </is>
      </c>
      <c r="F15" s="158" t="n">
        <v>24.5643552</v>
      </c>
      <c r="G15" s="163" t="n">
        <v>7.55</v>
      </c>
      <c r="H15" s="163">
        <f>ROUND(F15*G15,2)</f>
        <v/>
      </c>
    </row>
    <row r="16" ht="15.75" customFormat="1" customHeight="1" s="139">
      <c r="A16" s="158" t="n">
        <v>5</v>
      </c>
      <c r="B16" s="158" t="n"/>
      <c r="C16" s="159" t="inlineStr">
        <is>
          <t>1-100-29</t>
        </is>
      </c>
      <c r="D16" s="159" t="inlineStr">
        <is>
          <t>Затраты труда рабочих (ср 2,9)</t>
        </is>
      </c>
      <c r="E16" s="158" t="inlineStr">
        <is>
          <t>чел.-ч</t>
        </is>
      </c>
      <c r="F16" s="158" t="n">
        <v>8.904</v>
      </c>
      <c r="G16" s="163" t="n">
        <v>8.460000000000001</v>
      </c>
      <c r="H16" s="163">
        <f>ROUND(F16*G16,2)</f>
        <v/>
      </c>
    </row>
    <row r="17" ht="15.75" customFormat="1" customHeight="1" s="139">
      <c r="A17" s="158" t="n">
        <v>6</v>
      </c>
      <c r="B17" s="158" t="n"/>
      <c r="C17" s="159" t="inlineStr">
        <is>
          <t>1-100-32</t>
        </is>
      </c>
      <c r="D17" s="159" t="inlineStr">
        <is>
          <t>Затраты труда рабочих (ср 3,2)</t>
        </is>
      </c>
      <c r="E17" s="158" t="inlineStr">
        <is>
          <t>чел.-ч</t>
        </is>
      </c>
      <c r="F17" s="158" t="n">
        <v>8.1881184</v>
      </c>
      <c r="G17" s="163" t="n">
        <v>8.74</v>
      </c>
      <c r="H17" s="163">
        <f>ROUND(F17*G17,2)</f>
        <v/>
      </c>
    </row>
    <row r="18" ht="15.75" customFormat="1" customHeight="1" s="139">
      <c r="A18" s="158" t="n">
        <v>7</v>
      </c>
      <c r="B18" s="158" t="n"/>
      <c r="C18" s="159" t="inlineStr">
        <is>
          <t>1-100-27</t>
        </is>
      </c>
      <c r="D18" s="159" t="inlineStr">
        <is>
          <t>Затраты труда рабочих (ср 2,7)</t>
        </is>
      </c>
      <c r="E18" s="158" t="inlineStr">
        <is>
          <t>чел.-ч</t>
        </is>
      </c>
      <c r="F18" s="158" t="n">
        <v>3.97341</v>
      </c>
      <c r="G18" s="163" t="n">
        <v>8.31</v>
      </c>
      <c r="H18" s="163">
        <f>ROUND(F18*G18,2)</f>
        <v/>
      </c>
    </row>
    <row r="19" ht="15.75" customFormat="1" customHeight="1" s="139">
      <c r="A19" s="158" t="n">
        <v>8</v>
      </c>
      <c r="B19" s="158" t="n"/>
      <c r="C19" s="159" t="inlineStr">
        <is>
          <t>1-100-49</t>
        </is>
      </c>
      <c r="D19" s="159" t="inlineStr">
        <is>
          <t>Затраты труда рабочих (ср 4,9)</t>
        </is>
      </c>
      <c r="E19" s="158" t="inlineStr">
        <is>
          <t>чел.-ч</t>
        </is>
      </c>
      <c r="F19" s="158" t="n">
        <v>2.4237076</v>
      </c>
      <c r="G19" s="163" t="n">
        <v>10.94</v>
      </c>
      <c r="H19" s="163">
        <f>ROUND(F19*G19,2)</f>
        <v/>
      </c>
    </row>
    <row r="20" ht="15.75" customFormat="1" customHeight="1" s="139">
      <c r="A20" s="158" t="n">
        <v>9</v>
      </c>
      <c r="B20" s="158" t="n"/>
      <c r="C20" s="159" t="inlineStr">
        <is>
          <t>1-100-39</t>
        </is>
      </c>
      <c r="D20" s="159" t="inlineStr">
        <is>
          <t>Затраты труда рабочих (ср 3,9)</t>
        </is>
      </c>
      <c r="E20" s="158" t="inlineStr">
        <is>
          <t>чел.-ч</t>
        </is>
      </c>
      <c r="F20" s="158" t="n">
        <v>1.01124</v>
      </c>
      <c r="G20" s="163" t="n">
        <v>9.51</v>
      </c>
      <c r="H20" s="163">
        <f>ROUND(F20*G20,2)</f>
        <v/>
      </c>
    </row>
    <row r="21" ht="15.75" customFormat="1" customHeight="1" s="139">
      <c r="A21" s="158" t="n">
        <v>10</v>
      </c>
      <c r="B21" s="158" t="n"/>
      <c r="C21" s="159" t="inlineStr">
        <is>
          <t>1-100-35</t>
        </is>
      </c>
      <c r="D21" s="159" t="inlineStr">
        <is>
          <t>Затраты труда рабочих (ср 3,5)</t>
        </is>
      </c>
      <c r="E21" s="158" t="inlineStr">
        <is>
          <t>чел.-ч</t>
        </is>
      </c>
      <c r="F21" s="158" t="n">
        <v>0.953364</v>
      </c>
      <c r="G21" s="163" t="n">
        <v>9.07</v>
      </c>
      <c r="H21" s="163">
        <f>ROUND(F21*G21,2)</f>
        <v/>
      </c>
    </row>
    <row r="22" ht="15.75" customFormat="1" customHeight="1" s="139">
      <c r="A22" s="158" t="n">
        <v>11</v>
      </c>
      <c r="B22" s="158" t="n"/>
      <c r="C22" s="159" t="inlineStr">
        <is>
          <t>1-100-17</t>
        </is>
      </c>
      <c r="D22" s="159" t="inlineStr">
        <is>
          <t>Затраты труда рабочих (ср 1,7)</t>
        </is>
      </c>
      <c r="E22" s="158" t="inlineStr">
        <is>
          <t>чел.-ч</t>
        </is>
      </c>
      <c r="F22" s="158" t="n">
        <v>0.2074632</v>
      </c>
      <c r="G22" s="163" t="n">
        <v>7.62</v>
      </c>
      <c r="H22" s="163">
        <f>ROUND(F22*G22,2)</f>
        <v/>
      </c>
    </row>
    <row r="23" ht="15.75" customFormat="1" customHeight="1" s="13">
      <c r="A23" s="157" t="inlineStr">
        <is>
          <t>Затраты труда машинистов</t>
        </is>
      </c>
      <c r="B23" s="200" t="n"/>
      <c r="C23" s="200" t="n"/>
      <c r="D23" s="200" t="n"/>
      <c r="E23" s="201" t="n"/>
      <c r="F23" s="157" t="n">
        <v>17.3721349</v>
      </c>
      <c r="G23" s="18" t="n"/>
      <c r="H23" s="18">
        <f>SUM(H24:H24)</f>
        <v/>
      </c>
    </row>
    <row r="24" ht="15.75" customFormat="1" customHeight="1" s="139">
      <c r="A24" s="158" t="n">
        <v>12</v>
      </c>
      <c r="B24" s="158" t="n"/>
      <c r="C24" s="159" t="n">
        <v>2</v>
      </c>
      <c r="D24" s="159" t="inlineStr">
        <is>
          <t>Затраты труда машинистов</t>
        </is>
      </c>
      <c r="E24" s="158" t="inlineStr">
        <is>
          <t>чел.-ч</t>
        </is>
      </c>
      <c r="F24" s="158" t="n">
        <v>17.3721349</v>
      </c>
      <c r="G24" s="163" t="n">
        <v>13.19</v>
      </c>
      <c r="H24" s="163">
        <f>ROUND(F24*G24,2)</f>
        <v/>
      </c>
    </row>
    <row r="25" ht="15.75" customFormat="1" customHeight="1" s="13">
      <c r="A25" s="157" t="inlineStr">
        <is>
          <t>Машины и механизмы</t>
        </is>
      </c>
      <c r="B25" s="200" t="n"/>
      <c r="C25" s="200" t="n"/>
      <c r="D25" s="200" t="n"/>
      <c r="E25" s="201" t="n"/>
      <c r="F25" s="157" t="n"/>
      <c r="G25" s="18" t="n"/>
      <c r="H25" s="18">
        <f>SUM(H26:H43)</f>
        <v/>
      </c>
    </row>
    <row r="26" ht="31.7" customFormat="1" customHeight="1" s="139">
      <c r="A26" s="158" t="n">
        <v>13</v>
      </c>
      <c r="B26" s="158" t="n"/>
      <c r="C26" s="23" t="inlineStr">
        <is>
          <t>91.05.06-012</t>
        </is>
      </c>
      <c r="D26" s="159" t="inlineStr">
        <is>
          <t>Краны на гусеничном ходу, грузоподъемность до 16 т</t>
        </is>
      </c>
      <c r="E26" s="158" t="inlineStr">
        <is>
          <t>маш.час</t>
        </is>
      </c>
      <c r="F26" s="158" t="n">
        <v>8.426068799999999</v>
      </c>
      <c r="G26" s="163" t="n">
        <v>96.89</v>
      </c>
      <c r="H26" s="163">
        <f>ROUND(F26*G26,2)</f>
        <v/>
      </c>
    </row>
    <row r="27" ht="31.7" customFormat="1" customHeight="1" s="139">
      <c r="A27" s="158" t="n">
        <v>14</v>
      </c>
      <c r="B27" s="158" t="n"/>
      <c r="C27" s="23" t="inlineStr">
        <is>
          <t>91.05.05-015</t>
        </is>
      </c>
      <c r="D27" s="159" t="inlineStr">
        <is>
          <t>Краны на автомобильном ходу, грузоподъемность 16 т</t>
        </is>
      </c>
      <c r="E27" s="158" t="inlineStr">
        <is>
          <t>маш.час</t>
        </is>
      </c>
      <c r="F27" s="158" t="n">
        <v>3.403519</v>
      </c>
      <c r="G27" s="163" t="n">
        <v>115.4</v>
      </c>
      <c r="H27" s="163">
        <f>ROUND(F27*G27,2)</f>
        <v/>
      </c>
    </row>
    <row r="28" ht="15.75" customFormat="1" customHeight="1" s="139">
      <c r="A28" s="158" t="n">
        <v>15</v>
      </c>
      <c r="B28" s="158" t="n"/>
      <c r="C28" s="23" t="inlineStr">
        <is>
          <t>91.14.02-001</t>
        </is>
      </c>
      <c r="D28" s="159" t="inlineStr">
        <is>
          <t>Автомобили бортовые, грузоподъемность до 5 т</t>
        </is>
      </c>
      <c r="E28" s="158" t="inlineStr">
        <is>
          <t>маш.час</t>
        </is>
      </c>
      <c r="F28" s="158" t="n">
        <v>3.2280292</v>
      </c>
      <c r="G28" s="163" t="n">
        <v>65.70999999999999</v>
      </c>
      <c r="H28" s="163">
        <f>ROUND(F28*G28,2)</f>
        <v/>
      </c>
    </row>
    <row r="29" ht="31.7" customFormat="1" customHeight="1" s="139">
      <c r="A29" s="158" t="n">
        <v>16</v>
      </c>
      <c r="B29" s="158" t="n"/>
      <c r="C29" s="23" t="inlineStr">
        <is>
          <t>021243</t>
        </is>
      </c>
      <c r="D29" s="159" t="inlineStr">
        <is>
          <t>Краны на гусеничном ходу при работе на других видах строительства до 16 т</t>
        </is>
      </c>
      <c r="E29" s="158" t="inlineStr">
        <is>
          <t>маш.час</t>
        </is>
      </c>
      <c r="F29" s="158" t="n">
        <v>1.8364711</v>
      </c>
      <c r="G29" s="163" t="n">
        <v>80.97</v>
      </c>
      <c r="H29" s="163">
        <f>ROUND(F29*G29,2)</f>
        <v/>
      </c>
    </row>
    <row r="30" ht="15.75" customFormat="1" customHeight="1" s="139">
      <c r="A30" s="158" t="n">
        <v>17</v>
      </c>
      <c r="B30" s="158" t="n"/>
      <c r="C30" s="23" t="inlineStr">
        <is>
          <t>91.05.01-017</t>
        </is>
      </c>
      <c r="D30" s="159" t="inlineStr">
        <is>
          <t>Краны башенные, грузоподъемность 8 т</t>
        </is>
      </c>
      <c r="E30" s="158" t="inlineStr">
        <is>
          <t>маш.час</t>
        </is>
      </c>
      <c r="F30" s="158" t="n">
        <v>0.40482</v>
      </c>
      <c r="G30" s="163" t="n">
        <v>86.40000000000001</v>
      </c>
      <c r="H30" s="163">
        <f>ROUND(F30*G30,2)</f>
        <v/>
      </c>
    </row>
    <row r="31" ht="15.75" customFormat="1" customHeight="1" s="139">
      <c r="A31" s="158" t="n">
        <v>18</v>
      </c>
      <c r="B31" s="158" t="n"/>
      <c r="C31" s="23" t="n">
        <v>400001</v>
      </c>
      <c r="D31" s="159" t="inlineStr">
        <is>
          <t>Автомобили бортовые, грузоподъемность до 5 т</t>
        </is>
      </c>
      <c r="E31" s="158" t="inlineStr">
        <is>
          <t>маш.час</t>
        </is>
      </c>
      <c r="F31" s="158" t="n">
        <v>0.1568833</v>
      </c>
      <c r="G31" s="163" t="n">
        <v>95.58</v>
      </c>
      <c r="H31" s="163">
        <f>ROUND(F31*G31,2)</f>
        <v/>
      </c>
    </row>
    <row r="32" ht="31.7" customFormat="1" customHeight="1" s="139">
      <c r="A32" s="158" t="n">
        <v>19</v>
      </c>
      <c r="B32" s="158" t="n"/>
      <c r="C32" s="23" t="inlineStr">
        <is>
          <t>021141</t>
        </is>
      </c>
      <c r="D32" s="159" t="inlineStr">
        <is>
          <t>Краны на автомобильном ходу при работе на других видах строительства 10 т</t>
        </is>
      </c>
      <c r="E32" s="158" t="inlineStr">
        <is>
          <t>маш.час</t>
        </is>
      </c>
      <c r="F32" s="158" t="n">
        <v>0.0522945</v>
      </c>
      <c r="G32" s="163" t="n">
        <v>133.62</v>
      </c>
      <c r="H32" s="163">
        <f>ROUND(F32*G32,2)</f>
        <v/>
      </c>
    </row>
    <row r="33" ht="15.75" customFormat="1" customHeight="1" s="139">
      <c r="A33" s="158" t="n">
        <v>20</v>
      </c>
      <c r="B33" s="158" t="n"/>
      <c r="C33" s="23" t="inlineStr">
        <is>
          <t>91.08.04-021</t>
        </is>
      </c>
      <c r="D33" s="159" t="inlineStr">
        <is>
          <t>Котлы битумные передвижные 400 л</t>
        </is>
      </c>
      <c r="E33" s="158" t="inlineStr">
        <is>
          <t>маш.час</t>
        </is>
      </c>
      <c r="F33" s="158" t="n">
        <v>0.1716063</v>
      </c>
      <c r="G33" s="163" t="n">
        <v>30</v>
      </c>
      <c r="H33" s="163">
        <f>ROUND(F33*G33,2)</f>
        <v/>
      </c>
    </row>
    <row r="34" ht="15.75" customFormat="1" customHeight="1" s="139">
      <c r="A34" s="158" t="n">
        <v>21</v>
      </c>
      <c r="B34" s="158" t="n"/>
      <c r="C34" s="23" t="n">
        <v>111100</v>
      </c>
      <c r="D34" s="159" t="inlineStr">
        <is>
          <t>Вибратор глубинный</t>
        </is>
      </c>
      <c r="E34" s="158" t="inlineStr">
        <is>
          <t>маш.час</t>
        </is>
      </c>
      <c r="F34" s="158" t="n">
        <v>1.3363627</v>
      </c>
      <c r="G34" s="163" t="n">
        <v>3.21</v>
      </c>
      <c r="H34" s="163">
        <f>ROUND(F34*G34,2)</f>
        <v/>
      </c>
    </row>
    <row r="35" ht="31.7" customFormat="1" customHeight="1" s="139">
      <c r="A35" s="158" t="n">
        <v>22</v>
      </c>
      <c r="B35" s="158" t="n"/>
      <c r="C35" s="23" t="inlineStr">
        <is>
          <t>040502</t>
        </is>
      </c>
      <c r="D35" s="159" t="inlineStr">
        <is>
          <t>Установки для сварки ручной дуговой (постоянного тока)</t>
        </is>
      </c>
      <c r="E35" s="158" t="inlineStr">
        <is>
          <t>маш.час</t>
        </is>
      </c>
      <c r="F35" s="158" t="n">
        <v>0.5192907</v>
      </c>
      <c r="G35" s="163" t="n">
        <v>5.42</v>
      </c>
      <c r="H35" s="163">
        <f>ROUND(F35*G35,2)</f>
        <v/>
      </c>
    </row>
    <row r="36" ht="15.75" customFormat="1" customHeight="1" s="139">
      <c r="A36" s="158" t="n">
        <v>23</v>
      </c>
      <c r="B36" s="158" t="n"/>
      <c r="C36" s="23" t="inlineStr">
        <is>
          <t>030101</t>
        </is>
      </c>
      <c r="D36" s="159" t="inlineStr">
        <is>
          <t>Автопогрузчики 5 т</t>
        </is>
      </c>
      <c r="E36" s="158" t="inlineStr">
        <is>
          <t>маш.час</t>
        </is>
      </c>
      <c r="F36" s="158" t="n">
        <v>0.0061657</v>
      </c>
      <c r="G36" s="163" t="n">
        <v>114.76</v>
      </c>
      <c r="H36" s="163">
        <f>ROUND(F36*G36,2)</f>
        <v/>
      </c>
    </row>
    <row r="37" ht="15.75" customFormat="1" customHeight="1" s="139">
      <c r="A37" s="158" t="n">
        <v>24</v>
      </c>
      <c r="B37" s="158" t="n"/>
      <c r="C37" s="23" t="inlineStr">
        <is>
          <t>91.06.05-011</t>
        </is>
      </c>
      <c r="D37" s="159" t="inlineStr">
        <is>
          <t>Погрузчики, грузоподъемность 5 т</t>
        </is>
      </c>
      <c r="E37" s="158" t="inlineStr">
        <is>
          <t>маш.час</t>
        </is>
      </c>
      <c r="F37" s="158" t="n">
        <v>0.006574</v>
      </c>
      <c r="G37" s="163" t="n">
        <v>89.98999999999999</v>
      </c>
      <c r="H37" s="163">
        <f>ROUND(F37*G37,2)</f>
        <v/>
      </c>
    </row>
    <row r="38" ht="15.75" customFormat="1" customHeight="1" s="139">
      <c r="A38" s="158" t="n">
        <v>25</v>
      </c>
      <c r="B38" s="158" t="n"/>
      <c r="C38" s="23" t="n">
        <v>331532</v>
      </c>
      <c r="D38" s="159" t="inlineStr">
        <is>
          <t>Пила цепная электрическая</t>
        </is>
      </c>
      <c r="E38" s="158" t="inlineStr">
        <is>
          <t>маш.час</t>
        </is>
      </c>
      <c r="F38" s="158" t="n">
        <v>0.0707916</v>
      </c>
      <c r="G38" s="163" t="n">
        <v>3.27</v>
      </c>
      <c r="H38" s="163">
        <f>ROUND(F38*G38,2)</f>
        <v/>
      </c>
    </row>
    <row r="39" ht="15.75" customFormat="1" customHeight="1" s="139">
      <c r="A39" s="158" t="n">
        <v>26</v>
      </c>
      <c r="B39" s="158" t="n"/>
      <c r="C39" s="23" t="inlineStr">
        <is>
          <t>91.16.01-002</t>
        </is>
      </c>
      <c r="D39" s="159" t="inlineStr">
        <is>
          <t>Электростанции передвижные, мощность 4 кВт</t>
        </is>
      </c>
      <c r="E39" s="158" t="inlineStr">
        <is>
          <t>маш.час</t>
        </is>
      </c>
      <c r="F39" s="158" t="n">
        <v>0.0052592</v>
      </c>
      <c r="G39" s="163" t="n">
        <v>27.11</v>
      </c>
      <c r="H39" s="163">
        <f>ROUND(F39*G39,2)</f>
        <v/>
      </c>
    </row>
    <row r="40" ht="31.7" customFormat="1" customHeight="1" s="139">
      <c r="A40" s="158" t="n">
        <v>27</v>
      </c>
      <c r="B40" s="158" t="n"/>
      <c r="C40" s="23" t="inlineStr">
        <is>
          <t>91.06.06-048</t>
        </is>
      </c>
      <c r="D40" s="159" t="inlineStr">
        <is>
          <t>Подъемники одномачтовые, грузоподъемность до 500 кг, высота подъема 45 м</t>
        </is>
      </c>
      <c r="E40" s="158" t="inlineStr">
        <is>
          <t>маш.час</t>
        </is>
      </c>
      <c r="F40" s="158" t="n">
        <v>0.0029334</v>
      </c>
      <c r="G40" s="163" t="n">
        <v>31.26</v>
      </c>
      <c r="H40" s="163">
        <f>ROUND(F40*G40,2)</f>
        <v/>
      </c>
    </row>
    <row r="41" ht="15.75" customFormat="1" customHeight="1" s="139">
      <c r="A41" s="158" t="n">
        <v>28</v>
      </c>
      <c r="B41" s="158" t="n"/>
      <c r="C41" s="23" t="inlineStr">
        <is>
          <t>91.08.09-025</t>
        </is>
      </c>
      <c r="D41" s="159" t="inlineStr">
        <is>
          <t>Трамбовки электрические</t>
        </is>
      </c>
      <c r="E41" s="158" t="inlineStr">
        <is>
          <t>маш.час</t>
        </is>
      </c>
      <c r="F41" s="158" t="n">
        <v>0.0105184</v>
      </c>
      <c r="G41" s="163" t="n">
        <v>6.7</v>
      </c>
      <c r="H41" s="163">
        <f>ROUND(F41*G41,2)</f>
        <v/>
      </c>
    </row>
    <row r="42" ht="15.75" customFormat="1" customHeight="1" s="139">
      <c r="A42" s="158" t="n">
        <v>29</v>
      </c>
      <c r="B42" s="158" t="n"/>
      <c r="C42" s="23" t="inlineStr">
        <is>
          <t>91.21.22-421</t>
        </is>
      </c>
      <c r="D42" s="159" t="inlineStr">
        <is>
          <t>Термосы 100 л</t>
        </is>
      </c>
      <c r="E42" s="158" t="inlineStr">
        <is>
          <t>маш.час</t>
        </is>
      </c>
      <c r="F42" s="158" t="n">
        <v>0.0244449</v>
      </c>
      <c r="G42" s="163" t="n">
        <v>2.7</v>
      </c>
      <c r="H42" s="163">
        <f>ROUND(F42*G42,2)</f>
        <v/>
      </c>
    </row>
    <row r="43" ht="15.75" customFormat="1" customHeight="1" s="139">
      <c r="A43" s="158" t="n">
        <v>30</v>
      </c>
      <c r="B43" s="158" t="n"/>
      <c r="C43" s="23" t="inlineStr">
        <is>
          <t>91.07.04-002</t>
        </is>
      </c>
      <c r="D43" s="159" t="inlineStr">
        <is>
          <t>Вибраторы поверхностные</t>
        </is>
      </c>
      <c r="E43" s="158" t="inlineStr">
        <is>
          <t>маш.час</t>
        </is>
      </c>
      <c r="F43" s="158" t="n">
        <v>0.0471909</v>
      </c>
      <c r="G43" s="163" t="n">
        <v>0.5</v>
      </c>
      <c r="H43" s="163">
        <f>ROUND(F43*G43,2)</f>
        <v/>
      </c>
    </row>
    <row r="44" ht="15.75" customFormat="1" customHeight="1" s="13">
      <c r="A44" s="157" t="inlineStr">
        <is>
          <t>Материалы</t>
        </is>
      </c>
      <c r="B44" s="200" t="n"/>
      <c r="C44" s="200" t="n"/>
      <c r="D44" s="200" t="n"/>
      <c r="E44" s="201" t="n"/>
      <c r="F44" s="157" t="n"/>
      <c r="G44" s="18" t="n"/>
      <c r="H44" s="18">
        <f>SUM(H45:H79)</f>
        <v/>
      </c>
    </row>
    <row r="45" ht="31.7" customFormat="1" customHeight="1" s="139">
      <c r="A45" s="158" t="n">
        <v>31</v>
      </c>
      <c r="B45" s="158" t="n"/>
      <c r="C45" s="23" t="inlineStr">
        <is>
          <t>24.2.05.01-0003</t>
        </is>
      </c>
      <c r="D45" s="159" t="inlineStr">
        <is>
          <t>Трубы хризотилцементные безнапорные, номинальный диаметр 200 мм</t>
        </is>
      </c>
      <c r="E45" s="158" t="inlineStr">
        <is>
          <t>м</t>
        </is>
      </c>
      <c r="F45" s="158" t="n">
        <v>31.68</v>
      </c>
      <c r="G45" s="163" t="n">
        <v>47.11</v>
      </c>
      <c r="H45" s="163">
        <f>ROUND(F45*G45,2)</f>
        <v/>
      </c>
    </row>
    <row r="46" ht="15.75" customFormat="1" customHeight="1" s="139">
      <c r="A46" s="158" t="n">
        <v>32</v>
      </c>
      <c r="B46" s="158" t="n"/>
      <c r="C46" s="23" t="inlineStr">
        <is>
          <t>08.1.02.06-0043</t>
        </is>
      </c>
      <c r="D46" s="159" t="inlineStr">
        <is>
          <t>Люк чугунный тяжелый</t>
        </is>
      </c>
      <c r="E46" s="158" t="inlineStr">
        <is>
          <t>шт</t>
        </is>
      </c>
      <c r="F46" s="158" t="n">
        <v>2</v>
      </c>
      <c r="G46" s="163" t="n">
        <v>569.52</v>
      </c>
      <c r="H46" s="163">
        <f>ROUND(F46*G46,2)</f>
        <v/>
      </c>
    </row>
    <row r="47" ht="15.75" customFormat="1" customHeight="1" s="139">
      <c r="A47" s="158" t="n">
        <v>33</v>
      </c>
      <c r="B47" s="158" t="n"/>
      <c r="C47" s="23" t="inlineStr">
        <is>
          <t>401-0246</t>
        </is>
      </c>
      <c r="D47" s="159" t="inlineStr">
        <is>
          <t>Бетон песчаный, класс В15 (М200)</t>
        </is>
      </c>
      <c r="E47" s="158" t="inlineStr">
        <is>
          <t>м3</t>
        </is>
      </c>
      <c r="F47" s="158" t="n">
        <v>1.3398</v>
      </c>
      <c r="G47" s="163" t="n">
        <v>618.89</v>
      </c>
      <c r="H47" s="163">
        <f>ROUND(F47*G47,2)</f>
        <v/>
      </c>
    </row>
    <row r="48" ht="31.7" customFormat="1" customHeight="1" s="139">
      <c r="A48" s="158" t="n">
        <v>34</v>
      </c>
      <c r="B48" s="158" t="n"/>
      <c r="C48" s="23" t="inlineStr">
        <is>
          <t>204-0100</t>
        </is>
      </c>
      <c r="D48" s="159" t="inlineStr">
        <is>
          <t>Горячекатаная арматурная сталь класса А-I, А-II, А-III</t>
        </is>
      </c>
      <c r="E48" s="158" t="inlineStr">
        <is>
          <t>т</t>
        </is>
      </c>
      <c r="F48" s="158" t="n">
        <v>0.15576</v>
      </c>
      <c r="G48" s="163" t="n">
        <v>5128.74</v>
      </c>
      <c r="H48" s="163">
        <f>ROUND(F48*G48,2)</f>
        <v/>
      </c>
    </row>
    <row r="49" ht="31.7" customFormat="1" customHeight="1" s="139">
      <c r="A49" s="158" t="n">
        <v>35</v>
      </c>
      <c r="B49" s="158" t="n"/>
      <c r="C49" s="23" t="inlineStr">
        <is>
          <t>05.1.01.09-0001</t>
        </is>
      </c>
      <c r="D49" s="159" t="inlineStr">
        <is>
          <t>Кольцо для колодцев сборное железобетонное, диаметр 700 мм</t>
        </is>
      </c>
      <c r="E49" s="158" t="inlineStr">
        <is>
          <t>м</t>
        </is>
      </c>
      <c r="F49" s="158" t="n">
        <v>2.1</v>
      </c>
      <c r="G49" s="163" t="n">
        <v>375.59</v>
      </c>
      <c r="H49" s="163">
        <f>ROUND(F49*G49,2)</f>
        <v/>
      </c>
    </row>
    <row r="50" ht="47.25" customFormat="1" customHeight="1" s="139">
      <c r="A50" s="158" t="n">
        <v>36</v>
      </c>
      <c r="B50" s="158" t="n"/>
      <c r="C50" s="23" t="inlineStr">
        <is>
          <t>05.1.01.12-0007</t>
        </is>
      </c>
      <c r="D50" s="159" t="inlineStr">
        <is>
          <t>Плита перекрытия лотков и каналов ПЛ-1, бетон B15 (М200), объем 0,18 м3, расход арматуры 17,37 кг</t>
        </is>
      </c>
      <c r="E50" s="158" t="inlineStr">
        <is>
          <t>шт</t>
        </is>
      </c>
      <c r="F50" s="158" t="n">
        <v>2</v>
      </c>
      <c r="G50" s="163" t="n">
        <v>381.18</v>
      </c>
      <c r="H50" s="163">
        <f>ROUND(F50*G50,2)</f>
        <v/>
      </c>
    </row>
    <row r="51" ht="47.25" customFormat="1" customHeight="1" s="139">
      <c r="A51" s="158" t="n">
        <v>37</v>
      </c>
      <c r="B51" s="158" t="n"/>
      <c r="C51" s="23" t="inlineStr">
        <is>
          <t>05.1.01.11-0004</t>
        </is>
      </c>
      <c r="D51" s="159" t="inlineStr">
        <is>
          <t>Плита днища доборная ПД 75.180.14-3, бетон B15 (М200), объем 0,18 м3, расход арматуры 7,8 кг</t>
        </is>
      </c>
      <c r="E51" s="158" t="inlineStr">
        <is>
          <t>шт</t>
        </is>
      </c>
      <c r="F51" s="158" t="n">
        <v>2</v>
      </c>
      <c r="G51" s="163" t="n">
        <v>333.17</v>
      </c>
      <c r="H51" s="163">
        <f>ROUND(F51*G51,2)</f>
        <v/>
      </c>
    </row>
    <row r="52" ht="31.7" customFormat="1" customHeight="1" s="139">
      <c r="A52" s="158" t="n">
        <v>38</v>
      </c>
      <c r="B52" s="158" t="n"/>
      <c r="C52" s="23" t="inlineStr">
        <is>
          <t>24.2.05.01-0001</t>
        </is>
      </c>
      <c r="D52" s="159" t="inlineStr">
        <is>
          <t>Трубы хризотилцементные безнапорные, номинальный диаметр 100 мм</t>
        </is>
      </c>
      <c r="E52" s="158" t="inlineStr">
        <is>
          <t>м</t>
        </is>
      </c>
      <c r="F52" s="158" t="n">
        <v>31.68</v>
      </c>
      <c r="G52" s="163" t="n">
        <v>14.5</v>
      </c>
      <c r="H52" s="163">
        <f>ROUND(F52*G52,2)</f>
        <v/>
      </c>
    </row>
    <row r="53" ht="47.25" customFormat="1" customHeight="1" s="139">
      <c r="A53" s="158" t="n">
        <v>39</v>
      </c>
      <c r="B53" s="158" t="n"/>
      <c r="C53" s="23" t="inlineStr">
        <is>
          <t>04.1.02.02-0024</t>
        </is>
      </c>
      <c r="D53" s="159" t="inlineStr">
        <is>
          <t>Смеси бетонные тяжелого бетона (БСТ) для гидротехнических сооружений, класс В10 (М150)</t>
        </is>
      </c>
      <c r="E53" s="158" t="inlineStr">
        <is>
          <t>м3</t>
        </is>
      </c>
      <c r="F53" s="158" t="n">
        <v>0.4692</v>
      </c>
      <c r="G53" s="163" t="n">
        <v>607.26</v>
      </c>
      <c r="H53" s="163">
        <f>ROUND(F53*G53,2)</f>
        <v/>
      </c>
    </row>
    <row r="54" ht="47.25" customFormat="1" customHeight="1" s="139">
      <c r="A54" s="158" t="n">
        <v>40</v>
      </c>
      <c r="B54" s="158" t="n"/>
      <c r="C54" s="23" t="inlineStr">
        <is>
          <t>102-0061</t>
        </is>
      </c>
      <c r="D54" s="159" t="inlineStr">
        <is>
          <t>Доски обрезные хвойных пород длиной 4-6,5 м, шириной 75-150 мм, толщиной 44 мм и более, III сорта</t>
        </is>
      </c>
      <c r="E54" s="158" t="inlineStr">
        <is>
          <t>м3</t>
        </is>
      </c>
      <c r="F54" s="158" t="n">
        <v>0.060192</v>
      </c>
      <c r="G54" s="163" t="n">
        <v>1710.46</v>
      </c>
      <c r="H54" s="163">
        <f>ROUND(F54*G54,2)</f>
        <v/>
      </c>
    </row>
    <row r="55" ht="31.7" customFormat="1" customHeight="1" s="139">
      <c r="A55" s="158" t="n">
        <v>41</v>
      </c>
      <c r="B55" s="158" t="n"/>
      <c r="C55" s="23" t="inlineStr">
        <is>
          <t>102-0053</t>
        </is>
      </c>
      <c r="D55" s="159" t="inlineStr">
        <is>
          <t>Доски обрезные хвойных пород длиной 4-6,5 м, шириной 75-150 мм, толщиной 25 мм, III сорта</t>
        </is>
      </c>
      <c r="E55" s="158" t="inlineStr">
        <is>
          <t>м3</t>
        </is>
      </c>
      <c r="F55" s="158" t="n">
        <v>0.05016</v>
      </c>
      <c r="G55" s="163" t="n">
        <v>1639.79</v>
      </c>
      <c r="H55" s="163">
        <f>ROUND(F55*G55,2)</f>
        <v/>
      </c>
    </row>
    <row r="56" ht="31.7" customFormat="1" customHeight="1" s="139">
      <c r="A56" s="158" t="n">
        <v>42</v>
      </c>
      <c r="B56" s="158" t="n"/>
      <c r="C56" s="23" t="inlineStr">
        <is>
          <t>05.1.01.09-0042</t>
        </is>
      </c>
      <c r="D56" s="159" t="inlineStr">
        <is>
          <t>Кольцо опорное КО-6 /бетон B15 (М200), объем 0,02 м3, расход арматуры 1,10 кг</t>
        </is>
      </c>
      <c r="E56" s="158" t="inlineStr">
        <is>
          <t>шт</t>
        </is>
      </c>
      <c r="F56" s="158" t="n">
        <v>2</v>
      </c>
      <c r="G56" s="163" t="n">
        <v>31.43</v>
      </c>
      <c r="H56" s="163">
        <f>ROUND(F56*G56,2)</f>
        <v/>
      </c>
    </row>
    <row r="57" ht="15.75" customFormat="1" customHeight="1" s="139">
      <c r="A57" s="158" t="n">
        <v>43</v>
      </c>
      <c r="B57" s="158" t="n"/>
      <c r="C57" s="23" t="inlineStr">
        <is>
          <t>04.3.01.09-0014</t>
        </is>
      </c>
      <c r="D57" s="159" t="inlineStr">
        <is>
          <t>Раствор готовый кладочный, цементный, М100</t>
        </is>
      </c>
      <c r="E57" s="158" t="inlineStr">
        <is>
          <t>м3</t>
        </is>
      </c>
      <c r="F57" s="158" t="n">
        <v>0.08116</v>
      </c>
      <c r="G57" s="163" t="n">
        <v>519.8</v>
      </c>
      <c r="H57" s="163">
        <f>ROUND(F57*G57,2)</f>
        <v/>
      </c>
    </row>
    <row r="58" ht="31.7" customFormat="1" customHeight="1" s="139">
      <c r="A58" s="158" t="n">
        <v>44</v>
      </c>
      <c r="B58" s="158" t="n"/>
      <c r="C58" s="23" t="inlineStr">
        <is>
          <t>24.2.06.02-0001</t>
        </is>
      </c>
      <c r="D58" s="159" t="inlineStr">
        <is>
          <t>Манжеты стальные для стыка хризотилцементных труб М-100</t>
        </is>
      </c>
      <c r="E58" s="158" t="inlineStr">
        <is>
          <t>10 шт</t>
        </is>
      </c>
      <c r="F58" s="158" t="n">
        <v>1.024</v>
      </c>
      <c r="G58" s="163" t="n">
        <v>30</v>
      </c>
      <c r="H58" s="163">
        <f>ROUND(F58*G58,2)</f>
        <v/>
      </c>
    </row>
    <row r="59" ht="31.7" customFormat="1" customHeight="1" s="139">
      <c r="A59" s="158" t="n">
        <v>45</v>
      </c>
      <c r="B59" s="158" t="n"/>
      <c r="C59" s="23" t="inlineStr">
        <is>
          <t>04.1.02.05-0006</t>
        </is>
      </c>
      <c r="D59" s="159" t="inlineStr">
        <is>
          <t>Смеси бетонные тяжелого бетона (БСТ), класс В15 (М200)</t>
        </is>
      </c>
      <c r="E59" s="158" t="inlineStr">
        <is>
          <t>м3</t>
        </is>
      </c>
      <c r="F59" s="158" t="n">
        <v>0.0513</v>
      </c>
      <c r="G59" s="163" t="n">
        <v>592.76</v>
      </c>
      <c r="H59" s="163">
        <f>ROUND(F59*G59,2)</f>
        <v/>
      </c>
    </row>
    <row r="60" ht="15.75" customFormat="1" customHeight="1" s="139">
      <c r="A60" s="158" t="n">
        <v>46</v>
      </c>
      <c r="B60" s="158" t="n"/>
      <c r="C60" s="23" t="inlineStr">
        <is>
          <t>08.1.02.11-0001</t>
        </is>
      </c>
      <c r="D60" s="159" t="inlineStr">
        <is>
          <t>Поковки из квадратных заготовок, масса 1,8 кг</t>
        </is>
      </c>
      <c r="E60" s="158" t="inlineStr">
        <is>
          <t>т</t>
        </is>
      </c>
      <c r="F60" s="158" t="n">
        <v>0.00409</v>
      </c>
      <c r="G60" s="163" t="n">
        <v>5989</v>
      </c>
      <c r="H60" s="163">
        <f>ROUND(F60*G60,2)</f>
        <v/>
      </c>
    </row>
    <row r="61" ht="15.75" customFormat="1" customHeight="1" s="139">
      <c r="A61" s="158" t="n">
        <v>47</v>
      </c>
      <c r="B61" s="158" t="n"/>
      <c r="C61" s="23" t="inlineStr">
        <is>
          <t>04.3.01.09-0012</t>
        </is>
      </c>
      <c r="D61" s="159" t="inlineStr">
        <is>
          <t>Раствор готовый кладочный, цементный, М50</t>
        </is>
      </c>
      <c r="E61" s="158" t="inlineStr">
        <is>
          <t>м3</t>
        </is>
      </c>
      <c r="F61" s="158" t="n">
        <v>0.04627</v>
      </c>
      <c r="G61" s="163" t="n">
        <v>485.9</v>
      </c>
      <c r="H61" s="163">
        <f>ROUND(F61*G61,2)</f>
        <v/>
      </c>
    </row>
    <row r="62" ht="15.75" customFormat="1" customHeight="1" s="139">
      <c r="A62" s="158" t="n">
        <v>48</v>
      </c>
      <c r="B62" s="158" t="n"/>
      <c r="C62" s="23" t="inlineStr">
        <is>
          <t>08.1.02.11-0001</t>
        </is>
      </c>
      <c r="D62" s="159" t="inlineStr">
        <is>
          <t>Поковки из квадратных заготовок, масса 1,8 кг</t>
        </is>
      </c>
      <c r="E62" s="158" t="inlineStr">
        <is>
          <t>т</t>
        </is>
      </c>
      <c r="F62" s="158" t="n">
        <v>0.0018</v>
      </c>
      <c r="G62" s="163" t="n">
        <v>5989</v>
      </c>
      <c r="H62" s="163">
        <f>ROUND(F62*G62,2)</f>
        <v/>
      </c>
    </row>
    <row r="63" ht="47.25" customFormat="1" customHeight="1" s="139">
      <c r="A63" s="158" t="n">
        <v>49</v>
      </c>
      <c r="B63" s="158" t="n"/>
      <c r="C63" s="23" t="inlineStr">
        <is>
          <t>102-0008</t>
        </is>
      </c>
      <c r="D63" s="159" t="inlineStr">
        <is>
          <t>Лесоматериалы круглые хвойных пород для строительства диаметром 14-24 см, длиной 3-6,5 м</t>
        </is>
      </c>
      <c r="E63" s="158" t="inlineStr">
        <is>
          <t>м3</t>
        </is>
      </c>
      <c r="F63" s="158" t="n">
        <v>0.012672</v>
      </c>
      <c r="G63" s="163" t="n">
        <v>810.21</v>
      </c>
      <c r="H63" s="163">
        <f>ROUND(F63*G63,2)</f>
        <v/>
      </c>
    </row>
    <row r="64" ht="15.75" customFormat="1" customHeight="1" s="139">
      <c r="A64" s="158" t="n">
        <v>50</v>
      </c>
      <c r="B64" s="158" t="n"/>
      <c r="C64" s="23" t="inlineStr">
        <is>
          <t>101-1805</t>
        </is>
      </c>
      <c r="D64" s="159" t="inlineStr">
        <is>
          <t>Гвозди строительные</t>
        </is>
      </c>
      <c r="E64" s="158" t="inlineStr">
        <is>
          <t>т</t>
        </is>
      </c>
      <c r="F64" s="158" t="n">
        <v>0.0012672</v>
      </c>
      <c r="G64" s="163" t="n">
        <v>7671.42</v>
      </c>
      <c r="H64" s="163">
        <f>ROUND(F64*G64,2)</f>
        <v/>
      </c>
    </row>
    <row r="65" ht="15.75" customFormat="1" customHeight="1" s="139">
      <c r="A65" s="158" t="n">
        <v>51</v>
      </c>
      <c r="B65" s="158" t="n"/>
      <c r="C65" s="23" t="inlineStr">
        <is>
          <t>01.3.01.03-0002</t>
        </is>
      </c>
      <c r="D65" s="159" t="inlineStr">
        <is>
          <t>Керосин для технических целей</t>
        </is>
      </c>
      <c r="E65" s="158" t="inlineStr">
        <is>
          <t>т</t>
        </is>
      </c>
      <c r="F65" s="158" t="n">
        <v>0.0029808</v>
      </c>
      <c r="G65" s="163" t="n">
        <v>2606.9</v>
      </c>
      <c r="H65" s="163">
        <f>ROUND(F65*G65,2)</f>
        <v/>
      </c>
    </row>
    <row r="66" ht="31.7" customFormat="1" customHeight="1" s="139">
      <c r="A66" s="158" t="n">
        <v>52</v>
      </c>
      <c r="B66" s="158" t="n"/>
      <c r="C66" s="23" t="inlineStr">
        <is>
          <t>101-0797</t>
        </is>
      </c>
      <c r="D66" s="159" t="inlineStr">
        <is>
          <t>Проволока горячекатаная в мотках, диаметром 6,3-6,5 мм</t>
        </is>
      </c>
      <c r="E66" s="158" t="inlineStr">
        <is>
          <t>т</t>
        </is>
      </c>
      <c r="F66" s="158" t="n">
        <v>0.00132</v>
      </c>
      <c r="G66" s="163" t="n">
        <v>4751.12</v>
      </c>
      <c r="H66" s="163">
        <f>ROUND(F66*G66,2)</f>
        <v/>
      </c>
    </row>
    <row r="67" ht="15.75" customFormat="1" customHeight="1" s="139">
      <c r="A67" s="158" t="n">
        <v>53</v>
      </c>
      <c r="B67" s="158" t="n"/>
      <c r="C67" s="23" t="inlineStr">
        <is>
          <t>01.7.15.10-0067</t>
        </is>
      </c>
      <c r="D67" s="159" t="inlineStr">
        <is>
          <t>Скобы ходовые</t>
        </is>
      </c>
      <c r="E67" s="158" t="inlineStr">
        <is>
          <t>шт</t>
        </is>
      </c>
      <c r="F67" s="158" t="n">
        <v>0.8683</v>
      </c>
      <c r="G67" s="163" t="n">
        <v>6.55</v>
      </c>
      <c r="H67" s="163">
        <f>ROUND(F67*G67,2)</f>
        <v/>
      </c>
    </row>
    <row r="68" ht="15.75" customFormat="1" customHeight="1" s="139">
      <c r="A68" s="158" t="n">
        <v>54</v>
      </c>
      <c r="B68" s="158" t="n"/>
      <c r="C68" s="23" t="inlineStr">
        <is>
          <t>01.7.07.12-0024</t>
        </is>
      </c>
      <c r="D68" s="159" t="inlineStr">
        <is>
          <t>Пленка полиэтиленовая, толщина 0,15 мм</t>
        </is>
      </c>
      <c r="E68" s="158" t="inlineStr">
        <is>
          <t>м2</t>
        </is>
      </c>
      <c r="F68" s="158" t="n">
        <v>1.15</v>
      </c>
      <c r="G68" s="163" t="n">
        <v>3.62</v>
      </c>
      <c r="H68" s="163">
        <f>ROUND(F68*G68,2)</f>
        <v/>
      </c>
    </row>
    <row r="69" ht="15.75" customFormat="1" customHeight="1" s="139">
      <c r="A69" s="158" t="n">
        <v>55</v>
      </c>
      <c r="B69" s="158" t="n"/>
      <c r="C69" s="23" t="inlineStr">
        <is>
          <t>101-1529</t>
        </is>
      </c>
      <c r="D69" s="159" t="inlineStr">
        <is>
          <t>Электроды диаметром 6 мм Э42</t>
        </is>
      </c>
      <c r="E69" s="158" t="inlineStr">
        <is>
          <t>т</t>
        </is>
      </c>
      <c r="F69" s="158" t="n">
        <v>0.0003828</v>
      </c>
      <c r="G69" s="163" t="n">
        <v>10212.3</v>
      </c>
      <c r="H69" s="163">
        <f>ROUND(F69*G69,2)</f>
        <v/>
      </c>
    </row>
    <row r="70" ht="15.75" customFormat="1" customHeight="1" s="139">
      <c r="A70" s="158" t="n">
        <v>56</v>
      </c>
      <c r="B70" s="158" t="n"/>
      <c r="C70" s="23" t="inlineStr">
        <is>
          <t>405-0253</t>
        </is>
      </c>
      <c r="D70" s="159" t="inlineStr">
        <is>
          <t>Известь строительная негашеная комовая, сорт I</t>
        </is>
      </c>
      <c r="E70" s="158" t="inlineStr">
        <is>
          <t>т</t>
        </is>
      </c>
      <c r="F70" s="158" t="n">
        <v>0.0015576</v>
      </c>
      <c r="G70" s="163" t="n">
        <v>1878.74</v>
      </c>
      <c r="H70" s="163">
        <f>ROUND(F70*G70,2)</f>
        <v/>
      </c>
    </row>
    <row r="71" ht="47.25" customFormat="1" customHeight="1" s="139">
      <c r="A71" s="158" t="n">
        <v>57</v>
      </c>
      <c r="B71" s="158" t="n"/>
      <c r="C71" s="23" t="inlineStr">
        <is>
          <t>11.1.03.03-0003</t>
        </is>
      </c>
      <c r="D71" s="159" t="inlineStr">
        <is>
          <t>Брусья необрезные, хвойных пород, длина 2-3,75 м, все ширины, толщина 100-125 мм, сорт III</t>
        </is>
      </c>
      <c r="E71" s="158" t="inlineStr">
        <is>
          <t>м3</t>
        </is>
      </c>
      <c r="F71" s="158" t="n">
        <v>0.00256</v>
      </c>
      <c r="G71" s="163" t="n">
        <v>802.46</v>
      </c>
      <c r="H71" s="163">
        <f>ROUND(F71*G71,2)</f>
        <v/>
      </c>
    </row>
    <row r="72" ht="31.7" customFormat="1" customHeight="1" s="139">
      <c r="A72" s="158" t="n">
        <v>58</v>
      </c>
      <c r="B72" s="158" t="n"/>
      <c r="C72" s="23" t="inlineStr">
        <is>
          <t>02.3.01.02-1012</t>
        </is>
      </c>
      <c r="D72" s="159" t="inlineStr">
        <is>
          <t>Песок природный II класс, средний, круглые сита</t>
        </is>
      </c>
      <c r="E72" s="158" t="inlineStr">
        <is>
          <t>м3</t>
        </is>
      </c>
      <c r="F72" s="158" t="n">
        <v>0.03344</v>
      </c>
      <c r="G72" s="163" t="n">
        <v>59.99</v>
      </c>
      <c r="H72" s="163">
        <f>ROUND(F72*G72,2)</f>
        <v/>
      </c>
    </row>
    <row r="73" ht="15.75" customFormat="1" customHeight="1" s="139">
      <c r="A73" s="158" t="n">
        <v>59</v>
      </c>
      <c r="B73" s="158" t="n"/>
      <c r="C73" s="23" t="inlineStr">
        <is>
          <t>01.2.01.02-0054</t>
        </is>
      </c>
      <c r="D73" s="159" t="inlineStr">
        <is>
          <t>Битумы нефтяные строительные БН-90/10</t>
        </is>
      </c>
      <c r="E73" s="158" t="inlineStr">
        <is>
          <t>т</t>
        </is>
      </c>
      <c r="F73" s="158" t="n">
        <v>0.0011304</v>
      </c>
      <c r="G73" s="163" t="n">
        <v>1383.1</v>
      </c>
      <c r="H73" s="163">
        <f>ROUND(F73*G73,2)</f>
        <v/>
      </c>
    </row>
    <row r="74" ht="15.75" customFormat="1" customHeight="1" s="139">
      <c r="A74" s="158" t="n">
        <v>60</v>
      </c>
      <c r="B74" s="158" t="n"/>
      <c r="C74" s="23" t="inlineStr">
        <is>
          <t>01.7.16.04-0013</t>
        </is>
      </c>
      <c r="D74" s="159" t="inlineStr">
        <is>
          <t>Опалубка металлическая</t>
        </is>
      </c>
      <c r="E74" s="158" t="inlineStr">
        <is>
          <t>т</t>
        </is>
      </c>
      <c r="F74" s="158" t="n">
        <v>0.000266</v>
      </c>
      <c r="G74" s="163" t="n">
        <v>3938.2</v>
      </c>
      <c r="H74" s="163">
        <f>ROUND(F74*G74,2)</f>
        <v/>
      </c>
    </row>
    <row r="75" ht="15.75" customFormat="1" customHeight="1" s="139">
      <c r="A75" s="158" t="n">
        <v>61</v>
      </c>
      <c r="B75" s="158" t="n"/>
      <c r="C75" s="23" t="inlineStr">
        <is>
          <t>04.3.01.03-0001</t>
        </is>
      </c>
      <c r="D75" s="159" t="inlineStr">
        <is>
          <t>Раствор асбоцементный</t>
        </is>
      </c>
      <c r="E75" s="158" t="inlineStr">
        <is>
          <t>м3</t>
        </is>
      </c>
      <c r="F75" s="158" t="n">
        <v>0.00228</v>
      </c>
      <c r="G75" s="163" t="n">
        <v>395</v>
      </c>
      <c r="H75" s="163">
        <f>ROUND(F75*G75,2)</f>
        <v/>
      </c>
    </row>
    <row r="76" ht="15.75" customFormat="1" customHeight="1" s="139">
      <c r="A76" s="158" t="n">
        <v>62</v>
      </c>
      <c r="B76" s="158" t="n"/>
      <c r="C76" s="23" t="inlineStr">
        <is>
          <t>01.7.03.01-0001</t>
        </is>
      </c>
      <c r="D76" s="159" t="inlineStr">
        <is>
          <t>Вода</t>
        </is>
      </c>
      <c r="E76" s="158" t="inlineStr">
        <is>
          <t>м3</t>
        </is>
      </c>
      <c r="F76" s="158" t="n">
        <v>0.20125</v>
      </c>
      <c r="G76" s="163" t="n">
        <v>2.44</v>
      </c>
      <c r="H76" s="163">
        <f>ROUND(F76*G76,2)</f>
        <v/>
      </c>
    </row>
    <row r="77" ht="15.75" customFormat="1" customHeight="1" s="139">
      <c r="A77" s="158" t="n">
        <v>63</v>
      </c>
      <c r="B77" s="158" t="n"/>
      <c r="C77" s="23" t="inlineStr">
        <is>
          <t>411-0001</t>
        </is>
      </c>
      <c r="D77" s="159" t="inlineStr">
        <is>
          <t>Вода</t>
        </is>
      </c>
      <c r="E77" s="158" t="inlineStr">
        <is>
          <t>м3</t>
        </is>
      </c>
      <c r="F77" s="158" t="n">
        <v>0.0046728</v>
      </c>
      <c r="G77" s="163" t="n">
        <v>17.18</v>
      </c>
      <c r="H77" s="163">
        <f>ROUND(F77*G77,2)</f>
        <v/>
      </c>
    </row>
    <row r="78" ht="47.25" customFormat="1" customHeight="1" s="139">
      <c r="A78" s="158" t="n">
        <v>64</v>
      </c>
      <c r="B78" s="158" t="n"/>
      <c r="C78" s="23" t="inlineStr">
        <is>
          <t>03.2.01.01-0001</t>
        </is>
      </c>
      <c r="D78" s="159" t="inlineStr">
        <is>
          <t>Портландцемент общестроительного назначения бездобавочный М400 Д0 (ЦЕМ I 32,5Н)</t>
        </is>
      </c>
      <c r="E78" s="158" t="inlineStr">
        <is>
          <t>т</t>
        </is>
      </c>
      <c r="F78" s="158" t="n">
        <v>0.000152</v>
      </c>
      <c r="G78" s="163" t="n">
        <v>412</v>
      </c>
      <c r="H78" s="163">
        <f>ROUND(F78*G78,2)</f>
        <v/>
      </c>
    </row>
    <row r="79" ht="15.75" customFormat="1" customHeight="1" s="139">
      <c r="A79" s="158" t="n">
        <v>65</v>
      </c>
      <c r="B79" s="158" t="n"/>
      <c r="C79" s="23" t="inlineStr">
        <is>
          <t>01.7.20.08-0051</t>
        </is>
      </c>
      <c r="D79" s="159" t="inlineStr">
        <is>
          <t>Ветошь</t>
        </is>
      </c>
      <c r="E79" s="158" t="inlineStr">
        <is>
          <t>кг</t>
        </is>
      </c>
      <c r="F79" s="158" t="n">
        <v>0.03126</v>
      </c>
      <c r="G79" s="163" t="n">
        <v>1.82</v>
      </c>
      <c r="H79" s="163">
        <f>ROUND(F79*G79,2)</f>
        <v/>
      </c>
    </row>
    <row r="80" ht="15.75" customFormat="1" customHeight="1" s="139"/>
    <row r="81" ht="15.75" customFormat="1" customHeight="1" s="139"/>
    <row r="82" ht="15.75" customFormat="1" customHeight="1" s="139"/>
    <row r="83" ht="15.75" customFormat="1" customHeight="1" s="139"/>
    <row r="84" ht="15.75" customFormat="1" customHeight="1" s="139">
      <c r="B84" s="139" t="inlineStr">
        <is>
          <t>Составил ______________________        М.С. Колотиевская</t>
        </is>
      </c>
      <c r="C84" s="139" t="n"/>
    </row>
    <row r="85" ht="15.75" customFormat="1" customHeight="1" s="139">
      <c r="B85" s="96" t="inlineStr">
        <is>
          <t xml:space="preserve">                         (подпись, инициалы, фамилия)</t>
        </is>
      </c>
      <c r="C85" s="139" t="n"/>
    </row>
    <row r="86" ht="15.75" customFormat="1" customHeight="1" s="139">
      <c r="B86" s="139" t="n"/>
      <c r="C86" s="139" t="n"/>
    </row>
    <row r="87" ht="15.75" customFormat="1" customHeight="1" s="139">
      <c r="B87" s="139" t="inlineStr">
        <is>
          <t>Проверил ______________________          А.В. Костянецкая</t>
        </is>
      </c>
      <c r="C87" s="139" t="n"/>
    </row>
    <row r="88" ht="15.75" customFormat="1" customHeight="1" s="139">
      <c r="B88" s="96" t="inlineStr">
        <is>
          <t xml:space="preserve">                        (подпись, инициалы, фамилия)</t>
        </is>
      </c>
      <c r="C88" s="139" t="n"/>
    </row>
    <row r="89" ht="15.75" customFormat="1" customHeight="1" s="139"/>
  </sheetData>
  <mergeCells count="15">
    <mergeCell ref="A3:H3"/>
    <mergeCell ref="A8:A9"/>
    <mergeCell ref="E8:E9"/>
    <mergeCell ref="C8:C9"/>
    <mergeCell ref="F8:F9"/>
    <mergeCell ref="A2:H2"/>
    <mergeCell ref="A25:E25"/>
    <mergeCell ref="A11:E11"/>
    <mergeCell ref="D8:D9"/>
    <mergeCell ref="B8:B9"/>
    <mergeCell ref="A23:E23"/>
    <mergeCell ref="C4:H4"/>
    <mergeCell ref="A44:E44"/>
    <mergeCell ref="G8:H8"/>
    <mergeCell ref="A6:H6"/>
  </mergeCells>
  <conditionalFormatting sqref="F10:F79">
    <cfRule type="expression" priority="1" dxfId="0" stopIfTrue="1">
      <formula>ROUND(F10*10000,0)/10000=F10</formula>
    </cfRule>
  </conditionalFormatting>
  <pageMargins left="0.7" right="0.7" top="0.75" bottom="0.75" header="0.3" footer="0.3"/>
  <pageSetup orientation="portrait" paperSize="9" scale="5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25" zoomScale="60" zoomScaleNormal="100" workbookViewId="0">
      <selection activeCell="B43" sqref="B43"/>
    </sheetView>
  </sheetViews>
  <sheetFormatPr baseColWidth="8" defaultColWidth="9.140625" defaultRowHeight="15"/>
  <cols>
    <col width="4.140625" customWidth="1" style="137" min="1" max="1"/>
    <col width="36.28515625" customWidth="1" style="137" min="2" max="2"/>
    <col width="18.85546875" customWidth="1" style="137" min="3" max="3"/>
    <col width="18.28515625" customWidth="1" style="137" min="4" max="4"/>
    <col width="20.85546875" customWidth="1" style="137" min="5" max="5"/>
    <col width="9.140625" customWidth="1" style="137" min="6" max="10"/>
    <col width="13.5703125" customWidth="1" style="137" min="11" max="11"/>
    <col width="9.140625" customWidth="1" style="137" min="12" max="12"/>
  </cols>
  <sheetData>
    <row r="1" ht="15.75" customHeight="1" s="137">
      <c r="A1" s="71" t="n"/>
      <c r="B1" s="139" t="n"/>
      <c r="C1" s="139" t="n"/>
      <c r="D1" s="139" t="n"/>
      <c r="E1" s="139" t="n"/>
    </row>
    <row r="2" ht="15.75" customHeight="1" s="137">
      <c r="B2" s="139" t="n"/>
      <c r="C2" s="139" t="n"/>
      <c r="D2" s="139" t="n"/>
      <c r="E2" s="168" t="inlineStr">
        <is>
          <t>Приложение № 4</t>
        </is>
      </c>
    </row>
    <row r="3" ht="15.75" customHeight="1" s="137">
      <c r="B3" s="139" t="n"/>
      <c r="C3" s="139" t="n"/>
      <c r="D3" s="139" t="n"/>
      <c r="E3" s="139" t="n"/>
    </row>
    <row r="4" ht="15.75" customHeight="1" s="137">
      <c r="B4" s="139" t="n"/>
      <c r="C4" s="139" t="n"/>
      <c r="D4" s="139" t="n"/>
      <c r="E4" s="139" t="n"/>
    </row>
    <row r="5" ht="15.75" customHeight="1" s="137">
      <c r="B5" s="145" t="inlineStr">
        <is>
          <t>Ресурсная модель</t>
        </is>
      </c>
    </row>
    <row r="6" ht="15.75" customHeight="1" s="137">
      <c r="B6" s="146" t="n"/>
      <c r="C6" s="139" t="n"/>
      <c r="D6" s="139" t="n"/>
      <c r="E6" s="139" t="n"/>
    </row>
    <row r="7" ht="15.75" customHeight="1" s="137">
      <c r="B7" s="156" t="inlineStr">
        <is>
          <t>Наименование разрабатываемой расценки УНЦ —  Аварийные маслостоки</t>
        </is>
      </c>
    </row>
    <row r="8" ht="15.75" customHeight="1" s="137">
      <c r="B8" s="156" t="inlineStr">
        <is>
          <t>Единица измерения  — м</t>
        </is>
      </c>
    </row>
    <row r="9">
      <c r="B9" s="76" t="n"/>
      <c r="C9" s="118" t="n"/>
      <c r="D9" s="118" t="n"/>
      <c r="E9" s="118" t="n"/>
    </row>
    <row r="10" ht="78.75" customFormat="1" customHeight="1" s="139">
      <c r="B10" s="162" t="inlineStr">
        <is>
          <t>Наименование</t>
        </is>
      </c>
      <c r="C10" s="162" t="inlineStr">
        <is>
          <t>Сметная стоимость в ценах на 01.01.2023
 (руб.)</t>
        </is>
      </c>
      <c r="D10" s="162" t="inlineStr">
        <is>
          <t>Удельный вес, 
(в СМР)</t>
        </is>
      </c>
      <c r="E10" s="162" t="inlineStr">
        <is>
          <t>Удельный вес, % 
(от всего по РМ)</t>
        </is>
      </c>
    </row>
    <row r="11" ht="15" customFormat="1" customHeight="1" s="139">
      <c r="B11" s="172" t="inlineStr">
        <is>
          <t>Оплата труда рабочих</t>
        </is>
      </c>
      <c r="C11" s="80">
        <f>'Прил.5 Расчет СМР и ОБ'!J14</f>
        <v/>
      </c>
      <c r="D11" s="81">
        <f>C11/C24</f>
        <v/>
      </c>
      <c r="E11" s="81">
        <f>C11/C40</f>
        <v/>
      </c>
    </row>
    <row r="12" ht="15" customFormat="1" customHeight="1" s="139">
      <c r="B12" s="172" t="inlineStr">
        <is>
          <t>Эксплуатация машин основных</t>
        </is>
      </c>
      <c r="C12" s="80">
        <f>'Прил.5 Расчет СМР и ОБ'!J22</f>
        <v/>
      </c>
      <c r="D12" s="81">
        <f>C12/C24</f>
        <v/>
      </c>
      <c r="E12" s="81">
        <f>C12/C40</f>
        <v/>
      </c>
    </row>
    <row r="13" ht="15" customFormat="1" customHeight="1" s="139">
      <c r="B13" s="172" t="inlineStr">
        <is>
          <t>Эксплуатация машин прочих</t>
        </is>
      </c>
      <c r="C13" s="80">
        <f>'Прил.5 Расчет СМР и ОБ'!J38</f>
        <v/>
      </c>
      <c r="D13" s="81">
        <f>C13/C24</f>
        <v/>
      </c>
      <c r="E13" s="81">
        <f>C13/C40</f>
        <v/>
      </c>
    </row>
    <row r="14" ht="15" customFormat="1" customHeight="1" s="139">
      <c r="B14" s="172" t="inlineStr">
        <is>
          <t>ЭКСПЛУАТАЦИЯ МАШИН, ВСЕГО:</t>
        </is>
      </c>
      <c r="C14" s="80">
        <f>C13+C12</f>
        <v/>
      </c>
      <c r="D14" s="81">
        <f>C14/C24</f>
        <v/>
      </c>
      <c r="E14" s="81">
        <f>C14/C40</f>
        <v/>
      </c>
    </row>
    <row r="15" ht="15" customFormat="1" customHeight="1" s="139">
      <c r="B15" s="172" t="inlineStr">
        <is>
          <t>в том числе зарплата машинистов</t>
        </is>
      </c>
      <c r="C15" s="80">
        <f>'Прил.5 Расчет СМР и ОБ'!J16</f>
        <v/>
      </c>
      <c r="D15" s="81">
        <f>C15/C24</f>
        <v/>
      </c>
      <c r="E15" s="81">
        <f>C15/C40</f>
        <v/>
      </c>
    </row>
    <row r="16" ht="15" customFormat="1" customHeight="1" s="139">
      <c r="B16" s="172" t="inlineStr">
        <is>
          <t>Материалы основные</t>
        </is>
      </c>
      <c r="C16" s="80">
        <f>'Прил.5 Расчет СМР и ОБ'!J57</f>
        <v/>
      </c>
      <c r="D16" s="81">
        <f>C16/C24</f>
        <v/>
      </c>
      <c r="E16" s="81">
        <f>C16/C40</f>
        <v/>
      </c>
    </row>
    <row r="17" ht="15" customFormat="1" customHeight="1" s="139">
      <c r="B17" s="172" t="inlineStr">
        <is>
          <t>Материалы прочие</t>
        </is>
      </c>
      <c r="C17" s="80">
        <f>'Прил.5 Расчет СМР и ОБ'!J85</f>
        <v/>
      </c>
      <c r="D17" s="81">
        <f>C17/C24</f>
        <v/>
      </c>
      <c r="E17" s="81">
        <f>C17/C40</f>
        <v/>
      </c>
    </row>
    <row r="18" ht="15" customFormat="1" customHeight="1" s="139">
      <c r="B18" s="172" t="inlineStr">
        <is>
          <t>МАТЕРИАЛЫ, ВСЕГО:</t>
        </is>
      </c>
      <c r="C18" s="80">
        <f>C17+C16</f>
        <v/>
      </c>
      <c r="D18" s="81">
        <f>C18/C24</f>
        <v/>
      </c>
      <c r="E18" s="81">
        <f>C18/C40</f>
        <v/>
      </c>
    </row>
    <row r="19" ht="15" customFormat="1" customHeight="1" s="139">
      <c r="B19" s="172" t="inlineStr">
        <is>
          <t>ИТОГО</t>
        </is>
      </c>
      <c r="C19" s="80">
        <f>C18+C14+C11</f>
        <v/>
      </c>
      <c r="D19" s="81">
        <f>C19/C24</f>
        <v/>
      </c>
      <c r="E19" s="82">
        <f>C19/C40</f>
        <v/>
      </c>
    </row>
    <row r="20" ht="15" customFormat="1" customHeight="1" s="139">
      <c r="B20" s="172" t="inlineStr">
        <is>
          <t>Сметная прибыль, руб.</t>
        </is>
      </c>
      <c r="C20" s="80" t="n">
        <v>43981.322080764</v>
      </c>
      <c r="D20" s="81">
        <f>C20/C24</f>
        <v/>
      </c>
      <c r="E20" s="81">
        <f>C20/C40</f>
        <v/>
      </c>
    </row>
    <row r="21" ht="15" customFormat="1" customHeight="1" s="139">
      <c r="B21" s="172" t="inlineStr">
        <is>
          <t>Сметная прибыль, %</t>
        </is>
      </c>
      <c r="C21" s="83">
        <f>C20/(C11+C15)</f>
        <v/>
      </c>
      <c r="D21" s="81" t="n"/>
      <c r="E21" s="82" t="n"/>
    </row>
    <row r="22" ht="15" customFormat="1" customHeight="1" s="139">
      <c r="B22" s="172" t="inlineStr">
        <is>
          <t>Накладные расходы, руб.</t>
        </is>
      </c>
      <c r="C22" s="80" t="n">
        <v>79667.122751574</v>
      </c>
      <c r="D22" s="81">
        <f>C22/C24</f>
        <v/>
      </c>
      <c r="E22" s="81">
        <f>C22/C40</f>
        <v/>
      </c>
    </row>
    <row r="23" ht="15" customFormat="1" customHeight="1" s="139">
      <c r="B23" s="172" t="inlineStr">
        <is>
          <t>Накладные расходы, %</t>
        </is>
      </c>
      <c r="C23" s="83">
        <f>C22/(C11+C15)</f>
        <v/>
      </c>
      <c r="D23" s="81" t="n"/>
      <c r="E23" s="82" t="n"/>
    </row>
    <row r="24" ht="15" customFormat="1" customHeight="1" s="139">
      <c r="B24" s="172" t="inlineStr">
        <is>
          <t>ВСЕГО СМР с НР и СП</t>
        </is>
      </c>
      <c r="C24" s="80">
        <f>C19+C20+C22</f>
        <v/>
      </c>
      <c r="D24" s="81">
        <f>C24/C24</f>
        <v/>
      </c>
      <c r="E24" s="81">
        <f>C24/C40</f>
        <v/>
      </c>
    </row>
    <row r="25" ht="31.7" customFormat="1" customHeight="1" s="139">
      <c r="B25" s="172" t="inlineStr">
        <is>
          <t>ВСЕГО стоимость оборудования, в том числе</t>
        </is>
      </c>
      <c r="C25" s="80">
        <f>'Прил.5 Расчет СМР и ОБ'!J45</f>
        <v/>
      </c>
      <c r="D25" s="81" t="n"/>
      <c r="E25" s="81">
        <f>C25/C40</f>
        <v/>
      </c>
    </row>
    <row r="26" ht="31.7" customFormat="1" customHeight="1" s="139">
      <c r="B26" s="172" t="inlineStr">
        <is>
          <t>стоимость оборудования технологического</t>
        </is>
      </c>
      <c r="C26" s="80">
        <f>C25</f>
        <v/>
      </c>
      <c r="D26" s="81" t="n"/>
      <c r="E26" s="81">
        <f>C26/C40</f>
        <v/>
      </c>
    </row>
    <row r="27" ht="15" customFormat="1" customHeight="1" s="139">
      <c r="B27" s="172" t="inlineStr">
        <is>
          <t>ИТОГО (СМР + ОБОРУДОВАНИЕ)</t>
        </is>
      </c>
      <c r="C27" s="84">
        <f>C24+C25</f>
        <v/>
      </c>
      <c r="D27" s="81" t="n"/>
      <c r="E27" s="81">
        <f>C27/C40</f>
        <v/>
      </c>
    </row>
    <row r="28" ht="33" customFormat="1" customHeight="1" s="139">
      <c r="B28" s="172" t="inlineStr">
        <is>
          <t>ПРОЧ. ЗАТР., УЧТЕННЫЕ ПОКАЗАТЕЛЕМ,  в том числе</t>
        </is>
      </c>
      <c r="C28" s="172" t="n"/>
      <c r="D28" s="82" t="n"/>
      <c r="E28" s="82" t="n"/>
    </row>
    <row r="29" ht="31.7" customFormat="1" customHeight="1" s="139">
      <c r="B29" s="172" t="inlineStr">
        <is>
          <t>Временные здания и сооружения - 3,9%</t>
        </is>
      </c>
      <c r="C29" s="84">
        <f>ROUND(C24*0.039,2)</f>
        <v/>
      </c>
      <c r="D29" s="82" t="n"/>
      <c r="E29" s="81">
        <f>C29/C40</f>
        <v/>
      </c>
    </row>
    <row r="30" ht="63" customFormat="1" customHeight="1" s="139">
      <c r="B30" s="172" t="inlineStr">
        <is>
          <t>Дополнительные затраты при производстве строительно-монтажных работ в зимнее время - 2,1%</t>
        </is>
      </c>
      <c r="C30" s="84">
        <f>ROUND((C24+C29)*0.021,2)</f>
        <v/>
      </c>
      <c r="D30" s="82" t="n"/>
      <c r="E30" s="81">
        <f>C30/C40</f>
        <v/>
      </c>
    </row>
    <row r="31" ht="15.75" customFormat="1" customHeight="1" s="139">
      <c r="B31" s="172" t="inlineStr">
        <is>
          <t>Пусконаладочные работы</t>
        </is>
      </c>
      <c r="C31" s="84">
        <f>ROUND(C25*80%*7%,2)</f>
        <v/>
      </c>
      <c r="D31" s="82" t="n"/>
      <c r="E31" s="81">
        <f>C31/C40</f>
        <v/>
      </c>
    </row>
    <row r="32" ht="31.7" customFormat="1" customHeight="1" s="139">
      <c r="B32" s="172" t="inlineStr">
        <is>
          <t>Затраты по перевозке работников к месту работы и обратно</t>
        </is>
      </c>
      <c r="C32" s="84" t="n">
        <v>0</v>
      </c>
      <c r="D32" s="82" t="n"/>
      <c r="E32" s="81">
        <f>C32/C40</f>
        <v/>
      </c>
    </row>
    <row r="33" ht="47.25" customFormat="1" customHeight="1" s="139">
      <c r="B33" s="172" t="inlineStr">
        <is>
          <t>Затраты, связанные с осуществлением работ вахтовым методом</t>
        </is>
      </c>
      <c r="C33" s="84" t="n">
        <v>0</v>
      </c>
      <c r="D33" s="82" t="n"/>
      <c r="E33" s="81">
        <f>C33/C40</f>
        <v/>
      </c>
    </row>
    <row r="34" ht="63" customFormat="1" customHeight="1" s="139">
      <c r="B34" s="17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4" t="n">
        <v>0</v>
      </c>
      <c r="D34" s="82" t="n"/>
      <c r="E34" s="81">
        <f>C34/C40</f>
        <v/>
      </c>
    </row>
    <row r="35" ht="94.7" customFormat="1" customHeight="1" s="139">
      <c r="B35" s="17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4" t="n">
        <v>0</v>
      </c>
      <c r="D35" s="82" t="n"/>
      <c r="E35" s="81">
        <f>C35/C40</f>
        <v/>
      </c>
    </row>
    <row r="36" ht="47.25" customFormat="1" customHeight="1" s="139">
      <c r="B36" s="85" t="inlineStr">
        <is>
          <t>Строительный контроль и содержание службы заказчика - 2,14%</t>
        </is>
      </c>
      <c r="C36" s="86">
        <f>ROUND((C27+C29+C31+C30)*0.0214,2)</f>
        <v/>
      </c>
      <c r="D36" s="87" t="n"/>
      <c r="E36" s="88">
        <f>C36/C40</f>
        <v/>
      </c>
      <c r="K36" s="89" t="n"/>
    </row>
    <row r="37" ht="15.75" customFormat="1" customHeight="1" s="139">
      <c r="B37" s="166" t="inlineStr">
        <is>
          <t>Авторский надзор - 0,2%</t>
        </is>
      </c>
      <c r="C37" s="166">
        <f>ROUND((C27+C29+C30+C31)*0.002,2)</f>
        <v/>
      </c>
      <c r="D37" s="91" t="n"/>
      <c r="E37" s="91">
        <f>C37/C40</f>
        <v/>
      </c>
    </row>
    <row r="38" ht="63" customFormat="1" customHeight="1" s="139">
      <c r="B38" s="92" t="inlineStr">
        <is>
          <t>ИТОГО (СМР+ОБОРУДОВАНИЕ+ПРОЧ. ЗАТР., УЧТЕННЫЕ ПОКАЗАТЕЛЕМ)</t>
        </is>
      </c>
      <c r="C38" s="93">
        <f>C27+C29+C30+C31+C36+C37</f>
        <v/>
      </c>
      <c r="D38" s="94" t="n"/>
      <c r="E38" s="95">
        <f>C38/C40</f>
        <v/>
      </c>
    </row>
    <row r="39" ht="15.75" customFormat="1" customHeight="1" s="139">
      <c r="B39" s="172" t="inlineStr">
        <is>
          <t>Непредвиденные расходы</t>
        </is>
      </c>
      <c r="C39" s="80">
        <f>ROUND(C38*0.03,2)</f>
        <v/>
      </c>
      <c r="D39" s="82" t="n"/>
      <c r="E39" s="81">
        <f>C39/C40</f>
        <v/>
      </c>
    </row>
    <row r="40" ht="15.75" customFormat="1" customHeight="1" s="139">
      <c r="B40" s="172" t="inlineStr">
        <is>
          <t>ВСЕГО:</t>
        </is>
      </c>
      <c r="C40" s="80">
        <f>C39+C38</f>
        <v/>
      </c>
      <c r="D40" s="82" t="n"/>
      <c r="E40" s="81">
        <f>C40/C40</f>
        <v/>
      </c>
    </row>
    <row r="41" ht="31.7" customFormat="1" customHeight="1" s="139">
      <c r="B41" s="172" t="inlineStr">
        <is>
          <t>ИТОГО ПОКАЗАТЕЛЬ НА ЕД. ИЗМ.</t>
        </is>
      </c>
      <c r="C41" s="80">
        <f>C40/'Прил.5 Расчет СМР и ОБ'!E92</f>
        <v/>
      </c>
      <c r="D41" s="82" t="n"/>
      <c r="E41" s="82" t="n"/>
    </row>
    <row r="42" ht="15.75" customFormat="1" customHeight="1" s="139">
      <c r="B42" s="96" t="n"/>
    </row>
    <row r="43" ht="15.75" customFormat="1" customHeight="1" s="139">
      <c r="B43" s="96" t="inlineStr">
        <is>
          <t>Составил ____________________________ М.С. Колотиевская</t>
        </is>
      </c>
    </row>
    <row r="44" ht="15.75" customFormat="1" customHeight="1" s="139">
      <c r="B44" s="96" t="inlineStr">
        <is>
          <t xml:space="preserve">(должность, подпись, инициалы, фамилия) </t>
        </is>
      </c>
    </row>
    <row r="45" ht="15.75" customFormat="1" customHeight="1" s="139">
      <c r="B45" s="96" t="n"/>
    </row>
    <row r="46" ht="15.75" customFormat="1" customHeight="1" s="139">
      <c r="B46" s="139" t="inlineStr">
        <is>
          <t>Проверил ______________________          А.В. Костянецкая</t>
        </is>
      </c>
    </row>
    <row r="47" ht="15.75" customFormat="1" customHeight="1" s="139">
      <c r="B47" s="156" t="inlineStr">
        <is>
          <t>(должность, подпись, инициалы, фамилия)</t>
        </is>
      </c>
      <c r="C47" s="156" t="n"/>
    </row>
    <row r="48" ht="15.75" customFormat="1" customHeight="1" s="13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9"/>
  <sheetViews>
    <sheetView view="pageBreakPreview" topLeftCell="A18" zoomScale="60" zoomScaleNormal="100" workbookViewId="0">
      <selection activeCell="C95" sqref="C95"/>
    </sheetView>
  </sheetViews>
  <sheetFormatPr baseColWidth="8" defaultColWidth="9.140625" defaultRowHeight="15" outlineLevelRow="1"/>
  <cols>
    <col width="5.7109375" customWidth="1" style="124" min="1" max="1"/>
    <col width="22.5703125" customWidth="1" style="124" min="2" max="2"/>
    <col width="39.140625" customWidth="1" style="124" min="3" max="3"/>
    <col width="10.7109375" customWidth="1" style="124" min="4" max="4"/>
    <col width="12.7109375" customWidth="1" style="124" min="5" max="5"/>
    <col width="14.5703125" customWidth="1" style="124" min="6" max="6"/>
    <col width="13.42578125" customWidth="1" style="124" min="7" max="7"/>
    <col width="12.7109375" customWidth="1" style="124" min="8" max="8"/>
    <col width="14.5703125" customWidth="1" style="124" min="9" max="9"/>
    <col width="15.140625" customWidth="1" style="124" min="10" max="10"/>
    <col width="22.42578125" customWidth="1" style="124" min="11" max="11"/>
    <col width="16.28515625" customWidth="1" style="124" min="12" max="12"/>
    <col width="10.85546875" customWidth="1" style="124" min="13" max="13"/>
    <col width="9.140625" customWidth="1" style="124" min="14" max="14"/>
    <col width="9.140625" customWidth="1" style="137" min="15" max="15"/>
  </cols>
  <sheetData>
    <row r="1" ht="14.25" customFormat="1" customHeight="1" s="124">
      <c r="A1" s="118" t="n"/>
    </row>
    <row r="2" ht="15.75" customFormat="1" customHeight="1" s="124">
      <c r="A2" s="139" t="n"/>
      <c r="B2" s="139" t="n"/>
      <c r="C2" s="139" t="n"/>
      <c r="D2" s="139" t="n"/>
      <c r="E2" s="139" t="n"/>
      <c r="F2" s="139" t="n"/>
      <c r="G2" s="139" t="n"/>
      <c r="H2" s="168" t="inlineStr">
        <is>
          <t>Приложение №5</t>
        </is>
      </c>
    </row>
    <row r="3" ht="15.75" customFormat="1" customHeight="1" s="124">
      <c r="A3" s="139" t="n"/>
      <c r="B3" s="139" t="n"/>
      <c r="C3" s="139" t="n"/>
      <c r="D3" s="139" t="n"/>
      <c r="E3" s="139" t="n"/>
      <c r="F3" s="139" t="n"/>
      <c r="G3" s="139" t="n"/>
      <c r="H3" s="139" t="n"/>
      <c r="I3" s="139" t="n"/>
      <c r="J3" s="139" t="n"/>
    </row>
    <row r="4" ht="15.75" customFormat="1" customHeight="1" s="118">
      <c r="A4" s="145" t="inlineStr">
        <is>
          <t>Расчет стоимости СМР и оборудования</t>
        </is>
      </c>
      <c r="I4" s="145" t="n"/>
      <c r="J4" s="145" t="n"/>
    </row>
    <row r="5" ht="15.75" customFormat="1" customHeight="1" s="118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customFormat="1" s="118">
      <c r="A6" s="169" t="inlineStr">
        <is>
          <t xml:space="preserve">Наименование разрабатываемого показателя УНЦ — </t>
        </is>
      </c>
      <c r="D6" s="169" t="inlineStr">
        <is>
          <t>Аварийные маслостоки</t>
        </is>
      </c>
    </row>
    <row r="7" ht="15.75" customFormat="1" customHeight="1" s="118">
      <c r="A7" s="169" t="inlineStr">
        <is>
          <t>Единица измерения  — м</t>
        </is>
      </c>
      <c r="D7" s="30" t="n"/>
      <c r="E7" s="30" t="n"/>
      <c r="F7" s="30" t="n"/>
      <c r="G7" s="30" t="n"/>
      <c r="H7" s="30" t="n"/>
      <c r="I7" s="30" t="n"/>
      <c r="J7" s="30" t="n"/>
    </row>
    <row r="8" ht="15.75" customFormat="1" customHeight="1" s="118">
      <c r="A8" s="139" t="n"/>
      <c r="B8" s="139" t="n"/>
      <c r="C8" s="139" t="n"/>
      <c r="D8" s="139" t="n"/>
      <c r="E8" s="139" t="n"/>
      <c r="F8" s="139" t="n"/>
      <c r="G8" s="139" t="n"/>
      <c r="H8" s="139" t="n"/>
      <c r="I8" s="139" t="n"/>
      <c r="J8" s="139" t="n"/>
    </row>
    <row r="9" ht="27" customFormat="1" customHeight="1" s="139">
      <c r="A9" s="172" t="inlineStr">
        <is>
          <t>№ пп.</t>
        </is>
      </c>
      <c r="B9" s="162" t="inlineStr">
        <is>
          <t>Код ресурса</t>
        </is>
      </c>
      <c r="C9" s="162" t="inlineStr">
        <is>
          <t>Наименование</t>
        </is>
      </c>
      <c r="D9" s="162" t="inlineStr">
        <is>
          <t>Ед. изм.</t>
        </is>
      </c>
      <c r="E9" s="162" t="inlineStr">
        <is>
          <t>Кол-во единиц по проектным данным</t>
        </is>
      </c>
      <c r="F9" s="162" t="inlineStr">
        <is>
          <t>Сметная стоимость в ценах на 01.01.2000 (руб.)</t>
        </is>
      </c>
      <c r="G9" s="201" t="n"/>
      <c r="H9" s="162" t="inlineStr">
        <is>
          <t>Удельный вес, %</t>
        </is>
      </c>
      <c r="I9" s="162" t="inlineStr">
        <is>
          <t>Сметная стоимость в ценах на 01.01.2023 (руб.)</t>
        </is>
      </c>
      <c r="J9" s="201" t="n"/>
      <c r="K9" s="31" t="n"/>
    </row>
    <row r="10" ht="28.5" customFormat="1" customHeight="1" s="139">
      <c r="A10" s="203" t="n"/>
      <c r="B10" s="203" t="n"/>
      <c r="C10" s="203" t="n"/>
      <c r="D10" s="203" t="n"/>
      <c r="E10" s="203" t="n"/>
      <c r="F10" s="162" t="inlineStr">
        <is>
          <t>на ед. изм.</t>
        </is>
      </c>
      <c r="G10" s="162" t="inlineStr">
        <is>
          <t>общая</t>
        </is>
      </c>
      <c r="H10" s="203" t="n"/>
      <c r="I10" s="162" t="inlineStr">
        <is>
          <t>на ед. изм.</t>
        </is>
      </c>
      <c r="J10" s="162" t="inlineStr">
        <is>
          <t>общая</t>
        </is>
      </c>
    </row>
    <row r="11" ht="15.75" customFormat="1" customHeight="1" s="139">
      <c r="A11" s="172" t="n">
        <v>1</v>
      </c>
      <c r="B11" s="162" t="n">
        <v>2</v>
      </c>
      <c r="C11" s="162" t="n">
        <v>3</v>
      </c>
      <c r="D11" s="162" t="n">
        <v>4</v>
      </c>
      <c r="E11" s="162" t="n">
        <v>5</v>
      </c>
      <c r="F11" s="162" t="n">
        <v>6</v>
      </c>
      <c r="G11" s="162" t="n">
        <v>7</v>
      </c>
      <c r="H11" s="162" t="n">
        <v>8</v>
      </c>
      <c r="I11" s="162" t="n">
        <v>9</v>
      </c>
      <c r="J11" s="162" t="n">
        <v>10</v>
      </c>
    </row>
    <row r="12" ht="15.75" customFormat="1" customHeight="1" s="139">
      <c r="A12" s="166" t="n"/>
      <c r="B12" s="165" t="inlineStr">
        <is>
          <t>Затраты труда рабочих-строителей</t>
        </is>
      </c>
      <c r="C12" s="200" t="n"/>
      <c r="D12" s="200" t="n"/>
      <c r="E12" s="200" t="n"/>
      <c r="F12" s="200" t="n"/>
      <c r="G12" s="200" t="n"/>
      <c r="H12" s="201" t="n"/>
      <c r="I12" s="166" t="n"/>
      <c r="J12" s="166" t="n"/>
    </row>
    <row r="13" ht="31.7" customFormat="1" customHeight="1" s="139">
      <c r="A13" s="158" t="n">
        <v>1</v>
      </c>
      <c r="B13" s="158" t="inlineStr">
        <is>
          <t>1-100-25</t>
        </is>
      </c>
      <c r="C13" s="159" t="inlineStr">
        <is>
          <t>Затраты труда рабочих (Средний разряд работы 2,5)</t>
        </is>
      </c>
      <c r="D13" s="158" t="inlineStr">
        <is>
          <t>чел.-ч</t>
        </is>
      </c>
      <c r="E13" s="158" t="n">
        <v>192.19735258724</v>
      </c>
      <c r="F13" s="163" t="n">
        <v>8.31</v>
      </c>
      <c r="G13" s="163">
        <f>ROUND(E13*F13,2)</f>
        <v/>
      </c>
      <c r="H13" s="40">
        <f>G13/G14</f>
        <v/>
      </c>
      <c r="I13" s="163">
        <f>ФОТр.тек.!E13</f>
        <v/>
      </c>
      <c r="J13" s="163">
        <f>ROUND(E13*I13,2)</f>
        <v/>
      </c>
    </row>
    <row r="14" ht="31.7" customFormat="1" customHeight="1" s="139">
      <c r="A14" s="158" t="n"/>
      <c r="B14" s="158" t="n"/>
      <c r="C14" s="159" t="inlineStr">
        <is>
          <t>Итого по разделу "Затраты труда рабочих-строителей"</t>
        </is>
      </c>
      <c r="D14" s="158" t="inlineStr">
        <is>
          <t>чел.-ч</t>
        </is>
      </c>
      <c r="E14" s="158">
        <f>SUM(E13:E13)</f>
        <v/>
      </c>
      <c r="F14" s="163" t="n"/>
      <c r="G14" s="163">
        <f>SUM(G13:G13)</f>
        <v/>
      </c>
      <c r="H14" s="40" t="n">
        <v>1</v>
      </c>
      <c r="I14" s="163" t="n"/>
      <c r="J14" s="163">
        <f>SUM(J13:J13)</f>
        <v/>
      </c>
    </row>
    <row r="15" ht="15.75" customFormat="1" customHeight="1" s="139">
      <c r="A15" s="158" t="n"/>
      <c r="B15" s="158" t="inlineStr">
        <is>
          <t>Затраты труда машинистов</t>
        </is>
      </c>
      <c r="C15" s="200" t="n"/>
      <c r="D15" s="200" t="n"/>
      <c r="E15" s="200" t="n"/>
      <c r="F15" s="200" t="n"/>
      <c r="G15" s="200" t="n"/>
      <c r="H15" s="201" t="n"/>
      <c r="I15" s="163" t="n"/>
      <c r="J15" s="163" t="n"/>
    </row>
    <row r="16" ht="15.75" customFormat="1" customHeight="1" s="139">
      <c r="A16" s="158" t="n">
        <v>2</v>
      </c>
      <c r="B16" s="158" t="n">
        <v>2</v>
      </c>
      <c r="C16" s="159" t="inlineStr">
        <is>
          <t>Затраты труда машинистов</t>
        </is>
      </c>
      <c r="D16" s="158" t="inlineStr">
        <is>
          <t>чел.-ч</t>
        </is>
      </c>
      <c r="E16" s="158" t="n">
        <v>17.3721349</v>
      </c>
      <c r="F16" s="163" t="n">
        <v>13.19</v>
      </c>
      <c r="G16" s="163">
        <f>ROUND(E16*F16,2)</f>
        <v/>
      </c>
      <c r="H16" s="40" t="n">
        <v>1</v>
      </c>
      <c r="I16" s="163">
        <f>ROUND(F16*'Прил. 10'!$D$10,2)</f>
        <v/>
      </c>
      <c r="J16" s="163">
        <f>ROUND(E16*I16,2)</f>
        <v/>
      </c>
    </row>
    <row r="17" ht="15.75" customFormat="1" customHeight="1" s="139">
      <c r="A17" s="158" t="n"/>
      <c r="B17" s="157" t="inlineStr">
        <is>
          <t>Машины и механизмы</t>
        </is>
      </c>
      <c r="C17" s="200" t="n"/>
      <c r="D17" s="200" t="n"/>
      <c r="E17" s="200" t="n"/>
      <c r="F17" s="200" t="n"/>
      <c r="G17" s="200" t="n"/>
      <c r="H17" s="201" t="n"/>
      <c r="I17" s="163" t="n"/>
      <c r="J17" s="163" t="n"/>
    </row>
    <row r="18" ht="15.75" customFormat="1" customHeight="1" s="139">
      <c r="A18" s="158" t="n"/>
      <c r="B18" s="158" t="inlineStr">
        <is>
          <t>Основные Машины и механизмы</t>
        </is>
      </c>
      <c r="C18" s="200" t="n"/>
      <c r="D18" s="200" t="n"/>
      <c r="E18" s="200" t="n"/>
      <c r="F18" s="200" t="n"/>
      <c r="G18" s="200" t="n"/>
      <c r="H18" s="201" t="n"/>
      <c r="I18" s="163" t="n"/>
      <c r="J18" s="163" t="n"/>
    </row>
    <row r="19" ht="31.7" customFormat="1" customHeight="1" s="139">
      <c r="A19" s="158" t="n">
        <v>3</v>
      </c>
      <c r="B19" s="164" t="inlineStr">
        <is>
          <t>91.05.06-012</t>
        </is>
      </c>
      <c r="C19" s="174" t="inlineStr">
        <is>
          <t>Краны на гусеничном ходу, грузоподъемность до 16 т</t>
        </is>
      </c>
      <c r="D19" s="177" t="inlineStr">
        <is>
          <t>маш.час</t>
        </is>
      </c>
      <c r="E19" s="175" t="n">
        <v>8.426068799999999</v>
      </c>
      <c r="F19" s="45" t="n">
        <v>96.89</v>
      </c>
      <c r="G19" s="45">
        <f>ROUND(E19*F19,2)</f>
        <v/>
      </c>
      <c r="H19" s="40">
        <f>G19/G39</f>
        <v/>
      </c>
      <c r="I19" s="163">
        <f>ROUND(F19*'Прил. 10'!$D$11,2)</f>
        <v/>
      </c>
      <c r="J19" s="163">
        <f>ROUND(E19*I19,2)</f>
        <v/>
      </c>
    </row>
    <row r="20" ht="31.7" customFormat="1" customHeight="1" s="139">
      <c r="A20" s="158" t="n">
        <v>4</v>
      </c>
      <c r="B20" s="164" t="inlineStr">
        <is>
          <t>91.05.05-015</t>
        </is>
      </c>
      <c r="C20" s="174" t="inlineStr">
        <is>
          <t>Краны на автомобильном ходу, грузоподъемность 16 т</t>
        </is>
      </c>
      <c r="D20" s="177" t="inlineStr">
        <is>
          <t>маш.час</t>
        </is>
      </c>
      <c r="E20" s="175" t="n">
        <v>3.403519</v>
      </c>
      <c r="F20" s="45" t="n">
        <v>115.4</v>
      </c>
      <c r="G20" s="45">
        <f>ROUND(E20*F20,2)</f>
        <v/>
      </c>
      <c r="H20" s="40">
        <f>G20/G39</f>
        <v/>
      </c>
      <c r="I20" s="163">
        <f>ROUND(F20*'Прил. 10'!$D$11,2)</f>
        <v/>
      </c>
      <c r="J20" s="163">
        <f>ROUND(E20*I20,2)</f>
        <v/>
      </c>
    </row>
    <row r="21" ht="31.7" customFormat="1" customHeight="1" s="139">
      <c r="A21" s="158" t="n">
        <v>5</v>
      </c>
      <c r="B21" s="164" t="inlineStr">
        <is>
          <t>91.14.02-001</t>
        </is>
      </c>
      <c r="C21" s="174" t="inlineStr">
        <is>
          <t>Автомобили бортовые, грузоподъемность до 5 т</t>
        </is>
      </c>
      <c r="D21" s="177" t="inlineStr">
        <is>
          <t>маш.час</t>
        </is>
      </c>
      <c r="E21" s="175" t="n">
        <v>3.2280292</v>
      </c>
      <c r="F21" s="45" t="n">
        <v>65.70999999999999</v>
      </c>
      <c r="G21" s="45">
        <f>ROUND(E21*F21,2)</f>
        <v/>
      </c>
      <c r="H21" s="40">
        <f>G21/G39</f>
        <v/>
      </c>
      <c r="I21" s="163">
        <f>ROUND(F21*'Прил. 10'!$D$11,2)</f>
        <v/>
      </c>
      <c r="J21" s="163">
        <f>ROUND(E21*I21,2)</f>
        <v/>
      </c>
    </row>
    <row r="22" ht="15.75" customFormat="1" customHeight="1" s="139">
      <c r="A22" s="158" t="n"/>
      <c r="B22" s="164" t="inlineStr">
        <is>
          <t>Итого основные Машины и механизмы</t>
        </is>
      </c>
      <c r="C22" s="200" t="n"/>
      <c r="D22" s="200" t="n"/>
      <c r="E22" s="200" t="n"/>
      <c r="F22" s="201" t="n"/>
      <c r="G22" s="45">
        <f>SUM(G19:G21)</f>
        <v/>
      </c>
      <c r="H22" s="40">
        <f>SUM(H19:H21)</f>
        <v/>
      </c>
      <c r="I22" s="163" t="n"/>
      <c r="J22" s="163">
        <f>SUM(J19:J21)</f>
        <v/>
      </c>
    </row>
    <row r="23" hidden="1" outlineLevel="1" ht="47.25" customFormat="1" customHeight="1" s="139">
      <c r="A23" s="158" t="n">
        <v>6</v>
      </c>
      <c r="B23" s="164" t="inlineStr">
        <is>
          <t>021243</t>
        </is>
      </c>
      <c r="C23" s="174" t="inlineStr">
        <is>
          <t>Краны на гусеничном ходу при работе на других видах строительства до 16 т</t>
        </is>
      </c>
      <c r="D23" s="177" t="inlineStr">
        <is>
          <t>маш.час</t>
        </is>
      </c>
      <c r="E23" s="175" t="n">
        <v>1.8364711</v>
      </c>
      <c r="F23" s="45" t="n">
        <v>80.97</v>
      </c>
      <c r="G23" s="45">
        <f>ROUND(E23*F23,2)</f>
        <v/>
      </c>
      <c r="H23" s="40">
        <f>G23/G39</f>
        <v/>
      </c>
      <c r="I23" s="163">
        <f>ROUND(F23*'Прил. 10'!$D$11,2)</f>
        <v/>
      </c>
      <c r="J23" s="163">
        <f>ROUND(E23*I23,2)</f>
        <v/>
      </c>
    </row>
    <row r="24" hidden="1" outlineLevel="1" ht="31.7" customFormat="1" customHeight="1" s="139">
      <c r="A24" s="158" t="n">
        <v>7</v>
      </c>
      <c r="B24" s="164" t="inlineStr">
        <is>
          <t>91.05.01-017</t>
        </is>
      </c>
      <c r="C24" s="174" t="inlineStr">
        <is>
          <t>Краны башенные, грузоподъемность 8 т</t>
        </is>
      </c>
      <c r="D24" s="177" t="inlineStr">
        <is>
          <t>маш.час</t>
        </is>
      </c>
      <c r="E24" s="175" t="n">
        <v>0.40482</v>
      </c>
      <c r="F24" s="45" t="n">
        <v>86.40000000000001</v>
      </c>
      <c r="G24" s="45">
        <f>ROUND(E24*F24,2)</f>
        <v/>
      </c>
      <c r="H24" s="40">
        <f>G24/G39</f>
        <v/>
      </c>
      <c r="I24" s="163">
        <f>ROUND(F24*'Прил. 10'!$D$11,2)</f>
        <v/>
      </c>
      <c r="J24" s="163">
        <f>ROUND(E24*I24,2)</f>
        <v/>
      </c>
    </row>
    <row r="25" hidden="1" outlineLevel="1" ht="31.7" customFormat="1" customHeight="1" s="139">
      <c r="A25" s="158" t="n">
        <v>8</v>
      </c>
      <c r="B25" s="164" t="n">
        <v>400001</v>
      </c>
      <c r="C25" s="174" t="inlineStr">
        <is>
          <t>Автомобили бортовые, грузоподъемность до 5 т</t>
        </is>
      </c>
      <c r="D25" s="177" t="inlineStr">
        <is>
          <t>маш.час</t>
        </is>
      </c>
      <c r="E25" s="175" t="n">
        <v>0.1568833</v>
      </c>
      <c r="F25" s="45" t="n">
        <v>95.58</v>
      </c>
      <c r="G25" s="45">
        <f>ROUND(E25*F25,2)</f>
        <v/>
      </c>
      <c r="H25" s="40">
        <f>G25/G39</f>
        <v/>
      </c>
      <c r="I25" s="163">
        <f>ROUND(F25*'Прил. 10'!$D$11,2)</f>
        <v/>
      </c>
      <c r="J25" s="163">
        <f>ROUND(E25*I25,2)</f>
        <v/>
      </c>
    </row>
    <row r="26" hidden="1" outlineLevel="1" ht="47.25" customFormat="1" customHeight="1" s="139">
      <c r="A26" s="158" t="n">
        <v>9</v>
      </c>
      <c r="B26" s="164" t="inlineStr">
        <is>
          <t>021141</t>
        </is>
      </c>
      <c r="C26" s="174" t="inlineStr">
        <is>
          <t>Краны на автомобильном ходу при работе на других видах строительства 10 т</t>
        </is>
      </c>
      <c r="D26" s="177" t="inlineStr">
        <is>
          <t>маш.час</t>
        </is>
      </c>
      <c r="E26" s="175" t="n">
        <v>0.0522945</v>
      </c>
      <c r="F26" s="45" t="n">
        <v>133.62</v>
      </c>
      <c r="G26" s="45">
        <f>ROUND(E26*F26,2)</f>
        <v/>
      </c>
      <c r="H26" s="40">
        <f>G26/G39</f>
        <v/>
      </c>
      <c r="I26" s="163">
        <f>ROUND(F26*'Прил. 10'!$D$11,2)</f>
        <v/>
      </c>
      <c r="J26" s="163">
        <f>ROUND(E26*I26,2)</f>
        <v/>
      </c>
    </row>
    <row r="27" hidden="1" outlineLevel="1" ht="15.75" customFormat="1" customHeight="1" s="139">
      <c r="A27" s="158" t="n">
        <v>10</v>
      </c>
      <c r="B27" s="164" t="inlineStr">
        <is>
          <t>91.08.04-021</t>
        </is>
      </c>
      <c r="C27" s="174" t="inlineStr">
        <is>
          <t>Котлы битумные передвижные 400 л</t>
        </is>
      </c>
      <c r="D27" s="177" t="inlineStr">
        <is>
          <t>маш.час</t>
        </is>
      </c>
      <c r="E27" s="175" t="n">
        <v>0.1716063</v>
      </c>
      <c r="F27" s="45" t="n">
        <v>30</v>
      </c>
      <c r="G27" s="45">
        <f>ROUND(E27*F27,2)</f>
        <v/>
      </c>
      <c r="H27" s="40">
        <f>G27/G39</f>
        <v/>
      </c>
      <c r="I27" s="163">
        <f>ROUND(F27*'Прил. 10'!$D$11,2)</f>
        <v/>
      </c>
      <c r="J27" s="163">
        <f>ROUND(E27*I27,2)</f>
        <v/>
      </c>
    </row>
    <row r="28" hidden="1" outlineLevel="1" ht="15.75" customFormat="1" customHeight="1" s="139">
      <c r="A28" s="158" t="n">
        <v>11</v>
      </c>
      <c r="B28" s="164" t="n">
        <v>111100</v>
      </c>
      <c r="C28" s="174" t="inlineStr">
        <is>
          <t>Вибратор глубинный</t>
        </is>
      </c>
      <c r="D28" s="177" t="inlineStr">
        <is>
          <t>маш.час</t>
        </is>
      </c>
      <c r="E28" s="175" t="n">
        <v>1.3363627</v>
      </c>
      <c r="F28" s="45" t="n">
        <v>3.21</v>
      </c>
      <c r="G28" s="45">
        <f>ROUND(E28*F28,2)</f>
        <v/>
      </c>
      <c r="H28" s="40">
        <f>G28/G39</f>
        <v/>
      </c>
      <c r="I28" s="163">
        <f>ROUND(F28*'Прил. 10'!$D$11,2)</f>
        <v/>
      </c>
      <c r="J28" s="163">
        <f>ROUND(E28*I28,2)</f>
        <v/>
      </c>
    </row>
    <row r="29" hidden="1" outlineLevel="1" ht="31.7" customFormat="1" customHeight="1" s="139">
      <c r="A29" s="158" t="n">
        <v>12</v>
      </c>
      <c r="B29" s="164" t="inlineStr">
        <is>
          <t>040502</t>
        </is>
      </c>
      <c r="C29" s="174" t="inlineStr">
        <is>
          <t>Установки для сварки ручной дуговой (постоянного тока)</t>
        </is>
      </c>
      <c r="D29" s="177" t="inlineStr">
        <is>
          <t>маш.час</t>
        </is>
      </c>
      <c r="E29" s="175" t="n">
        <v>0.5192907</v>
      </c>
      <c r="F29" s="45" t="n">
        <v>5.42</v>
      </c>
      <c r="G29" s="45">
        <f>ROUND(E29*F29,2)</f>
        <v/>
      </c>
      <c r="H29" s="40">
        <f>G29/G39</f>
        <v/>
      </c>
      <c r="I29" s="163">
        <f>ROUND(F29*'Прил. 10'!$D$11,2)</f>
        <v/>
      </c>
      <c r="J29" s="163">
        <f>ROUND(E29*I29,2)</f>
        <v/>
      </c>
    </row>
    <row r="30" hidden="1" outlineLevel="1" ht="15.75" customFormat="1" customHeight="1" s="139">
      <c r="A30" s="158" t="n">
        <v>13</v>
      </c>
      <c r="B30" s="164" t="inlineStr">
        <is>
          <t>030101</t>
        </is>
      </c>
      <c r="C30" s="174" t="inlineStr">
        <is>
          <t>Автопогрузчики 5 т</t>
        </is>
      </c>
      <c r="D30" s="177" t="inlineStr">
        <is>
          <t>маш.час</t>
        </is>
      </c>
      <c r="E30" s="175" t="n">
        <v>0.0061657</v>
      </c>
      <c r="F30" s="45" t="n">
        <v>114.76</v>
      </c>
      <c r="G30" s="45">
        <f>ROUND(E30*F30,2)</f>
        <v/>
      </c>
      <c r="H30" s="40">
        <f>G30/G39</f>
        <v/>
      </c>
      <c r="I30" s="163">
        <f>ROUND(F30*'Прил. 10'!$D$11,2)</f>
        <v/>
      </c>
      <c r="J30" s="163">
        <f>ROUND(E30*I30,2)</f>
        <v/>
      </c>
    </row>
    <row r="31" hidden="1" outlineLevel="1" ht="15.75" customFormat="1" customHeight="1" s="139">
      <c r="A31" s="158" t="n">
        <v>14</v>
      </c>
      <c r="B31" s="164" t="inlineStr">
        <is>
          <t>91.06.05-011</t>
        </is>
      </c>
      <c r="C31" s="174" t="inlineStr">
        <is>
          <t>Погрузчики, грузоподъемность 5 т</t>
        </is>
      </c>
      <c r="D31" s="177" t="inlineStr">
        <is>
          <t>маш.час</t>
        </is>
      </c>
      <c r="E31" s="175" t="n">
        <v>0.006574</v>
      </c>
      <c r="F31" s="45" t="n">
        <v>89.98999999999999</v>
      </c>
      <c r="G31" s="45">
        <f>ROUND(E31*F31,2)</f>
        <v/>
      </c>
      <c r="H31" s="40">
        <f>G31/G39</f>
        <v/>
      </c>
      <c r="I31" s="163">
        <f>ROUND(F31*'Прил. 10'!$D$11,2)</f>
        <v/>
      </c>
      <c r="J31" s="163">
        <f>ROUND(E31*I31,2)</f>
        <v/>
      </c>
    </row>
    <row r="32" hidden="1" outlineLevel="1" ht="15.75" customFormat="1" customHeight="1" s="139">
      <c r="A32" s="158" t="n">
        <v>15</v>
      </c>
      <c r="B32" s="164" t="n">
        <v>331532</v>
      </c>
      <c r="C32" s="174" t="inlineStr">
        <is>
          <t>Пила цепная электрическая</t>
        </is>
      </c>
      <c r="D32" s="177" t="inlineStr">
        <is>
          <t>маш.час</t>
        </is>
      </c>
      <c r="E32" s="175" t="n">
        <v>0.0707916</v>
      </c>
      <c r="F32" s="45" t="n">
        <v>3.27</v>
      </c>
      <c r="G32" s="45">
        <f>ROUND(E32*F32,2)</f>
        <v/>
      </c>
      <c r="H32" s="40">
        <f>G32/G39</f>
        <v/>
      </c>
      <c r="I32" s="163">
        <f>ROUND(F32*'Прил. 10'!$D$11,2)</f>
        <v/>
      </c>
      <c r="J32" s="163">
        <f>ROUND(E32*I32,2)</f>
        <v/>
      </c>
    </row>
    <row r="33" hidden="1" outlineLevel="1" ht="31.7" customFormat="1" customHeight="1" s="139">
      <c r="A33" s="158" t="n">
        <v>16</v>
      </c>
      <c r="B33" s="164" t="inlineStr">
        <is>
          <t>91.16.01-002</t>
        </is>
      </c>
      <c r="C33" s="174" t="inlineStr">
        <is>
          <t>Электростанции передвижные, мощность 4 кВт</t>
        </is>
      </c>
      <c r="D33" s="177" t="inlineStr">
        <is>
          <t>маш.час</t>
        </is>
      </c>
      <c r="E33" s="175" t="n">
        <v>0.0052592</v>
      </c>
      <c r="F33" s="45" t="n">
        <v>27.11</v>
      </c>
      <c r="G33" s="45">
        <f>ROUND(E33*F33,2)</f>
        <v/>
      </c>
      <c r="H33" s="40">
        <f>G33/G39</f>
        <v/>
      </c>
      <c r="I33" s="163">
        <f>ROUND(F33*'Прил. 10'!$D$11,2)</f>
        <v/>
      </c>
      <c r="J33" s="163">
        <f>ROUND(E33*I33,2)</f>
        <v/>
      </c>
    </row>
    <row r="34" hidden="1" outlineLevel="1" ht="47.25" customFormat="1" customHeight="1" s="139">
      <c r="A34" s="158" t="n">
        <v>17</v>
      </c>
      <c r="B34" s="164" t="inlineStr">
        <is>
          <t>91.06.06-048</t>
        </is>
      </c>
      <c r="C34" s="174" t="inlineStr">
        <is>
          <t>Подъемники одномачтовые, грузоподъемность до 500 кг, высота подъема 45 м</t>
        </is>
      </c>
      <c r="D34" s="177" t="inlineStr">
        <is>
          <t>маш.час</t>
        </is>
      </c>
      <c r="E34" s="175" t="n">
        <v>0.0029334</v>
      </c>
      <c r="F34" s="45" t="n">
        <v>31.26</v>
      </c>
      <c r="G34" s="45">
        <f>ROUND(E34*F34,2)</f>
        <v/>
      </c>
      <c r="H34" s="40">
        <f>G34/G39</f>
        <v/>
      </c>
      <c r="I34" s="163">
        <f>ROUND(F34*'Прил. 10'!$D$11,2)</f>
        <v/>
      </c>
      <c r="J34" s="163">
        <f>ROUND(E34*I34,2)</f>
        <v/>
      </c>
    </row>
    <row r="35" hidden="1" outlineLevel="1" ht="15.75" customFormat="1" customHeight="1" s="139">
      <c r="A35" s="158" t="n">
        <v>18</v>
      </c>
      <c r="B35" s="164" t="inlineStr">
        <is>
          <t>91.08.09-025</t>
        </is>
      </c>
      <c r="C35" s="174" t="inlineStr">
        <is>
          <t>Трамбовки электрические</t>
        </is>
      </c>
      <c r="D35" s="177" t="inlineStr">
        <is>
          <t>маш.час</t>
        </is>
      </c>
      <c r="E35" s="175" t="n">
        <v>0.0105184</v>
      </c>
      <c r="F35" s="45" t="n">
        <v>6.7</v>
      </c>
      <c r="G35" s="45">
        <f>ROUND(E35*F35,2)</f>
        <v/>
      </c>
      <c r="H35" s="40">
        <f>G35/G39</f>
        <v/>
      </c>
      <c r="I35" s="163">
        <f>ROUND(F35*'Прил. 10'!$D$11,2)</f>
        <v/>
      </c>
      <c r="J35" s="163">
        <f>ROUND(E35*I35,2)</f>
        <v/>
      </c>
    </row>
    <row r="36" hidden="1" outlineLevel="1" ht="15.75" customFormat="1" customHeight="1" s="139">
      <c r="A36" s="158" t="n">
        <v>19</v>
      </c>
      <c r="B36" s="164" t="inlineStr">
        <is>
          <t>91.21.22-421</t>
        </is>
      </c>
      <c r="C36" s="174" t="inlineStr">
        <is>
          <t>Термосы 100 л</t>
        </is>
      </c>
      <c r="D36" s="177" t="inlineStr">
        <is>
          <t>маш.час</t>
        </is>
      </c>
      <c r="E36" s="175" t="n">
        <v>0.0244449</v>
      </c>
      <c r="F36" s="45" t="n">
        <v>2.7</v>
      </c>
      <c r="G36" s="45">
        <f>ROUND(E36*F36,2)</f>
        <v/>
      </c>
      <c r="H36" s="40">
        <f>G36/G39</f>
        <v/>
      </c>
      <c r="I36" s="163">
        <f>ROUND(F36*'Прил. 10'!$D$11,2)</f>
        <v/>
      </c>
      <c r="J36" s="163">
        <f>ROUND(E36*I36,2)</f>
        <v/>
      </c>
    </row>
    <row r="37" hidden="1" outlineLevel="1" ht="15.75" customFormat="1" customHeight="1" s="139">
      <c r="A37" s="158" t="n">
        <v>20</v>
      </c>
      <c r="B37" s="164" t="inlineStr">
        <is>
          <t>91.07.04-002</t>
        </is>
      </c>
      <c r="C37" s="174" t="inlineStr">
        <is>
          <t>Вибраторы поверхностные</t>
        </is>
      </c>
      <c r="D37" s="177" t="inlineStr">
        <is>
          <t>маш.час</t>
        </is>
      </c>
      <c r="E37" s="175" t="n">
        <v>0.0471909</v>
      </c>
      <c r="F37" s="45" t="n">
        <v>0.5</v>
      </c>
      <c r="G37" s="45">
        <f>ROUND(E37*F37,2)</f>
        <v/>
      </c>
      <c r="H37" s="40">
        <f>G37/G39</f>
        <v/>
      </c>
      <c r="I37" s="163">
        <f>ROUND(F37*'Прил. 10'!$D$11,2)</f>
        <v/>
      </c>
      <c r="J37" s="163">
        <f>ROUND(E37*I37,2)</f>
        <v/>
      </c>
    </row>
    <row r="38" collapsed="1" ht="15.75" customFormat="1" customHeight="1" s="139">
      <c r="A38" s="158" t="n"/>
      <c r="B38" s="158" t="inlineStr">
        <is>
          <t>Итого прочие Машины и механизмы</t>
        </is>
      </c>
      <c r="C38" s="200" t="n"/>
      <c r="D38" s="200" t="n"/>
      <c r="E38" s="200" t="n"/>
      <c r="F38" s="201" t="n"/>
      <c r="G38" s="163">
        <f>SUM(G23:G37)</f>
        <v/>
      </c>
      <c r="H38" s="40">
        <f>SUM(H23:H37)</f>
        <v/>
      </c>
      <c r="I38" s="163" t="n"/>
      <c r="J38" s="163">
        <f>SUM(J23:J37)</f>
        <v/>
      </c>
    </row>
    <row r="39" ht="15.75" customFormat="1" customHeight="1" s="139">
      <c r="A39" s="158" t="n"/>
      <c r="B39" s="158" t="inlineStr">
        <is>
          <t>Итого по разделу "Машины и механизмы"</t>
        </is>
      </c>
      <c r="C39" s="200" t="n"/>
      <c r="D39" s="200" t="n"/>
      <c r="E39" s="200" t="n"/>
      <c r="F39" s="201" t="n"/>
      <c r="G39" s="163">
        <f>G22+G38</f>
        <v/>
      </c>
      <c r="H39" s="40">
        <f>H22+H38</f>
        <v/>
      </c>
      <c r="I39" s="163" t="n"/>
      <c r="J39" s="163">
        <f>J22+J38</f>
        <v/>
      </c>
    </row>
    <row r="40" ht="15.75" customFormat="1" customHeight="1" s="139">
      <c r="A40" s="166" t="n"/>
      <c r="B40" s="165" t="inlineStr">
        <is>
          <t>Оборудование</t>
        </is>
      </c>
      <c r="C40" s="200" t="n"/>
      <c r="D40" s="200" t="n"/>
      <c r="E40" s="200" t="n"/>
      <c r="F40" s="200" t="n"/>
      <c r="G40" s="200" t="n"/>
      <c r="H40" s="200" t="n"/>
      <c r="I40" s="200" t="n"/>
      <c r="J40" s="201" t="n"/>
    </row>
    <row r="41" ht="15.75" customFormat="1" customHeight="1" s="139">
      <c r="A41" s="166" t="n"/>
      <c r="B41" s="166" t="inlineStr">
        <is>
          <t>Основное оборудование</t>
        </is>
      </c>
      <c r="C41" s="200" t="n"/>
      <c r="D41" s="200" t="n"/>
      <c r="E41" s="200" t="n"/>
      <c r="F41" s="200" t="n"/>
      <c r="G41" s="200" t="n"/>
      <c r="H41" s="200" t="n"/>
      <c r="I41" s="200" t="n"/>
      <c r="J41" s="201" t="n"/>
    </row>
    <row r="42" hidden="1" outlineLevel="1" ht="15.75" customFormat="1" customHeight="1" s="139">
      <c r="A42" s="166" t="n"/>
      <c r="B42" s="166" t="n"/>
      <c r="C42" s="166" t="inlineStr">
        <is>
          <t>Итого основное оборудование</t>
        </is>
      </c>
      <c r="D42" s="166" t="n"/>
      <c r="E42" s="166" t="n"/>
      <c r="F42" s="167" t="n"/>
      <c r="G42" s="167" t="n">
        <v>0</v>
      </c>
      <c r="H42" s="166" t="n">
        <v>0</v>
      </c>
      <c r="I42" s="167" t="n"/>
      <c r="J42" s="167" t="n">
        <v>0</v>
      </c>
    </row>
    <row r="43" collapsed="1" ht="15.75" customFormat="1" customHeight="1" s="139">
      <c r="A43" s="166" t="n"/>
      <c r="B43" s="166" t="inlineStr">
        <is>
          <t>Прочее оборудование</t>
        </is>
      </c>
      <c r="C43" s="200" t="n"/>
      <c r="D43" s="200" t="n"/>
      <c r="E43" s="200" t="n"/>
      <c r="F43" s="200" t="n"/>
      <c r="G43" s="200" t="n"/>
      <c r="H43" s="200" t="n"/>
      <c r="I43" s="200" t="n"/>
      <c r="J43" s="201" t="n"/>
    </row>
    <row r="44" hidden="1" outlineLevel="1" ht="15.75" customFormat="1" customHeight="1" s="139">
      <c r="A44" s="166" t="n"/>
      <c r="B44" s="166" t="n"/>
      <c r="C44" s="166" t="inlineStr">
        <is>
          <t>Итого прочее оборудование</t>
        </is>
      </c>
      <c r="D44" s="166" t="n"/>
      <c r="E44" s="166" t="n"/>
      <c r="F44" s="167" t="n"/>
      <c r="G44" s="167" t="n">
        <v>0</v>
      </c>
      <c r="H44" s="166" t="n">
        <v>0</v>
      </c>
      <c r="I44" s="167" t="n"/>
      <c r="J44" s="167" t="n">
        <v>0</v>
      </c>
    </row>
    <row r="45" hidden="1" outlineLevel="1" ht="15.75" customFormat="1" customHeight="1" s="139">
      <c r="A45" s="166" t="n"/>
      <c r="B45" s="166" t="n"/>
      <c r="C45" s="165" t="inlineStr">
        <is>
          <t>Итого по разделу «Оборудование»</t>
        </is>
      </c>
      <c r="D45" s="166" t="n"/>
      <c r="E45" s="166" t="n"/>
      <c r="F45" s="167" t="n"/>
      <c r="G45" s="167" t="n">
        <v>0</v>
      </c>
      <c r="H45" s="166" t="n">
        <v>0</v>
      </c>
      <c r="I45" s="167" t="n"/>
      <c r="J45" s="167" t="n">
        <v>0</v>
      </c>
    </row>
    <row r="46" hidden="1" outlineLevel="1" ht="15.75" customFormat="1" customHeight="1" s="139">
      <c r="A46" s="166" t="n"/>
      <c r="B46" s="166" t="n"/>
      <c r="C46" s="166" t="inlineStr">
        <is>
          <t>в том числе технологическое оборудование</t>
        </is>
      </c>
      <c r="D46" s="166" t="n"/>
      <c r="E46" s="166" t="n"/>
      <c r="F46" s="167" t="n"/>
      <c r="G46" s="167" t="n">
        <v>0</v>
      </c>
      <c r="H46" s="166" t="n"/>
      <c r="I46" s="167" t="n"/>
      <c r="J46" s="167" t="n">
        <v>0</v>
      </c>
    </row>
    <row r="47" collapsed="1" ht="15.75" customFormat="1" customHeight="1" s="139">
      <c r="A47" s="158" t="n"/>
      <c r="B47" s="157" t="inlineStr">
        <is>
          <t>Материалы</t>
        </is>
      </c>
      <c r="C47" s="200" t="n"/>
      <c r="D47" s="200" t="n"/>
      <c r="E47" s="200" t="n"/>
      <c r="F47" s="200" t="n"/>
      <c r="G47" s="200" t="n"/>
      <c r="H47" s="201" t="n"/>
      <c r="I47" s="163" t="n"/>
      <c r="J47" s="163" t="n"/>
    </row>
    <row r="48" ht="15.75" customFormat="1" customHeight="1" s="139">
      <c r="A48" s="158" t="n"/>
      <c r="B48" s="158" t="inlineStr">
        <is>
          <t>Основные Материалы</t>
        </is>
      </c>
      <c r="C48" s="200" t="n"/>
      <c r="D48" s="200" t="n"/>
      <c r="E48" s="200" t="n"/>
      <c r="F48" s="200" t="n"/>
      <c r="G48" s="200" t="n"/>
      <c r="H48" s="201" t="n"/>
      <c r="I48" s="163" t="n"/>
      <c r="J48" s="163" t="n"/>
    </row>
    <row r="49" ht="47.25" customFormat="1" customHeight="1" s="139">
      <c r="A49" s="158" t="n">
        <v>21</v>
      </c>
      <c r="B49" s="164" t="inlineStr">
        <is>
          <t>24.2.05.01-0003</t>
        </is>
      </c>
      <c r="C49" s="174" t="inlineStr">
        <is>
          <t>Трубы хризотилцементные безнапорные, номинальный диаметр 200 мм</t>
        </is>
      </c>
      <c r="D49" s="177" t="inlineStr">
        <is>
          <t>м</t>
        </is>
      </c>
      <c r="E49" s="175" t="n">
        <v>31.68</v>
      </c>
      <c r="F49" s="45" t="n">
        <v>47.11</v>
      </c>
      <c r="G49" s="45">
        <f>ROUND(E49*F49,2)</f>
        <v/>
      </c>
      <c r="H49" s="40">
        <f>G49/G86</f>
        <v/>
      </c>
      <c r="I49" s="163">
        <f>ROUND(F49*'Прил. 10'!$D$12,2)</f>
        <v/>
      </c>
      <c r="J49" s="163">
        <f>ROUND(E49*I49,2)</f>
        <v/>
      </c>
    </row>
    <row r="50" ht="15.75" customFormat="1" customHeight="1" s="139">
      <c r="A50" s="158" t="n">
        <v>22</v>
      </c>
      <c r="B50" s="164" t="inlineStr">
        <is>
          <t>08.1.02.06-0043</t>
        </is>
      </c>
      <c r="C50" s="174" t="inlineStr">
        <is>
          <t>Люк чугунный тяжелый</t>
        </is>
      </c>
      <c r="D50" s="177" t="inlineStr">
        <is>
          <t>шт</t>
        </is>
      </c>
      <c r="E50" s="175" t="n">
        <v>2</v>
      </c>
      <c r="F50" s="45" t="n">
        <v>569.52</v>
      </c>
      <c r="G50" s="45">
        <f>ROUND(E50*F50,2)</f>
        <v/>
      </c>
      <c r="H50" s="40">
        <f>G50/G86</f>
        <v/>
      </c>
      <c r="I50" s="163">
        <f>ROUND(F50*'Прил. 10'!$D$12,2)</f>
        <v/>
      </c>
      <c r="J50" s="163">
        <f>ROUND(E50*I50,2)</f>
        <v/>
      </c>
    </row>
    <row r="51" ht="15.75" customFormat="1" customHeight="1" s="139">
      <c r="A51" s="158" t="n">
        <v>23</v>
      </c>
      <c r="B51" s="164" t="inlineStr">
        <is>
          <t>401-0246</t>
        </is>
      </c>
      <c r="C51" s="174" t="inlineStr">
        <is>
          <t>Бетон песчаный, класс В15 (М200)</t>
        </is>
      </c>
      <c r="D51" s="177" t="inlineStr">
        <is>
          <t>м3</t>
        </is>
      </c>
      <c r="E51" s="175" t="n">
        <v>1.3398</v>
      </c>
      <c r="F51" s="45" t="n">
        <v>618.89</v>
      </c>
      <c r="G51" s="45">
        <f>ROUND(E51*F51,2)</f>
        <v/>
      </c>
      <c r="H51" s="40">
        <f>G51/G86</f>
        <v/>
      </c>
      <c r="I51" s="163">
        <f>ROUND(F51*'Прил. 10'!$D$12,2)</f>
        <v/>
      </c>
      <c r="J51" s="163">
        <f>ROUND(E51*I51,2)</f>
        <v/>
      </c>
    </row>
    <row r="52" ht="31.7" customFormat="1" customHeight="1" s="139">
      <c r="A52" s="158" t="n">
        <v>24</v>
      </c>
      <c r="B52" s="164" t="inlineStr">
        <is>
          <t>204-0100</t>
        </is>
      </c>
      <c r="C52" s="174" t="inlineStr">
        <is>
          <t>Горячекатаная арматурная сталь класса А-I, А-II, А-III</t>
        </is>
      </c>
      <c r="D52" s="177" t="inlineStr">
        <is>
          <t>т</t>
        </is>
      </c>
      <c r="E52" s="175" t="n">
        <v>0.15576</v>
      </c>
      <c r="F52" s="45" t="n">
        <v>5128.74</v>
      </c>
      <c r="G52" s="45">
        <f>ROUND(E52*F52,2)</f>
        <v/>
      </c>
      <c r="H52" s="40">
        <f>G52/G86</f>
        <v/>
      </c>
      <c r="I52" s="163">
        <f>ROUND(F52*'Прил. 10'!$D$12,2)</f>
        <v/>
      </c>
      <c r="J52" s="163">
        <f>ROUND(E52*I52,2)</f>
        <v/>
      </c>
    </row>
    <row r="53" ht="31.7" customFormat="1" customHeight="1" s="139">
      <c r="A53" s="158" t="n">
        <v>25</v>
      </c>
      <c r="B53" s="164" t="inlineStr">
        <is>
          <t>05.1.01.09-0001</t>
        </is>
      </c>
      <c r="C53" s="174" t="inlineStr">
        <is>
          <t>Кольцо для колодцев сборное железобетонное, диаметр 700 мм</t>
        </is>
      </c>
      <c r="D53" s="177" t="inlineStr">
        <is>
          <t>м</t>
        </is>
      </c>
      <c r="E53" s="175" t="n">
        <v>2.1</v>
      </c>
      <c r="F53" s="45" t="n">
        <v>375.59</v>
      </c>
      <c r="G53" s="45">
        <f>ROUND(E53*F53,2)</f>
        <v/>
      </c>
      <c r="H53" s="40">
        <f>G53/G86</f>
        <v/>
      </c>
      <c r="I53" s="163">
        <f>ROUND(F53*'Прил. 10'!$D$12,2)</f>
        <v/>
      </c>
      <c r="J53" s="163">
        <f>ROUND(E53*I53,2)</f>
        <v/>
      </c>
    </row>
    <row r="54" ht="47.25" customFormat="1" customHeight="1" s="139">
      <c r="A54" s="158" t="n">
        <v>26</v>
      </c>
      <c r="B54" s="164" t="inlineStr">
        <is>
          <t>05.1.01.12-0007</t>
        </is>
      </c>
      <c r="C54" s="174" t="inlineStr">
        <is>
          <t>Плита перекрытия лотков и каналов ПЛ-1, бетон B15 (М200), объем 0,18 м3, расход арматуры 17,37 кг</t>
        </is>
      </c>
      <c r="D54" s="177" t="inlineStr">
        <is>
          <t>шт</t>
        </is>
      </c>
      <c r="E54" s="175" t="n">
        <v>2</v>
      </c>
      <c r="F54" s="45" t="n">
        <v>381.18</v>
      </c>
      <c r="G54" s="45">
        <f>ROUND(E54*F54,2)</f>
        <v/>
      </c>
      <c r="H54" s="40">
        <f>G54/G86</f>
        <v/>
      </c>
      <c r="I54" s="163">
        <f>ROUND(F54*'Прил. 10'!$D$12,2)</f>
        <v/>
      </c>
      <c r="J54" s="163">
        <f>ROUND(E54*I54,2)</f>
        <v/>
      </c>
    </row>
    <row r="55" ht="47.25" customFormat="1" customHeight="1" s="139">
      <c r="A55" s="158" t="n">
        <v>27</v>
      </c>
      <c r="B55" s="164" t="inlineStr">
        <is>
          <t>05.1.01.11-0004</t>
        </is>
      </c>
      <c r="C55" s="174" t="inlineStr">
        <is>
          <t>Плита днища доборная ПД 75.180.14-3, бетон B15 (М200), объем 0,18 м3, расход арматуры 7,8 кг</t>
        </is>
      </c>
      <c r="D55" s="177" t="inlineStr">
        <is>
          <t>шт</t>
        </is>
      </c>
      <c r="E55" s="175" t="n">
        <v>2</v>
      </c>
      <c r="F55" s="45" t="n">
        <v>333.17</v>
      </c>
      <c r="G55" s="45">
        <f>ROUND(E55*F55,2)</f>
        <v/>
      </c>
      <c r="H55" s="40">
        <f>G55/G86</f>
        <v/>
      </c>
      <c r="I55" s="163">
        <f>ROUND(F55*'Прил. 10'!$D$12,2)</f>
        <v/>
      </c>
      <c r="J55" s="163">
        <f>ROUND(E55*I55,2)</f>
        <v/>
      </c>
    </row>
    <row r="56" ht="47.25" customFormat="1" customHeight="1" s="139">
      <c r="A56" s="158" t="n">
        <v>28</v>
      </c>
      <c r="B56" s="164" t="inlineStr">
        <is>
          <t>24.2.05.01-0001</t>
        </is>
      </c>
      <c r="C56" s="174" t="inlineStr">
        <is>
          <t>Трубы хризотилцементные безнапорные, номинальный диаметр 100 мм</t>
        </is>
      </c>
      <c r="D56" s="177" t="inlineStr">
        <is>
          <t>м</t>
        </is>
      </c>
      <c r="E56" s="175" t="n">
        <v>31.68</v>
      </c>
      <c r="F56" s="45" t="n">
        <v>14.5</v>
      </c>
      <c r="G56" s="45">
        <f>ROUND(E56*F56,2)</f>
        <v/>
      </c>
      <c r="H56" s="40">
        <f>G56/G86</f>
        <v/>
      </c>
      <c r="I56" s="163">
        <f>ROUND(F56*'Прил. 10'!$D$12,2)</f>
        <v/>
      </c>
      <c r="J56" s="163">
        <f>ROUND(E56*I56,2)</f>
        <v/>
      </c>
    </row>
    <row r="57" ht="15.75" customFormat="1" customHeight="1" s="139">
      <c r="A57" s="158" t="n"/>
      <c r="B57" s="164" t="inlineStr">
        <is>
          <t>Итого основные Материалы</t>
        </is>
      </c>
      <c r="C57" s="200" t="n"/>
      <c r="D57" s="200" t="n"/>
      <c r="E57" s="200" t="n"/>
      <c r="F57" s="201" t="n"/>
      <c r="G57" s="45">
        <f>SUM(G49:G56)</f>
        <v/>
      </c>
      <c r="H57" s="40">
        <f>SUM(H49:H56)</f>
        <v/>
      </c>
      <c r="I57" s="163" t="n"/>
      <c r="J57" s="163">
        <f>SUM(J49:J56)</f>
        <v/>
      </c>
    </row>
    <row r="58" hidden="1" outlineLevel="1" ht="47.25" customFormat="1" customHeight="1" s="139">
      <c r="A58" s="158" t="n">
        <v>29</v>
      </c>
      <c r="B58" s="164" t="inlineStr">
        <is>
          <t>04.1.02.02-0024</t>
        </is>
      </c>
      <c r="C58" s="174" t="inlineStr">
        <is>
          <t>Смеси бетонные тяжелого бетона (БСТ) для гидротехнических сооружений, класс В10 (М150)</t>
        </is>
      </c>
      <c r="D58" s="177" t="inlineStr">
        <is>
          <t>м3</t>
        </is>
      </c>
      <c r="E58" s="175" t="n">
        <v>0.4692</v>
      </c>
      <c r="F58" s="45" t="n">
        <v>607.26</v>
      </c>
      <c r="G58" s="45">
        <f>ROUND(E58*F58,2)</f>
        <v/>
      </c>
      <c r="H58" s="40">
        <f>G58/G86</f>
        <v/>
      </c>
      <c r="I58" s="163">
        <f>ROUND(F58*'Прил. 10'!$D$12,2)</f>
        <v/>
      </c>
      <c r="J58" s="163">
        <f>ROUND(E58*I58,2)</f>
        <v/>
      </c>
    </row>
    <row r="59" hidden="1" outlineLevel="1" ht="47.25" customFormat="1" customHeight="1" s="139">
      <c r="A59" s="158" t="n">
        <v>30</v>
      </c>
      <c r="B59" s="164" t="inlineStr">
        <is>
          <t>102-0061</t>
        </is>
      </c>
      <c r="C59" s="174" t="inlineStr">
        <is>
          <t>Доски обрезные хвойных пород длиной 4-6,5 м, шириной 75-150 мм, толщиной 44 мм и более, III сорта</t>
        </is>
      </c>
      <c r="D59" s="177" t="inlineStr">
        <is>
          <t>м3</t>
        </is>
      </c>
      <c r="E59" s="175" t="n">
        <v>0.060192</v>
      </c>
      <c r="F59" s="45" t="n">
        <v>1710.46</v>
      </c>
      <c r="G59" s="45">
        <f>ROUND(E59*F59,2)</f>
        <v/>
      </c>
      <c r="H59" s="40">
        <f>G59/G86</f>
        <v/>
      </c>
      <c r="I59" s="163">
        <f>ROUND(F59*'Прил. 10'!$D$12,2)</f>
        <v/>
      </c>
      <c r="J59" s="163">
        <f>ROUND(E59*I59,2)</f>
        <v/>
      </c>
    </row>
    <row r="60" hidden="1" outlineLevel="1" ht="47.25" customFormat="1" customHeight="1" s="139">
      <c r="A60" s="158" t="n">
        <v>31</v>
      </c>
      <c r="B60" s="164" t="inlineStr">
        <is>
          <t>102-0053</t>
        </is>
      </c>
      <c r="C60" s="174" t="inlineStr">
        <is>
          <t>Доски обрезные хвойных пород длиной 4-6,5 м, шириной 75-150 мм, толщиной 25 мм, III сорта</t>
        </is>
      </c>
      <c r="D60" s="177" t="inlineStr">
        <is>
          <t>м3</t>
        </is>
      </c>
      <c r="E60" s="175" t="n">
        <v>0.05016</v>
      </c>
      <c r="F60" s="45" t="n">
        <v>1639.79</v>
      </c>
      <c r="G60" s="45">
        <f>ROUND(E60*F60,2)</f>
        <v/>
      </c>
      <c r="H60" s="40">
        <f>G60/G86</f>
        <v/>
      </c>
      <c r="I60" s="163">
        <f>ROUND(F60*'Прил. 10'!$D$12,2)</f>
        <v/>
      </c>
      <c r="J60" s="163">
        <f>ROUND(E60*I60,2)</f>
        <v/>
      </c>
    </row>
    <row r="61" hidden="1" outlineLevel="1" ht="47.25" customFormat="1" customHeight="1" s="139">
      <c r="A61" s="158" t="n">
        <v>32</v>
      </c>
      <c r="B61" s="164" t="inlineStr">
        <is>
          <t>05.1.01.09-0042</t>
        </is>
      </c>
      <c r="C61" s="174" t="inlineStr">
        <is>
          <t>Кольцо опорное КО-6 /бетон B15 (М200), объем 0,02 м3, расход арматуры 1,10 кг</t>
        </is>
      </c>
      <c r="D61" s="177" t="inlineStr">
        <is>
          <t>шт</t>
        </is>
      </c>
      <c r="E61" s="175" t="n">
        <v>2</v>
      </c>
      <c r="F61" s="45" t="n">
        <v>31.43</v>
      </c>
      <c r="G61" s="45">
        <f>ROUND(E61*F61,2)</f>
        <v/>
      </c>
      <c r="H61" s="40">
        <f>G61/G86</f>
        <v/>
      </c>
      <c r="I61" s="163">
        <f>ROUND(F61*'Прил. 10'!$D$12,2)</f>
        <v/>
      </c>
      <c r="J61" s="163">
        <f>ROUND(E61*I61,2)</f>
        <v/>
      </c>
    </row>
    <row r="62" hidden="1" outlineLevel="1" ht="31.7" customFormat="1" customHeight="1" s="139">
      <c r="A62" s="158" t="n">
        <v>33</v>
      </c>
      <c r="B62" s="164" t="inlineStr">
        <is>
          <t>04.3.01.09-0014</t>
        </is>
      </c>
      <c r="C62" s="174" t="inlineStr">
        <is>
          <t>Раствор готовый кладочный, цементный, М100</t>
        </is>
      </c>
      <c r="D62" s="177" t="inlineStr">
        <is>
          <t>м3</t>
        </is>
      </c>
      <c r="E62" s="175" t="n">
        <v>0.08116</v>
      </c>
      <c r="F62" s="45" t="n">
        <v>519.8</v>
      </c>
      <c r="G62" s="45">
        <f>ROUND(E62*F62,2)</f>
        <v/>
      </c>
      <c r="H62" s="40">
        <f>G62/G86</f>
        <v/>
      </c>
      <c r="I62" s="163">
        <f>ROUND(F62*'Прил. 10'!$D$12,2)</f>
        <v/>
      </c>
      <c r="J62" s="163">
        <f>ROUND(E62*I62,2)</f>
        <v/>
      </c>
    </row>
    <row r="63" hidden="1" outlineLevel="1" ht="31.7" customFormat="1" customHeight="1" s="139">
      <c r="A63" s="158" t="n">
        <v>34</v>
      </c>
      <c r="B63" s="164" t="inlineStr">
        <is>
          <t>24.2.06.02-0001</t>
        </is>
      </c>
      <c r="C63" s="174" t="inlineStr">
        <is>
          <t>Манжеты стальные для стыка хризотилцементных труб М-100</t>
        </is>
      </c>
      <c r="D63" s="177" t="inlineStr">
        <is>
          <t>10 шт</t>
        </is>
      </c>
      <c r="E63" s="175" t="n">
        <v>1.024</v>
      </c>
      <c r="F63" s="45" t="n">
        <v>30</v>
      </c>
      <c r="G63" s="45">
        <f>ROUND(E63*F63,2)</f>
        <v/>
      </c>
      <c r="H63" s="40">
        <f>G63/G86</f>
        <v/>
      </c>
      <c r="I63" s="163">
        <f>ROUND(F63*'Прил. 10'!$D$12,2)</f>
        <v/>
      </c>
      <c r="J63" s="163">
        <f>ROUND(E63*I63,2)</f>
        <v/>
      </c>
    </row>
    <row r="64" hidden="1" outlineLevel="1" ht="31.7" customFormat="1" customHeight="1" s="139">
      <c r="A64" s="158" t="n">
        <v>35</v>
      </c>
      <c r="B64" s="164" t="inlineStr">
        <is>
          <t>04.1.02.05-0006</t>
        </is>
      </c>
      <c r="C64" s="174" t="inlineStr">
        <is>
          <t>Смеси бетонные тяжелого бетона (БСТ), класс В15 (М200)</t>
        </is>
      </c>
      <c r="D64" s="177" t="inlineStr">
        <is>
          <t>м3</t>
        </is>
      </c>
      <c r="E64" s="175" t="n">
        <v>0.0513</v>
      </c>
      <c r="F64" s="45" t="n">
        <v>592.76</v>
      </c>
      <c r="G64" s="45">
        <f>ROUND(E64*F64,2)</f>
        <v/>
      </c>
      <c r="H64" s="40">
        <f>G64/G86</f>
        <v/>
      </c>
      <c r="I64" s="163">
        <f>ROUND(F64*'Прил. 10'!$D$12,2)</f>
        <v/>
      </c>
      <c r="J64" s="163">
        <f>ROUND(E64*I64,2)</f>
        <v/>
      </c>
    </row>
    <row r="65" hidden="1" outlineLevel="1" ht="31.7" customFormat="1" customHeight="1" s="139">
      <c r="A65" s="158" t="n">
        <v>36</v>
      </c>
      <c r="B65" s="164" t="inlineStr">
        <is>
          <t>08.1.02.11-0001</t>
        </is>
      </c>
      <c r="C65" s="174" t="inlineStr">
        <is>
          <t>Поковки из квадратных заготовок, масса 1,8 кг</t>
        </is>
      </c>
      <c r="D65" s="177" t="inlineStr">
        <is>
          <t>т</t>
        </is>
      </c>
      <c r="E65" s="175" t="n">
        <v>0.00409</v>
      </c>
      <c r="F65" s="45" t="n">
        <v>5989</v>
      </c>
      <c r="G65" s="45">
        <f>ROUND(E65*F65,2)</f>
        <v/>
      </c>
      <c r="H65" s="40">
        <f>G65/G86</f>
        <v/>
      </c>
      <c r="I65" s="163">
        <f>ROUND(F65*'Прил. 10'!$D$12,2)</f>
        <v/>
      </c>
      <c r="J65" s="163">
        <f>ROUND(E65*I65,2)</f>
        <v/>
      </c>
    </row>
    <row r="66" hidden="1" outlineLevel="1" ht="31.7" customFormat="1" customHeight="1" s="139">
      <c r="A66" s="158" t="n">
        <v>37</v>
      </c>
      <c r="B66" s="164" t="inlineStr">
        <is>
          <t>04.3.01.09-0012</t>
        </is>
      </c>
      <c r="C66" s="174" t="inlineStr">
        <is>
          <t>Раствор готовый кладочный, цементный, М50</t>
        </is>
      </c>
      <c r="D66" s="177" t="inlineStr">
        <is>
          <t>м3</t>
        </is>
      </c>
      <c r="E66" s="175" t="n">
        <v>0.04627</v>
      </c>
      <c r="F66" s="45" t="n">
        <v>485.9</v>
      </c>
      <c r="G66" s="45">
        <f>ROUND(E66*F66,2)</f>
        <v/>
      </c>
      <c r="H66" s="40">
        <f>G66/G86</f>
        <v/>
      </c>
      <c r="I66" s="163">
        <f>ROUND(F66*'Прил. 10'!$D$12,2)</f>
        <v/>
      </c>
      <c r="J66" s="163">
        <f>ROUND(E66*I66,2)</f>
        <v/>
      </c>
    </row>
    <row r="67" hidden="1" outlineLevel="1" ht="31.7" customFormat="1" customHeight="1" s="139">
      <c r="A67" s="158" t="n">
        <v>38</v>
      </c>
      <c r="B67" s="164" t="inlineStr">
        <is>
          <t>08.1.02.11-0001</t>
        </is>
      </c>
      <c r="C67" s="174" t="inlineStr">
        <is>
          <t>Поковки из квадратных заготовок, масса 1,8 кг</t>
        </is>
      </c>
      <c r="D67" s="177" t="inlineStr">
        <is>
          <t>т</t>
        </is>
      </c>
      <c r="E67" s="175" t="n">
        <v>0.0018</v>
      </c>
      <c r="F67" s="45" t="n">
        <v>5989</v>
      </c>
      <c r="G67" s="45">
        <f>ROUND(E67*F67,2)</f>
        <v/>
      </c>
      <c r="H67" s="40">
        <f>G67/G86</f>
        <v/>
      </c>
      <c r="I67" s="163">
        <f>ROUND(F67*'Прил. 10'!$D$12,2)</f>
        <v/>
      </c>
      <c r="J67" s="163">
        <f>ROUND(E67*I67,2)</f>
        <v/>
      </c>
    </row>
    <row r="68" hidden="1" outlineLevel="1" ht="47.25" customFormat="1" customHeight="1" s="139">
      <c r="A68" s="158" t="n">
        <v>39</v>
      </c>
      <c r="B68" s="164" t="inlineStr">
        <is>
          <t>102-0008</t>
        </is>
      </c>
      <c r="C68" s="174" t="inlineStr">
        <is>
          <t>Лесоматериалы круглые хвойных пород для строительства диаметром 14-24 см, длиной 3-6,5 м</t>
        </is>
      </c>
      <c r="D68" s="177" t="inlineStr">
        <is>
          <t>м3</t>
        </is>
      </c>
      <c r="E68" s="175" t="n">
        <v>0.012672</v>
      </c>
      <c r="F68" s="45" t="n">
        <v>810.21</v>
      </c>
      <c r="G68" s="45">
        <f>ROUND(E68*F68,2)</f>
        <v/>
      </c>
      <c r="H68" s="40">
        <f>G68/G86</f>
        <v/>
      </c>
      <c r="I68" s="163">
        <f>ROUND(F68*'Прил. 10'!$D$12,2)</f>
        <v/>
      </c>
      <c r="J68" s="163">
        <f>ROUND(E68*I68,2)</f>
        <v/>
      </c>
    </row>
    <row r="69" hidden="1" outlineLevel="1" ht="15.75" customFormat="1" customHeight="1" s="139">
      <c r="A69" s="158" t="n">
        <v>40</v>
      </c>
      <c r="B69" s="164" t="inlineStr">
        <is>
          <t>101-1805</t>
        </is>
      </c>
      <c r="C69" s="174" t="inlineStr">
        <is>
          <t>Гвозди строительные</t>
        </is>
      </c>
      <c r="D69" s="177" t="inlineStr">
        <is>
          <t>т</t>
        </is>
      </c>
      <c r="E69" s="175" t="n">
        <v>0.0012672</v>
      </c>
      <c r="F69" s="45" t="n">
        <v>7671.42</v>
      </c>
      <c r="G69" s="45">
        <f>ROUND(E69*F69,2)</f>
        <v/>
      </c>
      <c r="H69" s="40">
        <f>G69/G86</f>
        <v/>
      </c>
      <c r="I69" s="163">
        <f>ROUND(F69*'Прил. 10'!$D$12,2)</f>
        <v/>
      </c>
      <c r="J69" s="163">
        <f>ROUND(E69*I69,2)</f>
        <v/>
      </c>
    </row>
    <row r="70" hidden="1" outlineLevel="1" ht="15.75" customFormat="1" customHeight="1" s="139">
      <c r="A70" s="158" t="n">
        <v>41</v>
      </c>
      <c r="B70" s="164" t="inlineStr">
        <is>
          <t>01.3.01.03-0002</t>
        </is>
      </c>
      <c r="C70" s="174" t="inlineStr">
        <is>
          <t>Керосин для технических целей</t>
        </is>
      </c>
      <c r="D70" s="177" t="inlineStr">
        <is>
          <t>т</t>
        </is>
      </c>
      <c r="E70" s="175" t="n">
        <v>0.0029808</v>
      </c>
      <c r="F70" s="45" t="n">
        <v>2606.9</v>
      </c>
      <c r="G70" s="45">
        <f>ROUND(E70*F70,2)</f>
        <v/>
      </c>
      <c r="H70" s="40">
        <f>G70/G86</f>
        <v/>
      </c>
      <c r="I70" s="163">
        <f>ROUND(F70*'Прил. 10'!$D$12,2)</f>
        <v/>
      </c>
      <c r="J70" s="163">
        <f>ROUND(E70*I70,2)</f>
        <v/>
      </c>
    </row>
    <row r="71" hidden="1" outlineLevel="1" ht="31.7" customFormat="1" customHeight="1" s="139">
      <c r="A71" s="158" t="n">
        <v>42</v>
      </c>
      <c r="B71" s="164" t="inlineStr">
        <is>
          <t>101-0797</t>
        </is>
      </c>
      <c r="C71" s="174" t="inlineStr">
        <is>
          <t>Проволока горячекатаная в мотках, диаметром 6,3-6,5 мм</t>
        </is>
      </c>
      <c r="D71" s="177" t="inlineStr">
        <is>
          <t>т</t>
        </is>
      </c>
      <c r="E71" s="175" t="n">
        <v>0.00132</v>
      </c>
      <c r="F71" s="45" t="n">
        <v>4751.12</v>
      </c>
      <c r="G71" s="45">
        <f>ROUND(E71*F71,2)</f>
        <v/>
      </c>
      <c r="H71" s="40">
        <f>G71/G86</f>
        <v/>
      </c>
      <c r="I71" s="163">
        <f>ROUND(F71*'Прил. 10'!$D$12,2)</f>
        <v/>
      </c>
      <c r="J71" s="163">
        <f>ROUND(E71*I71,2)</f>
        <v/>
      </c>
    </row>
    <row r="72" hidden="1" outlineLevel="1" ht="15.75" customFormat="1" customHeight="1" s="139">
      <c r="A72" s="158" t="n">
        <v>43</v>
      </c>
      <c r="B72" s="164" t="inlineStr">
        <is>
          <t>01.7.15.10-0067</t>
        </is>
      </c>
      <c r="C72" s="174" t="inlineStr">
        <is>
          <t>Скобы ходовые</t>
        </is>
      </c>
      <c r="D72" s="177" t="inlineStr">
        <is>
          <t>шт</t>
        </is>
      </c>
      <c r="E72" s="175" t="n">
        <v>0.8683</v>
      </c>
      <c r="F72" s="45" t="n">
        <v>6.55</v>
      </c>
      <c r="G72" s="45">
        <f>ROUND(E72*F72,2)</f>
        <v/>
      </c>
      <c r="H72" s="40">
        <f>G72/G86</f>
        <v/>
      </c>
      <c r="I72" s="163">
        <f>ROUND(F72*'Прил. 10'!$D$12,2)</f>
        <v/>
      </c>
      <c r="J72" s="163">
        <f>ROUND(E72*I72,2)</f>
        <v/>
      </c>
    </row>
    <row r="73" hidden="1" outlineLevel="1" ht="31.7" customFormat="1" customHeight="1" s="139">
      <c r="A73" s="158" t="n">
        <v>44</v>
      </c>
      <c r="B73" s="164" t="inlineStr">
        <is>
          <t>01.7.07.12-0024</t>
        </is>
      </c>
      <c r="C73" s="174" t="inlineStr">
        <is>
          <t>Пленка полиэтиленовая, толщина 0,15 мм</t>
        </is>
      </c>
      <c r="D73" s="177" t="inlineStr">
        <is>
          <t>м2</t>
        </is>
      </c>
      <c r="E73" s="175" t="n">
        <v>1.15</v>
      </c>
      <c r="F73" s="45" t="n">
        <v>3.62</v>
      </c>
      <c r="G73" s="45">
        <f>ROUND(E73*F73,2)</f>
        <v/>
      </c>
      <c r="H73" s="40">
        <f>G73/G86</f>
        <v/>
      </c>
      <c r="I73" s="163">
        <f>ROUND(F73*'Прил. 10'!$D$12,2)</f>
        <v/>
      </c>
      <c r="J73" s="163">
        <f>ROUND(E73*I73,2)</f>
        <v/>
      </c>
    </row>
    <row r="74" hidden="1" outlineLevel="1" ht="15.75" customFormat="1" customHeight="1" s="139">
      <c r="A74" s="158" t="n">
        <v>45</v>
      </c>
      <c r="B74" s="164" t="inlineStr">
        <is>
          <t>101-1529</t>
        </is>
      </c>
      <c r="C74" s="174" t="inlineStr">
        <is>
          <t>Электроды диаметром 6 мм Э42</t>
        </is>
      </c>
      <c r="D74" s="177" t="inlineStr">
        <is>
          <t>т</t>
        </is>
      </c>
      <c r="E74" s="175" t="n">
        <v>0.0003828</v>
      </c>
      <c r="F74" s="45" t="n">
        <v>10212.3</v>
      </c>
      <c r="G74" s="45">
        <f>ROUND(E74*F74,2)</f>
        <v/>
      </c>
      <c r="H74" s="40">
        <f>G74/G86</f>
        <v/>
      </c>
      <c r="I74" s="163">
        <f>ROUND(F74*'Прил. 10'!$D$12,2)</f>
        <v/>
      </c>
      <c r="J74" s="163">
        <f>ROUND(E74*I74,2)</f>
        <v/>
      </c>
    </row>
    <row r="75" hidden="1" outlineLevel="1" ht="31.7" customFormat="1" customHeight="1" s="139">
      <c r="A75" s="158" t="n">
        <v>46</v>
      </c>
      <c r="B75" s="164" t="inlineStr">
        <is>
          <t>405-0253</t>
        </is>
      </c>
      <c r="C75" s="174" t="inlineStr">
        <is>
          <t>Известь строительная негашеная комовая, сорт I</t>
        </is>
      </c>
      <c r="D75" s="177" t="inlineStr">
        <is>
          <t>т</t>
        </is>
      </c>
      <c r="E75" s="175" t="n">
        <v>0.0015576</v>
      </c>
      <c r="F75" s="45" t="n">
        <v>1878.74</v>
      </c>
      <c r="G75" s="45">
        <f>ROUND(E75*F75,2)</f>
        <v/>
      </c>
      <c r="H75" s="40">
        <f>G75/G86</f>
        <v/>
      </c>
      <c r="I75" s="163">
        <f>ROUND(F75*'Прил. 10'!$D$12,2)</f>
        <v/>
      </c>
      <c r="J75" s="163">
        <f>ROUND(E75*I75,2)</f>
        <v/>
      </c>
    </row>
    <row r="76" hidden="1" outlineLevel="1" ht="47.25" customFormat="1" customHeight="1" s="139">
      <c r="A76" s="158" t="n">
        <v>47</v>
      </c>
      <c r="B76" s="164" t="inlineStr">
        <is>
          <t>11.1.03.03-0003</t>
        </is>
      </c>
      <c r="C76" s="174" t="inlineStr">
        <is>
          <t>Брусья необрезные, хвойных пород, длина 2-3,75 м, все ширины, толщина 100-125 мм, сорт III</t>
        </is>
      </c>
      <c r="D76" s="177" t="inlineStr">
        <is>
          <t>м3</t>
        </is>
      </c>
      <c r="E76" s="175" t="n">
        <v>0.00256</v>
      </c>
      <c r="F76" s="45" t="n">
        <v>802.46</v>
      </c>
      <c r="G76" s="45">
        <f>ROUND(E76*F76,2)</f>
        <v/>
      </c>
      <c r="H76" s="40">
        <f>G76/G86</f>
        <v/>
      </c>
      <c r="I76" s="163">
        <f>ROUND(F76*'Прил. 10'!$D$12,2)</f>
        <v/>
      </c>
      <c r="J76" s="163">
        <f>ROUND(E76*I76,2)</f>
        <v/>
      </c>
    </row>
    <row r="77" hidden="1" outlineLevel="1" ht="31.7" customFormat="1" customHeight="1" s="139">
      <c r="A77" s="158" t="n">
        <v>48</v>
      </c>
      <c r="B77" s="164" t="inlineStr">
        <is>
          <t>02.3.01.02-1012</t>
        </is>
      </c>
      <c r="C77" s="174" t="inlineStr">
        <is>
          <t>Песок природный II класс, средний, круглые сита</t>
        </is>
      </c>
      <c r="D77" s="177" t="inlineStr">
        <is>
          <t>м3</t>
        </is>
      </c>
      <c r="E77" s="175" t="n">
        <v>0.03344</v>
      </c>
      <c r="F77" s="45" t="n">
        <v>59.99</v>
      </c>
      <c r="G77" s="45">
        <f>ROUND(E77*F77,2)</f>
        <v/>
      </c>
      <c r="H77" s="40">
        <f>G77/G86</f>
        <v/>
      </c>
      <c r="I77" s="163">
        <f>ROUND(F77*'Прил. 10'!$D$12,2)</f>
        <v/>
      </c>
      <c r="J77" s="163">
        <f>ROUND(E77*I77,2)</f>
        <v/>
      </c>
    </row>
    <row r="78" hidden="1" outlineLevel="1" ht="31.7" customFormat="1" customHeight="1" s="139">
      <c r="A78" s="158" t="n">
        <v>49</v>
      </c>
      <c r="B78" s="164" t="inlineStr">
        <is>
          <t>01.2.01.02-0054</t>
        </is>
      </c>
      <c r="C78" s="174" t="inlineStr">
        <is>
          <t>Битумы нефтяные строительные БН-90/10</t>
        </is>
      </c>
      <c r="D78" s="177" t="inlineStr">
        <is>
          <t>т</t>
        </is>
      </c>
      <c r="E78" s="175" t="n">
        <v>0.0011304</v>
      </c>
      <c r="F78" s="45" t="n">
        <v>1383.1</v>
      </c>
      <c r="G78" s="45">
        <f>ROUND(E78*F78,2)</f>
        <v/>
      </c>
      <c r="H78" s="40">
        <f>G78/G86</f>
        <v/>
      </c>
      <c r="I78" s="163">
        <f>ROUND(F78*'Прил. 10'!$D$12,2)</f>
        <v/>
      </c>
      <c r="J78" s="163">
        <f>ROUND(E78*I78,2)</f>
        <v/>
      </c>
    </row>
    <row r="79" hidden="1" outlineLevel="1" ht="15.75" customFormat="1" customHeight="1" s="139">
      <c r="A79" s="158" t="n">
        <v>50</v>
      </c>
      <c r="B79" s="164" t="inlineStr">
        <is>
          <t>01.7.16.04-0013</t>
        </is>
      </c>
      <c r="C79" s="174" t="inlineStr">
        <is>
          <t>Опалубка металлическая</t>
        </is>
      </c>
      <c r="D79" s="177" t="inlineStr">
        <is>
          <t>т</t>
        </is>
      </c>
      <c r="E79" s="175" t="n">
        <v>0.000266</v>
      </c>
      <c r="F79" s="45" t="n">
        <v>3938.2</v>
      </c>
      <c r="G79" s="45">
        <f>ROUND(E79*F79,2)</f>
        <v/>
      </c>
      <c r="H79" s="40">
        <f>G79/G86</f>
        <v/>
      </c>
      <c r="I79" s="163">
        <f>ROUND(F79*'Прил. 10'!$D$12,2)</f>
        <v/>
      </c>
      <c r="J79" s="163">
        <f>ROUND(E79*I79,2)</f>
        <v/>
      </c>
    </row>
    <row r="80" hidden="1" outlineLevel="1" ht="15.75" customFormat="1" customHeight="1" s="139">
      <c r="A80" s="158" t="n">
        <v>51</v>
      </c>
      <c r="B80" s="164" t="inlineStr">
        <is>
          <t>04.3.01.03-0001</t>
        </is>
      </c>
      <c r="C80" s="174" t="inlineStr">
        <is>
          <t>Раствор асбоцементный</t>
        </is>
      </c>
      <c r="D80" s="177" t="inlineStr">
        <is>
          <t>м3</t>
        </is>
      </c>
      <c r="E80" s="175" t="n">
        <v>0.00228</v>
      </c>
      <c r="F80" s="45" t="n">
        <v>395</v>
      </c>
      <c r="G80" s="45">
        <f>ROUND(E80*F80,2)</f>
        <v/>
      </c>
      <c r="H80" s="40">
        <f>G80/G86</f>
        <v/>
      </c>
      <c r="I80" s="163">
        <f>ROUND(F80*'Прил. 10'!$D$12,2)</f>
        <v/>
      </c>
      <c r="J80" s="163">
        <f>ROUND(E80*I80,2)</f>
        <v/>
      </c>
    </row>
    <row r="81" hidden="1" outlineLevel="1" ht="15.75" customFormat="1" customHeight="1" s="139">
      <c r="A81" s="158" t="n">
        <v>52</v>
      </c>
      <c r="B81" s="164" t="inlineStr">
        <is>
          <t>01.7.03.01-0001</t>
        </is>
      </c>
      <c r="C81" s="174" t="inlineStr">
        <is>
          <t>Вода</t>
        </is>
      </c>
      <c r="D81" s="177" t="inlineStr">
        <is>
          <t>м3</t>
        </is>
      </c>
      <c r="E81" s="175" t="n">
        <v>0.20125</v>
      </c>
      <c r="F81" s="45" t="n">
        <v>2.44</v>
      </c>
      <c r="G81" s="45">
        <f>ROUND(E81*F81,2)</f>
        <v/>
      </c>
      <c r="H81" s="40">
        <f>G81/G86</f>
        <v/>
      </c>
      <c r="I81" s="163">
        <f>ROUND(F81*'Прил. 10'!$D$12,2)</f>
        <v/>
      </c>
      <c r="J81" s="163">
        <f>ROUND(E81*I81,2)</f>
        <v/>
      </c>
    </row>
    <row r="82" hidden="1" outlineLevel="1" ht="15.75" customFormat="1" customHeight="1" s="139">
      <c r="A82" s="158" t="n">
        <v>53</v>
      </c>
      <c r="B82" s="164" t="inlineStr">
        <is>
          <t>411-0001</t>
        </is>
      </c>
      <c r="C82" s="174" t="inlineStr">
        <is>
          <t>Вода</t>
        </is>
      </c>
      <c r="D82" s="177" t="inlineStr">
        <is>
          <t>м3</t>
        </is>
      </c>
      <c r="E82" s="175" t="n">
        <v>0.0046728</v>
      </c>
      <c r="F82" s="45" t="n">
        <v>17.18</v>
      </c>
      <c r="G82" s="45">
        <f>ROUND(E82*F82,2)</f>
        <v/>
      </c>
      <c r="H82" s="40">
        <f>G82/G86</f>
        <v/>
      </c>
      <c r="I82" s="163">
        <f>ROUND(F82*'Прил. 10'!$D$12,2)</f>
        <v/>
      </c>
      <c r="J82" s="163">
        <f>ROUND(E82*I82,2)</f>
        <v/>
      </c>
    </row>
    <row r="83" hidden="1" outlineLevel="1" ht="47.25" customFormat="1" customHeight="1" s="139">
      <c r="A83" s="158" t="n">
        <v>54</v>
      </c>
      <c r="B83" s="164" t="inlineStr">
        <is>
          <t>03.2.01.01-0001</t>
        </is>
      </c>
      <c r="C83" s="174" t="inlineStr">
        <is>
          <t>Портландцемент общестроительного назначения бездобавочный М400 Д0 (ЦЕМ I 32,5Н)</t>
        </is>
      </c>
      <c r="D83" s="177" t="inlineStr">
        <is>
          <t>т</t>
        </is>
      </c>
      <c r="E83" s="175" t="n">
        <v>0.000152</v>
      </c>
      <c r="F83" s="45" t="n">
        <v>412</v>
      </c>
      <c r="G83" s="45">
        <f>ROUND(E83*F83,2)</f>
        <v/>
      </c>
      <c r="H83" s="40">
        <f>G83/G86</f>
        <v/>
      </c>
      <c r="I83" s="163">
        <f>ROUND(F83*'Прил. 10'!$D$12,2)</f>
        <v/>
      </c>
      <c r="J83" s="163">
        <f>ROUND(E83*I83,2)</f>
        <v/>
      </c>
    </row>
    <row r="84" hidden="1" outlineLevel="1" ht="15.75" customFormat="1" customHeight="1" s="139">
      <c r="A84" s="158" t="n">
        <v>55</v>
      </c>
      <c r="B84" s="164" t="inlineStr">
        <is>
          <t>01.7.20.08-0051</t>
        </is>
      </c>
      <c r="C84" s="174" t="inlineStr">
        <is>
          <t>Ветошь</t>
        </is>
      </c>
      <c r="D84" s="177" t="inlineStr">
        <is>
          <t>кг</t>
        </is>
      </c>
      <c r="E84" s="175" t="n">
        <v>0.03126</v>
      </c>
      <c r="F84" s="45" t="n">
        <v>1.82</v>
      </c>
      <c r="G84" s="45">
        <f>ROUND(E84*F84,2)</f>
        <v/>
      </c>
      <c r="H84" s="40">
        <f>G84/G86</f>
        <v/>
      </c>
      <c r="I84" s="163">
        <f>ROUND(F84*'Прил. 10'!$D$12,2)</f>
        <v/>
      </c>
      <c r="J84" s="163">
        <f>ROUND(E84*I84,2)</f>
        <v/>
      </c>
    </row>
    <row r="85" collapsed="1" ht="15.75" customFormat="1" customHeight="1" s="139">
      <c r="A85" s="158" t="n"/>
      <c r="B85" s="158" t="inlineStr">
        <is>
          <t>Итого прочие Материалы</t>
        </is>
      </c>
      <c r="C85" s="200" t="n"/>
      <c r="D85" s="200" t="n"/>
      <c r="E85" s="200" t="n"/>
      <c r="F85" s="201" t="n"/>
      <c r="G85" s="163">
        <f>SUM(G58:G84)</f>
        <v/>
      </c>
      <c r="H85" s="40">
        <f>SUM(H58:H84)</f>
        <v/>
      </c>
      <c r="I85" s="163" t="n"/>
      <c r="J85" s="163">
        <f>SUM(J58:J84)</f>
        <v/>
      </c>
    </row>
    <row r="86" ht="15.75" customFormat="1" customHeight="1" s="139">
      <c r="A86" s="158" t="n"/>
      <c r="B86" s="158" t="inlineStr">
        <is>
          <t>Итого по разделу "Материалы"</t>
        </is>
      </c>
      <c r="C86" s="200" t="n"/>
      <c r="D86" s="200" t="n"/>
      <c r="E86" s="200" t="n"/>
      <c r="F86" s="201" t="n"/>
      <c r="G86" s="163">
        <f>G57+G85</f>
        <v/>
      </c>
      <c r="H86" s="40">
        <f>H57+H85</f>
        <v/>
      </c>
      <c r="I86" s="163" t="n"/>
      <c r="J86" s="163">
        <f>J57+J85</f>
        <v/>
      </c>
    </row>
    <row r="87" ht="15.75" customFormat="1" customHeight="1" s="139">
      <c r="A87" s="159" t="n"/>
      <c r="B87" s="177" t="n"/>
      <c r="C87" s="174" t="inlineStr">
        <is>
          <t>ИТОГО ПО РМ</t>
        </is>
      </c>
      <c r="D87" s="177" t="n"/>
      <c r="E87" s="177" t="n"/>
      <c r="F87" s="176" t="n"/>
      <c r="G87" s="176">
        <f>+G14+G39+G86</f>
        <v/>
      </c>
      <c r="H87" s="56" t="n"/>
      <c r="I87" s="163" t="n"/>
      <c r="J87" s="176">
        <f>+J14+J39+J86</f>
        <v/>
      </c>
    </row>
    <row r="88" ht="15.75" customFormat="1" customHeight="1" s="139">
      <c r="A88" s="159" t="n"/>
      <c r="B88" s="177" t="n"/>
      <c r="C88" s="174" t="inlineStr">
        <is>
          <t>Накладные расходы</t>
        </is>
      </c>
      <c r="D88" s="58" t="n">
        <v>0.98492033072332</v>
      </c>
      <c r="E88" s="177" t="n"/>
      <c r="F88" s="176" t="n"/>
      <c r="G88" s="176">
        <f>(G14+G16)*D88</f>
        <v/>
      </c>
      <c r="H88" s="56" t="n"/>
      <c r="I88" s="163" t="n"/>
      <c r="J88" s="163">
        <f>(J14+J16)*D88</f>
        <v/>
      </c>
    </row>
    <row r="89" ht="15.75" customFormat="1" customHeight="1" s="139">
      <c r="A89" s="159" t="n"/>
      <c r="B89" s="177" t="n"/>
      <c r="C89" s="174" t="inlineStr">
        <is>
          <t>Сметная прибыль</t>
        </is>
      </c>
      <c r="D89" s="58" t="n">
        <v>0.5437387066747</v>
      </c>
      <c r="E89" s="177" t="n"/>
      <c r="F89" s="176" t="n"/>
      <c r="G89" s="176">
        <f>(G14+G16)*D89</f>
        <v/>
      </c>
      <c r="H89" s="56" t="n"/>
      <c r="I89" s="163" t="n"/>
      <c r="J89" s="163">
        <f>(J14+J16)*D89</f>
        <v/>
      </c>
    </row>
    <row r="90" ht="15.75" customFormat="1" customHeight="1" s="139">
      <c r="A90" s="159" t="n"/>
      <c r="B90" s="177" t="n"/>
      <c r="C90" s="174" t="inlineStr">
        <is>
          <t>Итого СМР (с НР и СП)</t>
        </is>
      </c>
      <c r="D90" s="177" t="n"/>
      <c r="E90" s="177" t="n"/>
      <c r="F90" s="176" t="n"/>
      <c r="G90" s="176">
        <f>G87+G88+G89</f>
        <v/>
      </c>
      <c r="H90" s="56" t="n"/>
      <c r="I90" s="163" t="n"/>
      <c r="J90" s="176">
        <f>J87+J88+J89</f>
        <v/>
      </c>
    </row>
    <row r="91" ht="15.75" customFormat="1" customHeight="1" s="139">
      <c r="A91" s="159" t="n"/>
      <c r="B91" s="177" t="n"/>
      <c r="C91" s="174" t="inlineStr">
        <is>
          <t>ВСЕГО СМР + ОБОРУДОВАНИЕ</t>
        </is>
      </c>
      <c r="D91" s="177" t="n"/>
      <c r="E91" s="177" t="n"/>
      <c r="F91" s="176" t="n"/>
      <c r="G91" s="176">
        <f>G45+G90</f>
        <v/>
      </c>
      <c r="H91" s="56" t="n"/>
      <c r="I91" s="163" t="n"/>
      <c r="J91" s="163">
        <f>J45+J90</f>
        <v/>
      </c>
    </row>
    <row r="92" ht="15.75" customFormat="1" customHeight="1" s="139">
      <c r="A92" s="159" t="n"/>
      <c r="B92" s="177" t="n"/>
      <c r="C92" s="174" t="inlineStr">
        <is>
          <t>ИТОГО ПОКАЗАТЕЛЬ НА ЕД. ИЗМ.</t>
        </is>
      </c>
      <c r="D92" s="177" t="inlineStr">
        <is>
          <t>м</t>
        </is>
      </c>
      <c r="E92" s="177" t="n">
        <v>31.68</v>
      </c>
      <c r="F92" s="176" t="n"/>
      <c r="G92" s="176">
        <f>G91/E92</f>
        <v/>
      </c>
      <c r="H92" s="56" t="n"/>
      <c r="I92" s="163" t="n"/>
      <c r="J92" s="176">
        <f>J91/E92</f>
        <v/>
      </c>
    </row>
    <row r="93" ht="15.75" customFormat="1" customHeight="1" s="139">
      <c r="E93" s="139" t="n"/>
      <c r="F93" s="89" t="n"/>
      <c r="G93" s="89" t="n"/>
      <c r="I93" s="89" t="n"/>
      <c r="J93" s="89" t="n"/>
    </row>
    <row r="94" ht="15.75" customFormat="1" customHeight="1" s="139">
      <c r="E94" s="139" t="n"/>
      <c r="F94" s="89" t="n"/>
      <c r="G94" s="89" t="n"/>
      <c r="I94" s="89" t="n"/>
      <c r="J94" s="89" t="n"/>
    </row>
    <row r="95" ht="15.75" customFormat="1" customHeight="1" s="139">
      <c r="B95" s="96" t="inlineStr">
        <is>
          <t>Составил ____________________________ М.С. Колотиевская</t>
        </is>
      </c>
    </row>
    <row r="96" ht="15.75" customFormat="1" customHeight="1" s="139">
      <c r="B96" s="96" t="inlineStr">
        <is>
          <t xml:space="preserve">(должность, подпись, инициалы, фамилия) </t>
        </is>
      </c>
    </row>
    <row r="97" ht="15.75" customFormat="1" customHeight="1" s="139">
      <c r="B97" s="96" t="n"/>
    </row>
    <row r="98" ht="15.75" customFormat="1" customHeight="1" s="139">
      <c r="B98" s="139" t="inlineStr">
        <is>
          <t>Проверил ______________________          А.В. Костянецкая</t>
        </is>
      </c>
    </row>
    <row r="99" ht="15.75" customFormat="1" customHeight="1" s="139">
      <c r="B99" s="156" t="inlineStr">
        <is>
          <t>(должность, подпись, инициалы, фамилия)</t>
        </is>
      </c>
      <c r="C99" s="156" t="n"/>
    </row>
  </sheetData>
  <mergeCells count="28">
    <mergeCell ref="H9:H10"/>
    <mergeCell ref="B15:H15"/>
    <mergeCell ref="B22:F22"/>
    <mergeCell ref="H2:J2"/>
    <mergeCell ref="C9:C10"/>
    <mergeCell ref="E9:E10"/>
    <mergeCell ref="B39:F39"/>
    <mergeCell ref="B86:F86"/>
    <mergeCell ref="B40:J40"/>
    <mergeCell ref="B47:H47"/>
    <mergeCell ref="B57:F57"/>
    <mergeCell ref="B9:B10"/>
    <mergeCell ref="D9:D10"/>
    <mergeCell ref="B18:H18"/>
    <mergeCell ref="B38:F38"/>
    <mergeCell ref="B12:H12"/>
    <mergeCell ref="D6:J6"/>
    <mergeCell ref="B41:J41"/>
    <mergeCell ref="B48:H48"/>
    <mergeCell ref="F9:G9"/>
    <mergeCell ref="A4:H4"/>
    <mergeCell ref="B17:H17"/>
    <mergeCell ref="A9:A10"/>
    <mergeCell ref="A6:C6"/>
    <mergeCell ref="B85:F85"/>
    <mergeCell ref="B43:J43"/>
    <mergeCell ref="A7:C7"/>
    <mergeCell ref="I9:J9"/>
  </mergeCells>
  <conditionalFormatting sqref="E13:E99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60" zoomScaleNormal="100" workbookViewId="0">
      <selection activeCell="C15" sqref="C15"/>
    </sheetView>
  </sheetViews>
  <sheetFormatPr baseColWidth="8" defaultColWidth="9.140625" defaultRowHeight="15"/>
  <cols>
    <col width="5.7109375" customWidth="1" style="137" min="1" max="1"/>
    <col width="14.85546875" customWidth="1" style="137" min="2" max="2"/>
    <col width="39.140625" customWidth="1" style="137" min="3" max="3"/>
    <col width="8.28515625" customWidth="1" style="137" min="4" max="4"/>
    <col width="13.5703125" customWidth="1" style="137" min="5" max="5"/>
    <col width="12.42578125" customWidth="1" style="137" min="6" max="6"/>
    <col width="14.140625" customWidth="1" style="137" min="7" max="7"/>
    <col width="9.140625" customWidth="1" style="137" min="8" max="8"/>
  </cols>
  <sheetData>
    <row r="1" ht="15.75" customHeight="1" s="137">
      <c r="A1" s="168" t="inlineStr">
        <is>
          <t>Приложение №6</t>
        </is>
      </c>
    </row>
    <row r="2" ht="21.75" customHeight="1" s="137">
      <c r="A2" s="168" t="n"/>
      <c r="B2" s="168" t="n"/>
      <c r="C2" s="168" t="n"/>
      <c r="D2" s="168" t="n"/>
      <c r="E2" s="168" t="n"/>
      <c r="F2" s="168" t="n"/>
      <c r="G2" s="168" t="n"/>
    </row>
    <row r="3" ht="15.75" customHeight="1" s="137">
      <c r="A3" s="145" t="inlineStr">
        <is>
          <t>Расчет стоимости оборудования</t>
        </is>
      </c>
    </row>
    <row r="4" ht="25.5" customHeight="1" s="137">
      <c r="A4" s="169" t="inlineStr">
        <is>
          <t>Наименование разрабатываемого показателя УНЦ —  Аварийные маслостоки</t>
        </is>
      </c>
    </row>
    <row r="5" ht="15.75" customHeight="1" s="137">
      <c r="A5" s="139" t="n"/>
      <c r="B5" s="139" t="n"/>
      <c r="C5" s="139" t="n"/>
      <c r="D5" s="139" t="n"/>
      <c r="E5" s="139" t="n"/>
      <c r="F5" s="139" t="n"/>
      <c r="G5" s="139" t="n"/>
    </row>
    <row r="6" ht="30.2" customFormat="1" customHeight="1" s="139">
      <c r="A6" s="177" t="inlineStr">
        <is>
          <t>№ пп.</t>
        </is>
      </c>
      <c r="B6" s="177" t="inlineStr">
        <is>
          <t>Код ресурса</t>
        </is>
      </c>
      <c r="C6" s="177" t="inlineStr">
        <is>
          <t>Наименование</t>
        </is>
      </c>
      <c r="D6" s="177" t="inlineStr">
        <is>
          <t>Ед. изм.</t>
        </is>
      </c>
      <c r="E6" s="162" t="inlineStr">
        <is>
          <t>Кол-во единиц по проектным данным</t>
        </is>
      </c>
      <c r="F6" s="177" t="inlineStr">
        <is>
          <t>Сметная стоимость в ценах на 01.01.2000 (руб.)</t>
        </is>
      </c>
      <c r="G6" s="201" t="n"/>
    </row>
    <row r="7" ht="15.75" customFormat="1" customHeight="1" s="139">
      <c r="A7" s="203" t="n"/>
      <c r="B7" s="203" t="n"/>
      <c r="C7" s="203" t="n"/>
      <c r="D7" s="203" t="n"/>
      <c r="E7" s="203" t="n"/>
      <c r="F7" s="162" t="inlineStr">
        <is>
          <t>на ед. изм.</t>
        </is>
      </c>
      <c r="G7" s="162" t="inlineStr">
        <is>
          <t>общая</t>
        </is>
      </c>
    </row>
    <row r="8" ht="15.75" customFormat="1" customHeight="1" s="139">
      <c r="A8" s="162" t="n">
        <v>1</v>
      </c>
      <c r="B8" s="162" t="n">
        <v>2</v>
      </c>
      <c r="C8" s="162" t="n">
        <v>3</v>
      </c>
      <c r="D8" s="162" t="n">
        <v>4</v>
      </c>
      <c r="E8" s="162" t="n">
        <v>5</v>
      </c>
      <c r="F8" s="162" t="n">
        <v>6</v>
      </c>
      <c r="G8" s="162" t="n">
        <v>7</v>
      </c>
    </row>
    <row r="9" ht="15.75" customFormat="1" customHeight="1" s="139">
      <c r="A9" s="159" t="n"/>
      <c r="B9" s="174" t="inlineStr">
        <is>
          <t>ИНЖЕНЕРНОЕ ОБОРУДОВАНИЕ</t>
        </is>
      </c>
      <c r="C9" s="200" t="n"/>
      <c r="D9" s="200" t="n"/>
      <c r="E9" s="200" t="n"/>
      <c r="F9" s="200" t="n"/>
      <c r="G9" s="201" t="n"/>
    </row>
    <row r="10" ht="31.7" customFormat="1" customHeight="1" s="139">
      <c r="A10" s="177" t="n"/>
      <c r="B10" s="64" t="n"/>
      <c r="C10" s="174" t="inlineStr">
        <is>
          <t>ИТОГО ИНЖЕНЕРНОЕ ОБОРУДОВАНИЕ</t>
        </is>
      </c>
      <c r="D10" s="64" t="n"/>
      <c r="E10" s="65" t="n"/>
      <c r="F10" s="176" t="n"/>
      <c r="G10" s="176" t="n">
        <v>0</v>
      </c>
    </row>
    <row r="11" ht="15.75" customFormat="1" customHeight="1" s="139">
      <c r="A11" s="177" t="n"/>
      <c r="B11" s="174" t="inlineStr">
        <is>
          <t>ТЕХНОЛОГИЧЕСКОЕ ОБОРУДОВАНИЕ</t>
        </is>
      </c>
      <c r="C11" s="200" t="n"/>
      <c r="D11" s="200" t="n"/>
      <c r="E11" s="200" t="n"/>
      <c r="F11" s="200" t="n"/>
      <c r="G11" s="201" t="n"/>
    </row>
    <row r="12" ht="31.7" customFormat="1" customHeight="1" s="139">
      <c r="A12" s="177" t="n"/>
      <c r="B12" s="174" t="n"/>
      <c r="C12" s="174" t="inlineStr">
        <is>
          <t>ИТОГО ТЕХНОЛОГИЧЕСКОЕ ОБОРУДОВАНИЕ</t>
        </is>
      </c>
      <c r="D12" s="174" t="n"/>
      <c r="E12" s="175" t="n"/>
      <c r="F12" s="176" t="n"/>
      <c r="G12" s="176" t="n">
        <v>0</v>
      </c>
    </row>
    <row r="13" ht="15.75" customFormat="1" customHeight="1" s="139">
      <c r="A13" s="177" t="n"/>
      <c r="B13" s="174" t="n"/>
      <c r="C13" s="174" t="inlineStr">
        <is>
          <t>Итого по разделу "Оборудование"</t>
        </is>
      </c>
      <c r="D13" s="174" t="n"/>
      <c r="E13" s="175" t="n"/>
      <c r="F13" s="176" t="n"/>
      <c r="G13" s="176" t="n">
        <v>0</v>
      </c>
    </row>
    <row r="14" ht="15.75" customFormat="1" customHeight="1" s="139">
      <c r="B14" s="168" t="n"/>
    </row>
    <row r="15" ht="15.75" customFormat="1" customHeight="1" s="139">
      <c r="A15" s="139" t="inlineStr">
        <is>
          <t>Составил ______________________        М.С. Колотиевская</t>
        </is>
      </c>
      <c r="B15" s="139" t="n"/>
      <c r="C15" s="139" t="n"/>
    </row>
    <row r="16" ht="15.75" customFormat="1" customHeight="1" s="139">
      <c r="A16" s="96" t="inlineStr">
        <is>
          <t xml:space="preserve">                         (подпись, инициалы, фамилия)</t>
        </is>
      </c>
      <c r="B16" s="139" t="n"/>
      <c r="C16" s="139" t="n"/>
    </row>
    <row r="17" ht="15.75" customFormat="1" customHeight="1" s="139">
      <c r="A17" s="139" t="n"/>
      <c r="B17" s="139" t="n"/>
      <c r="C17" s="139" t="n"/>
    </row>
    <row r="18" ht="15.75" customFormat="1" customHeight="1" s="139">
      <c r="A18" s="139" t="inlineStr">
        <is>
          <t>Проверил ______________________          А.В. Костянецкая</t>
        </is>
      </c>
      <c r="B18" s="139" t="n"/>
      <c r="C18" s="139" t="n"/>
    </row>
    <row r="19" ht="15.75" customFormat="1" customHeight="1" s="139">
      <c r="A19" s="96" t="inlineStr">
        <is>
          <t xml:space="preserve">                        (подпись, инициалы, фамилия)</t>
        </is>
      </c>
      <c r="B19" s="139" t="n"/>
      <c r="C19" s="139" t="n"/>
    </row>
    <row r="20" ht="15.75" customFormat="1" customHeight="1" s="13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zoomScale="130" zoomScaleSheetLayoutView="130" workbookViewId="0">
      <selection activeCell="B13" sqref="B13"/>
    </sheetView>
  </sheetViews>
  <sheetFormatPr baseColWidth="8" defaultColWidth="8.85546875" defaultRowHeight="15"/>
  <cols>
    <col width="14.42578125" customWidth="1" style="137" min="1" max="1"/>
    <col width="29.5703125" customWidth="1" style="137" min="2" max="2"/>
    <col width="39.140625" customWidth="1" style="137" min="3" max="3"/>
    <col width="24.42578125" customWidth="1" style="137" min="4" max="4"/>
    <col width="8.85546875" customWidth="1" style="137" min="5" max="5"/>
  </cols>
  <sheetData>
    <row r="1">
      <c r="B1" s="118" t="n"/>
      <c r="C1" s="118" t="n"/>
      <c r="D1" s="115" t="inlineStr">
        <is>
          <t>Приложение №7</t>
        </is>
      </c>
    </row>
    <row r="2">
      <c r="A2" s="115" t="n"/>
      <c r="B2" s="115" t="n"/>
      <c r="C2" s="115" t="n"/>
      <c r="D2" s="115" t="n"/>
    </row>
    <row r="3" ht="24.75" customHeight="1" s="137">
      <c r="A3" s="178" t="inlineStr">
        <is>
          <t>Расчет показателя УНЦ</t>
        </is>
      </c>
    </row>
    <row r="4" ht="24.75" customHeight="1" s="137">
      <c r="A4" s="178" t="n"/>
      <c r="B4" s="178" t="n"/>
      <c r="C4" s="178" t="n"/>
      <c r="D4" s="178" t="n"/>
    </row>
    <row r="5" ht="24.6" customHeight="1" s="137">
      <c r="A5" s="179" t="inlineStr">
        <is>
          <t xml:space="preserve">Наименование разрабатываемого показателя УНЦ - </t>
        </is>
      </c>
      <c r="D5" s="179">
        <f>'Прил.5 Расчет СМР и ОБ'!D6:J6</f>
        <v/>
      </c>
    </row>
    <row r="6" ht="19.9" customHeight="1" s="137">
      <c r="A6" s="179" t="inlineStr">
        <is>
          <t>Единица измерения  — 1 м</t>
        </is>
      </c>
      <c r="D6" s="179" t="n"/>
    </row>
    <row r="7">
      <c r="A7" s="118" t="n"/>
      <c r="B7" s="118" t="n"/>
      <c r="C7" s="118" t="n"/>
      <c r="D7" s="118" t="n"/>
    </row>
    <row r="8" ht="14.45" customHeight="1" s="137">
      <c r="A8" s="162" t="inlineStr">
        <is>
          <t>Код показателя</t>
        </is>
      </c>
      <c r="B8" s="162" t="inlineStr">
        <is>
          <t>Наименование показателя</t>
        </is>
      </c>
      <c r="C8" s="162" t="inlineStr">
        <is>
          <t>Наименование РМ, входящих в состав показателя</t>
        </is>
      </c>
      <c r="D8" s="162" t="inlineStr">
        <is>
          <t>Норматив цены на 01.01.2023, тыс.руб.</t>
        </is>
      </c>
    </row>
    <row r="9" ht="15" customHeight="1" s="137">
      <c r="A9" s="203" t="n"/>
      <c r="B9" s="203" t="n"/>
      <c r="C9" s="203" t="n"/>
      <c r="D9" s="203" t="n"/>
    </row>
    <row r="10">
      <c r="A10" s="119" t="n">
        <v>1</v>
      </c>
      <c r="B10" s="119" t="n">
        <v>2</v>
      </c>
      <c r="C10" s="119" t="n">
        <v>3</v>
      </c>
      <c r="D10" s="119" t="n">
        <v>4</v>
      </c>
    </row>
    <row r="11" ht="41.45" customHeight="1" s="137">
      <c r="A11" s="119" t="inlineStr">
        <is>
          <t>З8-09</t>
        </is>
      </c>
      <c r="B11" s="119" t="inlineStr">
        <is>
          <t>УНЦ прочих здания и сооружений ПС</t>
        </is>
      </c>
      <c r="C11" s="120">
        <f>D5</f>
        <v/>
      </c>
      <c r="D11" s="121">
        <f>'Прил.4 РМ'!C41/1000</f>
        <v/>
      </c>
      <c r="E11" s="112" t="n"/>
    </row>
    <row r="12">
      <c r="A12" s="122" t="n"/>
      <c r="B12" s="123" t="n"/>
      <c r="C12" s="122" t="n"/>
      <c r="D12" s="122" t="n"/>
    </row>
    <row r="13">
      <c r="A13" s="118" t="inlineStr">
        <is>
          <t>Составил ______________________      М.С. Колотиевская</t>
        </is>
      </c>
      <c r="B13" s="124" t="n"/>
      <c r="C13" s="124" t="n"/>
      <c r="D13" s="122" t="n"/>
    </row>
    <row r="14">
      <c r="A14" s="125" t="inlineStr">
        <is>
          <t xml:space="preserve">                         (подпись, инициалы, фамилия)</t>
        </is>
      </c>
      <c r="B14" s="124" t="n"/>
      <c r="C14" s="124" t="n"/>
      <c r="D14" s="122" t="n"/>
    </row>
    <row r="15">
      <c r="A15" s="118" t="n"/>
      <c r="B15" s="124" t="n"/>
      <c r="C15" s="124" t="n"/>
      <c r="D15" s="122" t="n"/>
    </row>
    <row r="16" ht="15.75" customHeight="1" s="137">
      <c r="A16" s="139" t="inlineStr">
        <is>
          <t>Проверил ______________________          А.В. Костянецкая</t>
        </is>
      </c>
      <c r="B16" s="124" t="n"/>
      <c r="C16" s="124" t="n"/>
      <c r="D16" s="122" t="n"/>
    </row>
    <row r="17">
      <c r="A17" s="125" t="inlineStr">
        <is>
          <t xml:space="preserve">                        (подпись, инициалы, фамилия)</t>
        </is>
      </c>
      <c r="B17" s="124" t="n"/>
      <c r="C17" s="124" t="n"/>
      <c r="D17" s="12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4:F30"/>
  <sheetViews>
    <sheetView tabSelected="1" view="pageBreakPreview" zoomScale="60" zoomScaleNormal="100" workbookViewId="0">
      <selection activeCell="B27" sqref="B27"/>
    </sheetView>
  </sheetViews>
  <sheetFormatPr baseColWidth="8" defaultRowHeight="15"/>
  <cols>
    <col width="9.140625" customWidth="1" style="137" min="1" max="1"/>
    <col width="40.7109375" customWidth="1" style="137" min="2" max="2"/>
    <col width="37" customWidth="1" style="137" min="3" max="3"/>
    <col width="32" customWidth="1" style="137" min="4" max="4"/>
    <col width="9.140625" customWidth="1" style="137" min="5" max="5"/>
  </cols>
  <sheetData>
    <row r="4" ht="15.75" customHeight="1" s="137">
      <c r="B4" s="144" t="inlineStr">
        <is>
          <t>Приложение № 10</t>
        </is>
      </c>
    </row>
    <row r="5" ht="18.75" customHeight="1" s="137">
      <c r="A5" s="194" t="n"/>
      <c r="B5" s="195" t="n"/>
      <c r="C5" s="194" t="n"/>
      <c r="D5" s="194" t="n"/>
      <c r="E5" s="194" t="n"/>
      <c r="F5" s="194" t="n"/>
    </row>
    <row r="6" ht="15.75" customHeight="1" s="137">
      <c r="A6" s="194" t="n"/>
      <c r="B6" s="196" t="inlineStr">
        <is>
          <t>Используемые индексы изменений сметной стоимости и нормы сопутствующих затрат</t>
        </is>
      </c>
      <c r="C6" s="207" t="n"/>
      <c r="D6" s="208" t="n"/>
      <c r="E6" s="194" t="n"/>
      <c r="F6" s="194" t="n"/>
    </row>
    <row r="7" ht="18.75" customHeight="1" s="137">
      <c r="A7" s="194" t="n"/>
      <c r="B7" s="197" t="n"/>
      <c r="C7" s="194" t="n"/>
      <c r="D7" s="194" t="n"/>
      <c r="E7" s="194" t="n"/>
      <c r="F7" s="194" t="n"/>
    </row>
    <row r="8" ht="47.25" customFormat="1" customHeight="1" s="139">
      <c r="A8" s="198" t="n"/>
      <c r="B8" s="183" t="inlineStr">
        <is>
          <t>Наименование индекса / норм сопутствующих затрат</t>
        </is>
      </c>
      <c r="C8" s="183" t="inlineStr">
        <is>
          <t>Дата применения и обоснование индекса / норм сопутствующих затрат</t>
        </is>
      </c>
      <c r="D8" s="183" t="inlineStr">
        <is>
          <t>Размер индекса / норма сопутствующих затрат</t>
        </is>
      </c>
      <c r="E8" s="198" t="n"/>
      <c r="F8" s="198" t="n"/>
    </row>
    <row r="9" ht="15.75" customFormat="1" customHeight="1" s="139">
      <c r="A9" s="198" t="n"/>
      <c r="B9" s="183" t="n">
        <v>1</v>
      </c>
      <c r="C9" s="183" t="n">
        <v>2</v>
      </c>
      <c r="D9" s="183" t="n">
        <v>3</v>
      </c>
      <c r="E9" s="198" t="n"/>
      <c r="F9" s="198" t="n"/>
    </row>
    <row r="10" ht="31.7" customFormat="1" customHeight="1" s="139">
      <c r="A10" s="198" t="n"/>
      <c r="B10" s="183" t="inlineStr">
        <is>
          <t xml:space="preserve">Индекс изменения сметной стоимости на 1 квартал 2023 года. ОЗП </t>
        </is>
      </c>
      <c r="C10" s="183" t="inlineStr">
        <is>
          <t>Письмо Минстроя России от 30.03.2023г. №17106-ИФ/09  прил.1</t>
        </is>
      </c>
      <c r="D10" s="183" t="n">
        <v>44.29</v>
      </c>
      <c r="E10" s="198" t="n"/>
      <c r="F10" s="198" t="n"/>
    </row>
    <row r="11" ht="31.7" customFormat="1" customHeight="1" s="139">
      <c r="A11" s="198" t="n"/>
      <c r="B11" s="183" t="inlineStr">
        <is>
          <t>Индекс изменения сметной стоимости на 1 квартал 2023 года. ЭМ</t>
        </is>
      </c>
      <c r="C11" s="183" t="inlineStr">
        <is>
          <t>Письмо Минстроя России от 30.03.2023г. №17106-ИФ/09  прил.1</t>
        </is>
      </c>
      <c r="D11" s="183" t="n">
        <v>13.47</v>
      </c>
      <c r="E11" s="198" t="n"/>
      <c r="F11" s="198" t="n"/>
    </row>
    <row r="12" ht="31.7" customFormat="1" customHeight="1" s="139">
      <c r="A12" s="198" t="n"/>
      <c r="B12" s="183" t="inlineStr">
        <is>
          <t>Индекс изменения сметной стоимости на 1 квартал 2023 года. МАТ</t>
        </is>
      </c>
      <c r="C12" s="183" t="inlineStr">
        <is>
          <t>Письмо Минстроя России от 30.03.2023г. №17106-ИФ/09  прил.1</t>
        </is>
      </c>
      <c r="D12" s="183" t="n">
        <v>8.039999999999999</v>
      </c>
      <c r="E12" s="198" t="n"/>
      <c r="F12" s="198" t="n"/>
    </row>
    <row r="13" ht="31.7" customFormat="1" customHeight="1" s="139">
      <c r="A13" s="198" t="n"/>
      <c r="B13" s="183" t="inlineStr">
        <is>
          <t>Индекс изменения сметной стоимости на 1 квартал 2023 года. ОБ</t>
        </is>
      </c>
      <c r="C13" s="199" t="inlineStr">
        <is>
          <t>Письмо Минстроя России от 23.02.2023г. №9791-ИФ/09 прил.6</t>
        </is>
      </c>
      <c r="D13" s="183" t="n">
        <v>6.26</v>
      </c>
      <c r="E13" s="198" t="n"/>
      <c r="F13" s="198" t="n"/>
    </row>
    <row r="14" ht="78.75" customFormat="1" customHeight="1" s="139">
      <c r="B14" s="152" t="inlineStr">
        <is>
          <t>Временные здания и сооружения</t>
        </is>
      </c>
      <c r="C14" s="1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93" t="n">
        <v>0.039</v>
      </c>
    </row>
    <row r="15" ht="78.75" customFormat="1" customHeight="1" s="139">
      <c r="B15" s="162" t="inlineStr">
        <is>
          <t>Дополнительные затраты при производстве строительно-монтажных работ в зимнее время</t>
        </is>
      </c>
      <c r="C15" s="1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0" t="n">
        <v>0.021</v>
      </c>
      <c r="E15" s="31" t="n"/>
    </row>
    <row r="16" ht="31.7" customFormat="1" customHeight="1" s="139">
      <c r="B16" s="162" t="inlineStr">
        <is>
          <t>Пусконаладочные работы</t>
        </is>
      </c>
      <c r="C16" s="162" t="n"/>
      <c r="D16" s="162" t="inlineStr">
        <is>
          <t>Расчёт</t>
        </is>
      </c>
    </row>
    <row r="17" ht="31.7" customFormat="1" customHeight="1" s="139">
      <c r="B17" s="162" t="inlineStr">
        <is>
          <t>Строительный контроль</t>
        </is>
      </c>
      <c r="C17" s="162" t="inlineStr">
        <is>
          <t>Постановление Правительства РФ от 21.06.10 г. № 468</t>
        </is>
      </c>
      <c r="D17" s="10" t="n">
        <v>0.0214</v>
      </c>
    </row>
    <row r="18" ht="15.75" customFormat="1" customHeight="1" s="139">
      <c r="B18" s="162" t="inlineStr">
        <is>
          <t>Авторский надзор</t>
        </is>
      </c>
      <c r="C18" s="162" t="inlineStr">
        <is>
          <t>Приказ от 4.08.2020 № 421/пр п.173</t>
        </is>
      </c>
      <c r="D18" s="10" t="n">
        <v>0.002</v>
      </c>
    </row>
    <row r="19" ht="15.75" customFormat="1" customHeight="1" s="139">
      <c r="B19" s="162" t="inlineStr">
        <is>
          <t>Непредвиденные расходы</t>
        </is>
      </c>
      <c r="C19" s="162" t="inlineStr">
        <is>
          <t>Приказ от 4.08.2020 № 421/пр п.179</t>
        </is>
      </c>
      <c r="D19" s="10" t="n">
        <v>0.03</v>
      </c>
    </row>
    <row r="20" ht="15.75" customFormat="1" customHeight="1" s="139">
      <c r="B20" s="146" t="n"/>
    </row>
    <row r="21" ht="15.75" customFormat="1" customHeight="1" s="139">
      <c r="B21" s="146" t="n"/>
    </row>
    <row r="22" ht="15.75" customFormat="1" customHeight="1" s="139">
      <c r="B22" s="146" t="n"/>
    </row>
    <row r="23" ht="15.75" customFormat="1" customHeight="1" s="139">
      <c r="B23" s="146" t="n"/>
    </row>
    <row r="24" ht="15.75" customFormat="1" customHeight="1" s="139"/>
    <row r="25" ht="15.75" customFormat="1" customHeight="1" s="139"/>
    <row r="26" ht="15.75" customFormat="1" customHeight="1" s="139">
      <c r="B26" s="139" t="inlineStr">
        <is>
          <t>Составил ______________________        М.С. Колотиевская</t>
        </is>
      </c>
      <c r="C26" s="139" t="n"/>
    </row>
    <row r="27" ht="15.75" customFormat="1" customHeight="1" s="139">
      <c r="B27" s="96" t="inlineStr">
        <is>
          <t xml:space="preserve">                         (подпись, инициалы, фамилия)</t>
        </is>
      </c>
      <c r="C27" s="139" t="n"/>
    </row>
    <row r="28" ht="15.75" customFormat="1" customHeight="1" s="139">
      <c r="B28" s="139" t="n"/>
      <c r="C28" s="139" t="n"/>
    </row>
    <row r="29" ht="15.75" customFormat="1" customHeight="1" s="139">
      <c r="B29" s="139" t="inlineStr">
        <is>
          <t>Проверил ______________________          А.В. Костянецкая</t>
        </is>
      </c>
      <c r="C29" s="139" t="n"/>
    </row>
    <row r="30" ht="15.75" customFormat="1" customHeight="1" s="139">
      <c r="B30" s="96" t="inlineStr">
        <is>
          <t xml:space="preserve">                        (подпись, инициалы, фамилия)</t>
        </is>
      </c>
      <c r="C30" s="139" t="n"/>
    </row>
    <row r="31" ht="15.75" customFormat="1" customHeight="1" s="139"/>
    <row r="32" ht="15.75" customFormat="1" customHeight="1" s="139"/>
  </sheetData>
  <mergeCells count="2">
    <mergeCell ref="B6:D6"/>
    <mergeCell ref="B4:D4"/>
  </mergeCells>
  <pageMargins left="0.7" right="0.7" top="0.75" bottom="0.75" header="0.3" footer="0.3"/>
  <pageSetup orientation="portrait" scale="6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K32" sqref="K32"/>
    </sheetView>
  </sheetViews>
  <sheetFormatPr baseColWidth="8" defaultColWidth="9.140625" defaultRowHeight="15"/>
  <cols>
    <col width="44.85546875" customWidth="1" style="137" min="2" max="2"/>
    <col width="13" customWidth="1" style="137" min="3" max="3"/>
    <col width="22.85546875" customWidth="1" style="137" min="4" max="4"/>
    <col width="21.5703125" customWidth="1" style="137" min="5" max="5"/>
    <col width="43.85546875" customWidth="1" style="137" min="6" max="6"/>
  </cols>
  <sheetData>
    <row r="1" s="137"/>
    <row r="2" ht="17.25" customHeight="1" s="137">
      <c r="A2" s="145" t="inlineStr">
        <is>
          <t>Расчет размера средств на оплату труда рабочих-строителей в текущем уровне цен (ФОТр.тек.)</t>
        </is>
      </c>
    </row>
    <row r="3" s="137"/>
    <row r="4" ht="18" customHeight="1" s="137">
      <c r="A4" s="138" t="inlineStr">
        <is>
          <t>Составлен в уровне цен на 01.01.2023 г.</t>
        </is>
      </c>
      <c r="B4" s="139" t="n"/>
      <c r="C4" s="139" t="n"/>
      <c r="D4" s="139" t="n"/>
      <c r="E4" s="139" t="n"/>
      <c r="F4" s="139" t="n"/>
      <c r="G4" s="139" t="n"/>
    </row>
    <row r="5" ht="15.75" customHeight="1" s="137">
      <c r="A5" s="180" t="inlineStr">
        <is>
          <t>№ пп.</t>
        </is>
      </c>
      <c r="B5" s="180" t="inlineStr">
        <is>
          <t>Наименование элемента</t>
        </is>
      </c>
      <c r="C5" s="180" t="inlineStr">
        <is>
          <t>Обозначение</t>
        </is>
      </c>
      <c r="D5" s="180" t="inlineStr">
        <is>
          <t>Формула</t>
        </is>
      </c>
      <c r="E5" s="180" t="inlineStr">
        <is>
          <t>Величина элемента</t>
        </is>
      </c>
      <c r="F5" s="180" t="inlineStr">
        <is>
          <t>Наименования обосновывающих документов</t>
        </is>
      </c>
      <c r="G5" s="139" t="n"/>
    </row>
    <row r="6" ht="15.75" customHeight="1" s="137">
      <c r="A6" s="180" t="n">
        <v>1</v>
      </c>
      <c r="B6" s="180" t="n">
        <v>2</v>
      </c>
      <c r="C6" s="180" t="n">
        <v>3</v>
      </c>
      <c r="D6" s="180" t="n">
        <v>4</v>
      </c>
      <c r="E6" s="180" t="n">
        <v>5</v>
      </c>
      <c r="F6" s="180" t="n">
        <v>6</v>
      </c>
      <c r="G6" s="139" t="n"/>
    </row>
    <row r="7" ht="110.25" customHeight="1" s="137">
      <c r="A7" s="181" t="inlineStr">
        <is>
          <t>1.1</t>
        </is>
      </c>
      <c r="B7" s="18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3" t="inlineStr">
        <is>
          <t>С1ср</t>
        </is>
      </c>
      <c r="D7" s="183" t="inlineStr">
        <is>
          <t>-</t>
        </is>
      </c>
      <c r="E7" s="184" t="n">
        <v>47872.94</v>
      </c>
      <c r="F7" s="18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9" t="n"/>
    </row>
    <row r="8" ht="31.5" customHeight="1" s="137">
      <c r="A8" s="181" t="inlineStr">
        <is>
          <t>1.2</t>
        </is>
      </c>
      <c r="B8" s="182" t="inlineStr">
        <is>
          <t>Среднегодовое нормативное число часов работы одного рабочего в месяц, часы (ч.)</t>
        </is>
      </c>
      <c r="C8" s="183" t="inlineStr">
        <is>
          <t>tср</t>
        </is>
      </c>
      <c r="D8" s="183" t="inlineStr">
        <is>
          <t>1973ч/12мес.</t>
        </is>
      </c>
      <c r="E8" s="185">
        <f>1973/12</f>
        <v/>
      </c>
      <c r="F8" s="182" t="inlineStr">
        <is>
          <t>Производственный календарь 2023 год
(40-часов.неделя)</t>
        </is>
      </c>
      <c r="G8" s="141" t="n"/>
    </row>
    <row r="9" ht="15.75" customHeight="1" s="137">
      <c r="A9" s="181" t="inlineStr">
        <is>
          <t>1.3</t>
        </is>
      </c>
      <c r="B9" s="182" t="inlineStr">
        <is>
          <t>Коэффициент увеличения</t>
        </is>
      </c>
      <c r="C9" s="183" t="inlineStr">
        <is>
          <t>Кув</t>
        </is>
      </c>
      <c r="D9" s="183" t="inlineStr">
        <is>
          <t>-</t>
        </is>
      </c>
      <c r="E9" s="185" t="n">
        <v>1</v>
      </c>
      <c r="F9" s="182" t="n"/>
      <c r="G9" s="141" t="n"/>
    </row>
    <row r="10" ht="15.75" customHeight="1" s="137">
      <c r="A10" s="181" t="inlineStr">
        <is>
          <t>1.4</t>
        </is>
      </c>
      <c r="B10" s="182" t="inlineStr">
        <is>
          <t>Средний разряд работ</t>
        </is>
      </c>
      <c r="C10" s="183" t="n"/>
      <c r="D10" s="183" t="n"/>
      <c r="E10" s="209" t="n">
        <v>2.5</v>
      </c>
      <c r="F10" s="182" t="inlineStr">
        <is>
          <t>РТМ</t>
        </is>
      </c>
      <c r="G10" s="141" t="n"/>
    </row>
    <row r="11" ht="78.75" customHeight="1" s="137">
      <c r="A11" s="181" t="inlineStr">
        <is>
          <t>1.5</t>
        </is>
      </c>
      <c r="B11" s="182" t="inlineStr">
        <is>
          <t>Тарифный коэффициент среднего разряда работ</t>
        </is>
      </c>
      <c r="C11" s="183" t="inlineStr">
        <is>
          <t>КТ</t>
        </is>
      </c>
      <c r="D11" s="183" t="inlineStr">
        <is>
          <t>-</t>
        </is>
      </c>
      <c r="E11" s="210" t="n">
        <v>1.136</v>
      </c>
      <c r="F11" s="18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9" t="n"/>
    </row>
    <row r="12" ht="78.75" customHeight="1" s="137">
      <c r="A12" s="181" t="inlineStr">
        <is>
          <t>1.6</t>
        </is>
      </c>
      <c r="B12" s="188" t="inlineStr">
        <is>
          <t>Коэффициент инфляции, определяемый поквартально</t>
        </is>
      </c>
      <c r="C12" s="183" t="inlineStr">
        <is>
          <t>Кинф</t>
        </is>
      </c>
      <c r="D12" s="183" t="inlineStr">
        <is>
          <t>-</t>
        </is>
      </c>
      <c r="E12" s="211" t="n">
        <v>1.139</v>
      </c>
      <c r="F12" s="19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41" t="n"/>
    </row>
    <row r="13" ht="63" customHeight="1" s="137">
      <c r="A13" s="181" t="inlineStr">
        <is>
          <t>1.7</t>
        </is>
      </c>
      <c r="B13" s="191" t="inlineStr">
        <is>
          <t>Размер средств на оплату труда рабочих-строителей в текущем уровне цен (ФОТр.тек.), руб/чел.-ч</t>
        </is>
      </c>
      <c r="C13" s="183" t="inlineStr">
        <is>
          <t>ФОТр.тек.</t>
        </is>
      </c>
      <c r="D13" s="183" t="inlineStr">
        <is>
          <t>(С1ср/tср*КТ*Т*Кув)*Кинф</t>
        </is>
      </c>
      <c r="E13" s="192">
        <f>((E7*E9/E8)*E11)*E12</f>
        <v/>
      </c>
      <c r="F13" s="18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2023-08-25T11:34:40Z</dcterms:created>
  <dcterms:modified xsi:type="dcterms:W3CDTF">2025-01-24T12:00:00Z</dcterms:modified>
  <cp:lastModifiedBy>Nikolay Ivanov</cp:lastModifiedBy>
  <cp:lastPrinted>2023-11-30T09:17:21Z</cp:lastPrinted>
</cp:coreProperties>
</file>