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табл'!$A$1:$G$31</definedName>
    <definedName name="_xlnm.Print_Area" localSheetId="1">'Прил.2 Расч стоим'!$A$1:$K$45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0.000"/>
    <numFmt numFmtId="166" formatCode="#,##0.00;[Red]\-\ #,##0.00"/>
    <numFmt numFmtId="167" formatCode="#,##0.0"/>
    <numFmt numFmtId="168" formatCode="#,##0.000"/>
    <numFmt numFmtId="169" formatCode="0.0000"/>
  </numFmts>
  <fonts count="15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165" fontId="1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6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6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166" fontId="7" fillId="0" borderId="4" pivotButton="0" quotePrefix="0" xfId="0"/>
    <xf numFmtId="43" fontId="5" fillId="0" borderId="4" applyAlignment="1" pivotButton="0" quotePrefix="0" xfId="0">
      <alignment vertical="center" wrapText="1"/>
    </xf>
    <xf numFmtId="166" fontId="1" fillId="0" borderId="4" pivotButton="0" quotePrefix="0" xfId="0"/>
    <xf numFmtId="0" fontId="1" fillId="0" borderId="1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4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5" fillId="0" borderId="8" applyAlignment="1" pivotButton="0" quotePrefix="0" xfId="0">
      <alignment vertical="center" wrapText="1"/>
    </xf>
    <xf numFmtId="4" fontId="5" fillId="0" borderId="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43" fontId="5" fillId="0" borderId="4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9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1"/>
  <sheetViews>
    <sheetView tabSelected="1" view="pageBreakPreview" topLeftCell="A19" zoomScale="85" zoomScaleNormal="85" workbookViewId="0">
      <selection activeCell="B27" sqref="B27"/>
    </sheetView>
  </sheetViews>
  <sheetFormatPr baseColWidth="8" defaultRowHeight="15.75"/>
  <cols>
    <col width="5.7109375" customWidth="1" style="152" min="1" max="1"/>
    <col width="55.85546875" customWidth="1" style="152" min="2" max="2"/>
    <col width="38" customWidth="1" style="152" min="3" max="3"/>
    <col width="37.42578125" customWidth="1" style="152" min="4" max="4"/>
    <col width="32.5703125" customWidth="1" style="152" min="5" max="5"/>
    <col width="38.28515625" customWidth="1" style="152" min="6" max="6"/>
    <col width="9.140625" customWidth="1" style="152" min="7" max="7"/>
    <col width="13.28515625" customWidth="1" style="152" min="8" max="8"/>
    <col width="13.7109375" customWidth="1" style="152" min="9" max="9"/>
    <col width="9.140625" customWidth="1" style="152" min="10" max="10"/>
    <col width="13.140625" customWidth="1" style="152" min="11" max="11"/>
    <col width="9.140625" customWidth="1" style="152" min="12" max="12"/>
  </cols>
  <sheetData>
    <row r="1" customFormat="1" s="152">
      <c r="B1" s="156" t="inlineStr">
        <is>
          <t>Приложение № 1</t>
        </is>
      </c>
    </row>
    <row r="2" customFormat="1" s="152">
      <c r="B2" s="157" t="inlineStr">
        <is>
          <t>Сравнительная таблица отбора объекта-представителя</t>
        </is>
      </c>
    </row>
    <row r="3" customFormat="1" s="152">
      <c r="B3" s="100" t="n"/>
      <c r="C3" s="100" t="n"/>
      <c r="D3" s="100" t="n"/>
      <c r="E3" s="100" t="n"/>
      <c r="F3" s="100" t="n"/>
      <c r="G3" s="100" t="n"/>
    </row>
    <row r="4" customFormat="1" s="152">
      <c r="B4" s="100" t="n"/>
      <c r="C4" s="100" t="n"/>
      <c r="D4" s="100" t="n"/>
      <c r="E4" s="100" t="n"/>
      <c r="F4" s="100" t="n"/>
      <c r="G4" s="100" t="n"/>
    </row>
    <row r="5" customFormat="1" s="152">
      <c r="B5" s="158" t="inlineStr">
        <is>
          <t>Наименование разрабатываемого показателя УНЦ — Подъездная автодорога</t>
        </is>
      </c>
      <c r="I5" s="101" t="n"/>
    </row>
    <row r="6" ht="31.7" customFormat="1" customHeight="1" s="152">
      <c r="B6" s="158" t="inlineStr">
        <is>
          <t>Сопоставимый уровень цен: базовый уровень цен</t>
        </is>
      </c>
    </row>
    <row r="7" customFormat="1" s="152">
      <c r="B7" s="158" t="inlineStr">
        <is>
          <t>Единица измерения  — м2</t>
        </is>
      </c>
      <c r="I7" s="101" t="n"/>
    </row>
    <row r="10" ht="16.5" customHeight="1" s="150"/>
    <row r="11" ht="32.25" customHeight="1" s="150">
      <c r="A11" s="174" t="inlineStr">
        <is>
          <t>№ п/п</t>
        </is>
      </c>
      <c r="B11" s="174" t="inlineStr">
        <is>
          <t>Параметр</t>
        </is>
      </c>
      <c r="C11" s="174" t="inlineStr">
        <is>
          <t>Объект-представитель 1</t>
        </is>
      </c>
      <c r="D11" s="174" t="inlineStr">
        <is>
          <t>Объект-представитель 2</t>
        </is>
      </c>
      <c r="E11" s="174" t="inlineStr">
        <is>
          <t>Объект-представитель 3</t>
        </is>
      </c>
      <c r="F11" s="174" t="inlineStr">
        <is>
          <t>Объект-представитель 4</t>
        </is>
      </c>
    </row>
    <row r="12" ht="71.45" customHeight="1" s="150">
      <c r="A12" s="174" t="n">
        <v>1</v>
      </c>
      <c r="B12" s="143" t="inlineStr">
        <is>
          <t>Наименование объекта-представителя</t>
        </is>
      </c>
      <c r="C12" s="174" t="inlineStr">
        <is>
          <t xml:space="preserve">ПС 220 кВ Звезда с заходами ВЛ 220 кВ Береговая-2 - Перевал </t>
        </is>
      </c>
      <c r="D12" s="174" t="inlineStr">
        <is>
          <t xml:space="preserve">Строительство ПС 500 кВ Нижнеангарская </t>
        </is>
      </c>
      <c r="E12" s="174" t="inlineStr">
        <is>
          <t>Строительство ВЛ 220 кВ Зилово – Холбон (II этап строительства)</t>
        </is>
      </c>
      <c r="F12" s="174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</row>
    <row r="13" ht="16.5" customHeight="1" s="150">
      <c r="A13" s="174" t="n">
        <v>2</v>
      </c>
      <c r="B13" s="143" t="inlineStr">
        <is>
          <t>Наименование субъекта Российской Федерации</t>
        </is>
      </c>
      <c r="C13" s="174" t="inlineStr">
        <is>
          <t>Приморский край</t>
        </is>
      </c>
      <c r="D13" s="174" t="inlineStr">
        <is>
          <t>Республика Бурятия</t>
        </is>
      </c>
      <c r="E13" s="174" t="inlineStr">
        <is>
          <t>Забайкальский край</t>
        </is>
      </c>
      <c r="F13" s="174" t="inlineStr">
        <is>
          <t>Республика Хакасия</t>
        </is>
      </c>
    </row>
    <row r="14" ht="16.5" customHeight="1" s="150">
      <c r="A14" s="174" t="n">
        <v>3</v>
      </c>
      <c r="B14" s="143" t="inlineStr">
        <is>
          <t>Климатический район и подрайон</t>
        </is>
      </c>
      <c r="C14" s="174" t="inlineStr">
        <is>
          <t>IIIБ</t>
        </is>
      </c>
      <c r="D14" s="174" t="inlineStr">
        <is>
          <t>IВ</t>
        </is>
      </c>
      <c r="E14" s="174" t="inlineStr">
        <is>
          <t>IIIБ</t>
        </is>
      </c>
      <c r="F14" s="174" t="inlineStr">
        <is>
          <t>IД</t>
        </is>
      </c>
    </row>
    <row r="15" ht="16.5" customHeight="1" s="150">
      <c r="A15" s="174" t="n">
        <v>4</v>
      </c>
      <c r="B15" s="143" t="inlineStr">
        <is>
          <t>Мощность объекта, м2</t>
        </is>
      </c>
      <c r="C15" s="174" t="n">
        <v>701</v>
      </c>
      <c r="D15" s="174" t="n">
        <v>2032.5</v>
      </c>
      <c r="E15" s="174" t="n">
        <v>172</v>
      </c>
      <c r="F15" s="174" t="n">
        <v>2253.5</v>
      </c>
    </row>
    <row r="16" ht="252.75" customHeight="1" s="150">
      <c r="A16" s="174" t="n">
        <v>5</v>
      </c>
      <c r="B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44" t="inlineStr">
        <is>
          <t>Категория – V. Ширина проезжей части – 4,5 м. ширина обочины – 1,75м, число полос движения - 1
- горячий песчаный плотный асфальтобетон мелкозернистый типа Г, марки I – 0.05м;
- горячий щебеночный пористый асфальтобетон крупнозернистый марки I – 0,07м;
- щебень фракции 40-60 мм марки М400 – 0,24 м;
- уплотненный насыпной грунт
- вдоль кромок проезжей части предусмотрена укрепленная полоса из щебня шириной 1,25 м, толщиной слоя 0,10м</t>
        </is>
      </c>
      <c r="D16" s="184" t="inlineStr">
        <is>
          <t>Протяженность подъездной автодороги – 271 (м) – категории VБ; ширина земляного полотна – 7,5(м), в т.ч. ширина проезжей части 4,5 (м). Покрытие автодороги – железобетон марки В30 по подушке из ПГС</t>
        </is>
      </c>
      <c r="E16" s="184" t="inlineStr">
        <is>
          <t>Подъездная автодорога. Площадь застройки 172 (м2), протяженность 17(м). Ширина проезжей части 4,5м и обочинами 1,5м с твердым покрытием</t>
        </is>
      </c>
      <c r="F16" s="184" t="inlineStr">
        <is>
          <t>Подъездная автодорога V категории шириной 4,5(м) с твердым покрытием из асфальтобетона</t>
        </is>
      </c>
    </row>
    <row r="17" ht="67.7" customHeight="1" s="150">
      <c r="A17" s="174" t="n">
        <v>6</v>
      </c>
      <c r="B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4" t="inlineStr">
        <is>
          <t>483,634/3 172,64 ТЕР 3 квартал 2016 г.</t>
        </is>
      </c>
      <c r="D17" s="174" t="inlineStr">
        <is>
          <t>1 778,28/19 527,33 4 квартал 2022 г.</t>
        </is>
      </c>
      <c r="E17" s="174" t="inlineStr">
        <is>
          <t>38,800/391,708 1 квартал 2022 г.</t>
        </is>
      </c>
      <c r="F17" s="174" t="inlineStr">
        <is>
          <t xml:space="preserve">5 034,4/33 780,83 ТЕР 2 квартал 2019 г.   </t>
        </is>
      </c>
      <c r="H17" s="91" t="n"/>
      <c r="I17" s="91" t="n"/>
      <c r="K17" s="91" t="n"/>
    </row>
    <row r="18" ht="16.5" customHeight="1" s="150">
      <c r="A18" s="146" t="inlineStr">
        <is>
          <t>6.1</t>
        </is>
      </c>
      <c r="B18" s="143" t="inlineStr">
        <is>
          <t>строительно-монтажные работы</t>
        </is>
      </c>
      <c r="C18" s="174" t="inlineStr">
        <is>
          <t>483,634/3 172,64</t>
        </is>
      </c>
      <c r="D18" s="174" t="n"/>
      <c r="E18" s="174" t="inlineStr">
        <is>
          <t>38,800/391,708</t>
        </is>
      </c>
      <c r="F18" s="174" t="inlineStr">
        <is>
          <t>5 034,4/33 780,83</t>
        </is>
      </c>
      <c r="H18" s="91" t="n"/>
      <c r="I18" s="91" t="n"/>
      <c r="K18" s="91" t="n"/>
    </row>
    <row r="19" ht="16.5" customHeight="1" s="150">
      <c r="A19" s="146" t="inlineStr">
        <is>
          <t>6.2</t>
        </is>
      </c>
      <c r="B19" s="143" t="inlineStr">
        <is>
          <t>оборудование и инвентарь</t>
        </is>
      </c>
      <c r="C19" s="174" t="n"/>
      <c r="D19" s="174" t="n"/>
      <c r="E19" s="174" t="n"/>
      <c r="F19" s="174" t="n"/>
    </row>
    <row r="20" ht="16.5" customHeight="1" s="150">
      <c r="A20" s="146" t="inlineStr">
        <is>
          <t>6.3</t>
        </is>
      </c>
      <c r="B20" s="143" t="inlineStr">
        <is>
          <t>пусконаладочные работы</t>
        </is>
      </c>
      <c r="C20" s="174" t="n"/>
      <c r="D20" s="174" t="n"/>
      <c r="E20" s="174" t="n"/>
      <c r="F20" s="174" t="n"/>
    </row>
    <row r="21" ht="16.5" customHeight="1" s="150">
      <c r="A21" s="146" t="inlineStr">
        <is>
          <t>6.4</t>
        </is>
      </c>
      <c r="B21" s="143" t="inlineStr">
        <is>
          <t>прочие и лимитированные затраты</t>
        </is>
      </c>
      <c r="C21" s="174" t="n"/>
      <c r="D21" s="174" t="n"/>
      <c r="E21" s="174" t="n"/>
      <c r="F21" s="174" t="n"/>
    </row>
    <row r="22" ht="16.5" customHeight="1" s="150">
      <c r="A22" s="147" t="n">
        <v>7</v>
      </c>
      <c r="B22" s="143" t="inlineStr">
        <is>
          <t>Сопоставимый уровень цен</t>
        </is>
      </c>
      <c r="C22" s="174" t="inlineStr">
        <is>
          <t>4 квартал 2022 г.</t>
        </is>
      </c>
      <c r="D22" s="174" t="inlineStr">
        <is>
          <t>4 квартал 2022 г.</t>
        </is>
      </c>
      <c r="E22" s="174" t="inlineStr">
        <is>
          <t>4 квартал 2022 г.</t>
        </is>
      </c>
      <c r="F22" s="174" t="inlineStr">
        <is>
          <t>4 квартал 2022 г.</t>
        </is>
      </c>
      <c r="H22" s="102" t="n"/>
      <c r="J22" s="102" t="n"/>
      <c r="K22" s="102" t="n"/>
    </row>
    <row r="23" ht="63.75" customHeight="1" s="150">
      <c r="A23" s="147" t="n">
        <v>8</v>
      </c>
      <c r="B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48" t="n">
        <v>4698.4059637222</v>
      </c>
      <c r="D23" s="148" t="n">
        <v>19527.33</v>
      </c>
      <c r="E23" s="148" t="n">
        <v>442.41900832528</v>
      </c>
      <c r="F23" s="148" t="n">
        <v>42496.989983009</v>
      </c>
    </row>
    <row r="24" ht="32.25" customHeight="1" s="150">
      <c r="A24" s="147" t="n">
        <v>9</v>
      </c>
      <c r="B24" s="143" t="inlineStr">
        <is>
          <t>Приведенная сметная стоимость на единицу мощности, тыс. руб. (строка 8/строку 4)</t>
        </is>
      </c>
      <c r="C24" s="149" t="n">
        <v>6.7024336144397</v>
      </c>
      <c r="D24" s="149" t="n">
        <v>9.607542435424399</v>
      </c>
      <c r="E24" s="149" t="n">
        <v>2.5722035367749</v>
      </c>
      <c r="F24" s="149" t="n">
        <v>18.858216100736</v>
      </c>
    </row>
    <row r="25" ht="53.25" customHeight="1" s="150">
      <c r="A25" s="147" t="n">
        <v>10</v>
      </c>
      <c r="B25" s="143" t="inlineStr">
        <is>
          <t>Примечание</t>
        </is>
      </c>
      <c r="C25" s="174" t="inlineStr">
        <is>
          <t>Объект-представитель. Иные объекты включают дороги, не являющиеся подъездными автодорогами.</t>
        </is>
      </c>
      <c r="D25" s="174" t="n"/>
      <c r="E25" s="174" t="n"/>
      <c r="F25" s="174" t="n"/>
    </row>
    <row r="27" customFormat="1" s="152">
      <c r="B27" s="152" t="inlineStr">
        <is>
          <t>Составил ______________________         М.С. Колотиевская</t>
        </is>
      </c>
    </row>
    <row r="28" customFormat="1" s="152">
      <c r="B28" s="98" t="inlineStr">
        <is>
          <t xml:space="preserve">                         (подпись, инициалы, фамилия)</t>
        </is>
      </c>
    </row>
    <row r="29" customFormat="1" s="152"/>
    <row r="30" s="150">
      <c r="B30" s="152" t="inlineStr">
        <is>
          <t>Проверил ______________________          А.В. Костянецкая</t>
        </is>
      </c>
      <c r="C30" s="152" t="n"/>
      <c r="E30" s="152" t="n"/>
      <c r="F30" s="152" t="n"/>
      <c r="G30" s="152" t="n"/>
      <c r="H30" s="152" t="n"/>
      <c r="I30" s="152" t="n"/>
      <c r="J30" s="152" t="n"/>
    </row>
    <row r="31" s="150">
      <c r="B31" s="98" t="inlineStr">
        <is>
          <t xml:space="preserve">                        (подпись, инициалы, фамилия)</t>
        </is>
      </c>
      <c r="C31" s="152" t="n"/>
      <c r="E31" s="152" t="n"/>
      <c r="F31" s="152" t="n"/>
      <c r="G31" s="152" t="n"/>
      <c r="H31" s="152" t="n"/>
      <c r="I31" s="152" t="n"/>
      <c r="J31" s="152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40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6"/>
  <sheetViews>
    <sheetView view="pageBreakPreview" topLeftCell="A19" zoomScaleNormal="85" workbookViewId="0">
      <selection activeCell="C41" sqref="C41"/>
    </sheetView>
  </sheetViews>
  <sheetFormatPr baseColWidth="8" defaultColWidth="9.140625" defaultRowHeight="15"/>
  <cols>
    <col width="5.5703125" customWidth="1" style="150" min="1" max="1"/>
    <col width="9.140625" customWidth="1" style="150" min="2" max="2"/>
    <col width="28.140625" customWidth="1" style="150" min="3" max="3"/>
    <col width="13.85546875" customWidth="1" style="150" min="4" max="4"/>
    <col width="39" customWidth="1" style="150" min="5" max="5"/>
    <col width="14.5703125" customWidth="1" style="150" min="6" max="6"/>
    <col width="21.42578125" customWidth="1" style="150" min="7" max="7"/>
    <col width="19.5703125" customWidth="1" style="150" min="8" max="8"/>
    <col width="13" customWidth="1" style="150" min="9" max="9"/>
    <col width="20.85546875" customWidth="1" style="150" min="10" max="10"/>
    <col width="18" customWidth="1" style="150" min="11" max="11"/>
    <col width="9.140625" customWidth="1" style="150" min="12" max="12"/>
  </cols>
  <sheetData>
    <row r="3" ht="15.75" customHeight="1" s="150">
      <c r="B3" s="156" t="inlineStr">
        <is>
          <t>Приложение № 2</t>
        </is>
      </c>
    </row>
    <row r="4" ht="15.75" customHeight="1" s="150">
      <c r="B4" s="157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 ht="15.75" customHeight="1" s="150">
      <c r="B6" s="158">
        <f>'Прил.1 Сравнит табл'!B5:G5</f>
        <v/>
      </c>
      <c r="L6" s="104" t="n"/>
    </row>
    <row r="7" ht="15.75" customHeight="1" s="150">
      <c r="B7" s="168">
        <f>'Прил.1 Сравнит табл'!B7:G7</f>
        <v/>
      </c>
      <c r="L7" s="104" t="n"/>
    </row>
    <row r="8" ht="18.75" customHeight="1" s="150">
      <c r="B8" s="105" t="n"/>
      <c r="L8" s="106" t="n"/>
    </row>
    <row r="9" ht="15.75" customFormat="1" customHeight="1" s="152"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 xml:space="preserve">ПС 220 кВ Звезда с заходами ВЛ 220 кВ Береговая-2 - Перевал </t>
        </is>
      </c>
      <c r="E9" s="205" t="n"/>
      <c r="F9" s="205" t="n"/>
      <c r="G9" s="205" t="n"/>
      <c r="H9" s="205" t="n"/>
      <c r="I9" s="205" t="n"/>
      <c r="J9" s="206" t="n"/>
    </row>
    <row r="10" ht="15.75" customFormat="1" customHeight="1" s="152">
      <c r="B10" s="207" t="n"/>
      <c r="C10" s="207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3 квартал 2016 г., тыс. руб.</t>
        </is>
      </c>
      <c r="G10" s="205" t="n"/>
      <c r="H10" s="205" t="n"/>
      <c r="I10" s="205" t="n"/>
      <c r="J10" s="206" t="n"/>
    </row>
    <row r="11" ht="31.7" customFormat="1" customHeight="1" s="152">
      <c r="B11" s="208" t="n"/>
      <c r="C11" s="208" t="n"/>
      <c r="D11" s="208" t="n"/>
      <c r="E11" s="208" t="n"/>
      <c r="F11" s="174" t="inlineStr">
        <is>
          <t>Строительные работы</t>
        </is>
      </c>
      <c r="G11" s="167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31.7" customFormat="1" customHeight="1" s="152">
      <c r="B12" s="174" t="n">
        <v>1</v>
      </c>
      <c r="C12" s="186" t="n"/>
      <c r="D12" s="112" t="inlineStr">
        <is>
          <t>05-02-01</t>
        </is>
      </c>
      <c r="E12" s="185" t="inlineStr">
        <is>
          <t>Подъездная автодорога, парковочная площадка</t>
        </is>
      </c>
      <c r="F12" s="188" t="n">
        <v>3172.64</v>
      </c>
      <c r="G12" s="116" t="n"/>
      <c r="H12" s="107" t="n"/>
      <c r="I12" s="187" t="n"/>
      <c r="J12" s="188" t="n">
        <v>3172.64</v>
      </c>
    </row>
    <row r="13" ht="15.75" customFormat="1" customHeight="1" s="152">
      <c r="B13" s="209" t="inlineStr">
        <is>
          <t>Всего по объекту:</t>
        </is>
      </c>
      <c r="C13" s="205" t="n"/>
      <c r="D13" s="205" t="n"/>
      <c r="E13" s="206" t="n"/>
      <c r="F13" s="111" t="n">
        <v>3172.64</v>
      </c>
      <c r="G13" s="118" t="n">
        <v>0</v>
      </c>
      <c r="H13" s="111" t="n">
        <v>0</v>
      </c>
      <c r="I13" s="111" t="n">
        <v>0</v>
      </c>
      <c r="J13" s="111" t="n">
        <v>3172.64</v>
      </c>
    </row>
    <row r="14" ht="15.75" customFormat="1" customHeight="1" s="152">
      <c r="B14" s="209" t="inlineStr">
        <is>
          <t>Всего по объекту в сопоставимом уровне цен 4 кв. 2022г:</t>
        </is>
      </c>
      <c r="C14" s="205" t="n"/>
      <c r="D14" s="205" t="n"/>
      <c r="E14" s="206" t="n"/>
      <c r="F14" s="210" t="n">
        <v>4698.4059637223</v>
      </c>
      <c r="G14" s="211" t="n">
        <v>0</v>
      </c>
      <c r="H14" s="210" t="n">
        <v>0</v>
      </c>
      <c r="I14" s="210" t="n">
        <v>0</v>
      </c>
      <c r="J14" s="210" t="n">
        <v>4698.4059637223</v>
      </c>
    </row>
    <row r="15" ht="15.75" customFormat="1" customHeight="1" s="152">
      <c r="B15" s="119" t="n"/>
      <c r="C15" s="178" t="n"/>
      <c r="D15" s="178" t="n"/>
      <c r="E15" s="178" t="n"/>
      <c r="F15" s="178" t="n"/>
      <c r="G15" s="152" t="n"/>
      <c r="H15" s="152" t="n"/>
      <c r="I15" s="152" t="n"/>
      <c r="J15" s="152" t="n"/>
    </row>
    <row r="16" ht="15.75" customFormat="1" customHeight="1" s="152">
      <c r="B16" s="119" t="n"/>
      <c r="C16" s="178" t="n"/>
      <c r="D16" s="178" t="n"/>
      <c r="E16" s="178" t="n"/>
      <c r="F16" s="178" t="n"/>
      <c r="G16" s="152" t="n"/>
      <c r="H16" s="152" t="n"/>
      <c r="I16" s="152" t="n"/>
      <c r="J16" s="152" t="n"/>
      <c r="L16" s="110" t="n"/>
    </row>
    <row r="17" ht="25.5" customFormat="1" customHeight="1" s="152">
      <c r="B17" s="174" t="inlineStr">
        <is>
          <t>№ п/п</t>
        </is>
      </c>
      <c r="C17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74" t="inlineStr">
        <is>
          <t xml:space="preserve">Строительство ПС 500 кВ Нижнеангарская </t>
        </is>
      </c>
      <c r="E17" s="205" t="n"/>
      <c r="F17" s="205" t="n"/>
      <c r="G17" s="205" t="n"/>
      <c r="H17" s="205" t="n"/>
      <c r="I17" s="205" t="n"/>
      <c r="J17" s="206" t="n"/>
    </row>
    <row r="18" ht="15.75" customFormat="1" customHeight="1" s="152">
      <c r="B18" s="207" t="n"/>
      <c r="C18" s="207" t="n"/>
      <c r="D18" s="174" t="inlineStr">
        <is>
          <t>Номер сметы</t>
        </is>
      </c>
      <c r="E18" s="174" t="inlineStr">
        <is>
          <t>Наименование сметы</t>
        </is>
      </c>
      <c r="F18" s="174" t="inlineStr">
        <is>
          <t>Сметная стоимость в уровне цен 4 кв. 2022г., тыс. руб.</t>
        </is>
      </c>
      <c r="G18" s="205" t="n"/>
      <c r="H18" s="205" t="n"/>
      <c r="I18" s="205" t="n"/>
      <c r="J18" s="206" t="n"/>
    </row>
    <row r="19" ht="45" customFormat="1" customHeight="1" s="152">
      <c r="B19" s="208" t="n"/>
      <c r="C19" s="208" t="n"/>
      <c r="D19" s="208" t="n"/>
      <c r="E19" s="208" t="n"/>
      <c r="F19" s="174" t="inlineStr">
        <is>
          <t>Строительные работы</t>
        </is>
      </c>
      <c r="G19" s="167" t="inlineStr">
        <is>
          <t>Монтажные работы</t>
        </is>
      </c>
      <c r="H19" s="174" t="inlineStr">
        <is>
          <t>Оборудование</t>
        </is>
      </c>
      <c r="I19" s="174" t="inlineStr">
        <is>
          <t>Прочее</t>
        </is>
      </c>
      <c r="J19" s="174" t="inlineStr">
        <is>
          <t>Всего</t>
        </is>
      </c>
    </row>
    <row r="20" ht="15.75" customFormat="1" customHeight="1" s="152">
      <c r="B20" s="174" t="n">
        <v>1</v>
      </c>
      <c r="C20" s="186" t="n"/>
      <c r="D20" s="112" t="inlineStr">
        <is>
          <t>8.07-01-01</t>
        </is>
      </c>
      <c r="E20" s="185" t="inlineStr">
        <is>
          <t>Подьездная дорога автодорога №3</t>
        </is>
      </c>
      <c r="F20" s="188" t="n">
        <v>19527.33</v>
      </c>
      <c r="G20" s="116" t="n"/>
      <c r="H20" s="107" t="n"/>
      <c r="I20" s="187" t="n"/>
      <c r="J20" s="188" t="n">
        <v>19527.33</v>
      </c>
    </row>
    <row r="21" ht="15.75" customFormat="1" customHeight="1" s="152">
      <c r="B21" s="209" t="inlineStr">
        <is>
          <t>Всего по объекту:</t>
        </is>
      </c>
      <c r="C21" s="205" t="n"/>
      <c r="D21" s="205" t="n"/>
      <c r="E21" s="206" t="n"/>
      <c r="F21" s="111" t="n">
        <v>19527.33</v>
      </c>
      <c r="G21" s="118" t="n">
        <v>0</v>
      </c>
      <c r="H21" s="111" t="n">
        <v>0</v>
      </c>
      <c r="I21" s="111" t="n">
        <v>0</v>
      </c>
      <c r="J21" s="111" t="n">
        <v>19527.33</v>
      </c>
    </row>
    <row r="22" ht="15.75" customFormat="1" customHeight="1" s="152">
      <c r="B22" s="209" t="inlineStr">
        <is>
          <t>Всего по объекту в сопоставимом уровне цен 4 кв. 2022г:</t>
        </is>
      </c>
      <c r="C22" s="205" t="n"/>
      <c r="D22" s="205" t="n"/>
      <c r="E22" s="206" t="n"/>
      <c r="F22" s="210" t="n">
        <v>19527.33</v>
      </c>
      <c r="G22" s="211" t="n">
        <v>0</v>
      </c>
      <c r="H22" s="210" t="n">
        <v>0</v>
      </c>
      <c r="I22" s="210" t="n">
        <v>0</v>
      </c>
      <c r="J22" s="210" t="n">
        <v>19527.33</v>
      </c>
    </row>
    <row r="23" ht="15.75" customFormat="1" customHeight="1" s="152">
      <c r="B23" s="119" t="n"/>
      <c r="C23" s="178" t="n"/>
      <c r="D23" s="178" t="n"/>
      <c r="E23" s="178" t="n"/>
      <c r="F23" s="178" t="n"/>
      <c r="G23" s="152" t="n"/>
      <c r="H23" s="152" t="n"/>
      <c r="I23" s="152" t="n"/>
      <c r="J23" s="152" t="n"/>
    </row>
    <row r="24" ht="15.75" customFormat="1" customHeight="1" s="152">
      <c r="B24" s="119" t="n"/>
      <c r="C24" s="178" t="n"/>
      <c r="D24" s="178" t="n"/>
      <c r="E24" s="178" t="n"/>
      <c r="F24" s="178" t="n"/>
      <c r="G24" s="152" t="n"/>
      <c r="H24" s="152" t="n"/>
      <c r="I24" s="152" t="n"/>
      <c r="J24" s="152" t="n"/>
      <c r="L24" s="110" t="n"/>
    </row>
    <row r="25" ht="15.75" customFormat="1" customHeight="1" s="152">
      <c r="B25" s="174" t="inlineStr">
        <is>
          <t>№ п/п</t>
        </is>
      </c>
      <c r="C25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74" t="inlineStr">
        <is>
          <t>Строительство ВЛ 220 кВ Зилово – Холбон (II этап строительства)</t>
        </is>
      </c>
      <c r="E25" s="205" t="n"/>
      <c r="F25" s="205" t="n"/>
      <c r="G25" s="205" t="n"/>
      <c r="H25" s="205" t="n"/>
      <c r="I25" s="205" t="n"/>
      <c r="J25" s="206" t="n"/>
    </row>
    <row r="26" ht="15.75" customFormat="1" customHeight="1" s="152">
      <c r="B26" s="207" t="n"/>
      <c r="C26" s="207" t="n"/>
      <c r="D26" s="174" t="inlineStr">
        <is>
          <t>Номер сметы</t>
        </is>
      </c>
      <c r="E26" s="174" t="inlineStr">
        <is>
          <t>Наименование сметы</t>
        </is>
      </c>
      <c r="F26" s="174" t="inlineStr">
        <is>
          <t>Сметная стоимость в уровне цен 1 кв. 2022г., тыс. руб.</t>
        </is>
      </c>
      <c r="G26" s="205" t="n"/>
      <c r="H26" s="205" t="n"/>
      <c r="I26" s="205" t="n"/>
      <c r="J26" s="206" t="n"/>
    </row>
    <row r="27" ht="31.7" customFormat="1" customHeight="1" s="152">
      <c r="B27" s="208" t="n"/>
      <c r="C27" s="208" t="n"/>
      <c r="D27" s="208" t="n"/>
      <c r="E27" s="208" t="n"/>
      <c r="F27" s="174" t="inlineStr">
        <is>
          <t>Строительные работы</t>
        </is>
      </c>
      <c r="G27" s="174" t="inlineStr">
        <is>
          <t>Монтажные работы</t>
        </is>
      </c>
      <c r="H27" s="174" t="inlineStr">
        <is>
          <t>Оборудование</t>
        </is>
      </c>
      <c r="I27" s="174" t="inlineStr">
        <is>
          <t>Прочее</t>
        </is>
      </c>
      <c r="J27" s="174" t="inlineStr">
        <is>
          <t>Всего</t>
        </is>
      </c>
    </row>
    <row r="28" ht="31.7" customFormat="1" customHeight="1" s="152">
      <c r="B28" s="174" t="n"/>
      <c r="C28" s="186" t="n"/>
      <c r="D28" s="112" t="inlineStr">
        <is>
          <t>02.07-01-04</t>
        </is>
      </c>
      <c r="E28" s="185" t="inlineStr">
        <is>
          <t>Благоустройство территории ПС Жирекен</t>
        </is>
      </c>
      <c r="F28" s="188" t="n">
        <v>391.708</v>
      </c>
      <c r="G28" s="188" t="n"/>
      <c r="H28" s="188" t="n"/>
      <c r="I28" s="187" t="n"/>
      <c r="J28" s="188" t="n">
        <v>391.708</v>
      </c>
    </row>
    <row r="29" ht="15.75" customFormat="1" customHeight="1" s="152">
      <c r="B29" s="209" t="inlineStr">
        <is>
          <t>Всего по объекту:</t>
        </is>
      </c>
      <c r="C29" s="205" t="n"/>
      <c r="D29" s="205" t="n"/>
      <c r="E29" s="206" t="n"/>
      <c r="F29" s="111" t="n">
        <v>391.708</v>
      </c>
      <c r="G29" s="111" t="n">
        <v>0</v>
      </c>
      <c r="H29" s="111" t="n">
        <v>0</v>
      </c>
      <c r="I29" s="111" t="n">
        <v>0</v>
      </c>
      <c r="J29" s="111" t="n">
        <v>391.708</v>
      </c>
    </row>
    <row r="30" ht="15.75" customFormat="1" customHeight="1" s="152">
      <c r="B30" s="209" t="inlineStr">
        <is>
          <t>Всего по объекту в сопоставимом уровне цен 4 кв. 2022г:</t>
        </is>
      </c>
      <c r="C30" s="205" t="n"/>
      <c r="D30" s="205" t="n"/>
      <c r="E30" s="206" t="n"/>
      <c r="F30" s="210" t="n">
        <v>442.41900832529</v>
      </c>
      <c r="G30" s="210" t="n">
        <v>0</v>
      </c>
      <c r="H30" s="210" t="n">
        <v>0</v>
      </c>
      <c r="I30" s="210" t="n">
        <v>0</v>
      </c>
      <c r="J30" s="210" t="n">
        <v>442.41900832529</v>
      </c>
    </row>
    <row r="31" ht="15.75" customFormat="1" customHeight="1" s="152">
      <c r="B31" s="113" t="n"/>
      <c r="C31" s="113" t="n"/>
      <c r="D31" s="113" t="n"/>
      <c r="E31" s="113" t="n"/>
      <c r="F31" s="212" t="n"/>
      <c r="G31" s="212" t="n"/>
      <c r="H31" s="212" t="n"/>
      <c r="I31" s="212" t="n"/>
      <c r="J31" s="212" t="n"/>
    </row>
    <row r="32" ht="15.75" customFormat="1" customHeight="1" s="152">
      <c r="B32" s="158" t="n"/>
      <c r="C32" s="152" t="n"/>
      <c r="D32" s="152" t="n"/>
      <c r="E32" s="152" t="n"/>
      <c r="F32" s="152" t="n"/>
      <c r="G32" s="152" t="n"/>
      <c r="H32" s="152" t="n"/>
      <c r="I32" s="152" t="n"/>
      <c r="J32" s="152" t="n"/>
    </row>
    <row r="33" ht="32.25" customFormat="1" customHeight="1" s="152">
      <c r="B33" s="174" t="inlineStr">
        <is>
          <t>№ п/п</t>
        </is>
      </c>
      <c r="C33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74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33" s="205" t="n"/>
      <c r="F33" s="205" t="n"/>
      <c r="G33" s="205" t="n"/>
      <c r="H33" s="205" t="n"/>
      <c r="I33" s="205" t="n"/>
      <c r="J33" s="206" t="n"/>
    </row>
    <row r="34" ht="15.75" customFormat="1" customHeight="1" s="152">
      <c r="B34" s="207" t="n"/>
      <c r="C34" s="207" t="n"/>
      <c r="D34" s="174" t="inlineStr">
        <is>
          <t>Номер сметы</t>
        </is>
      </c>
      <c r="E34" s="174" t="inlineStr">
        <is>
          <t>Наименование сметы</t>
        </is>
      </c>
      <c r="F34" s="174" t="inlineStr">
        <is>
          <t>Сметная стоимость в уровне цен 2 кв. 2019г., тыс. руб.</t>
        </is>
      </c>
      <c r="G34" s="205" t="n"/>
      <c r="H34" s="205" t="n"/>
      <c r="I34" s="205" t="n"/>
      <c r="J34" s="206" t="n"/>
    </row>
    <row r="35" ht="31.7" customFormat="1" customHeight="1" s="152">
      <c r="B35" s="208" t="n"/>
      <c r="C35" s="208" t="n"/>
      <c r="D35" s="208" t="n"/>
      <c r="E35" s="208" t="n"/>
      <c r="F35" s="174" t="inlineStr">
        <is>
          <t>Строительные работы</t>
        </is>
      </c>
      <c r="G35" s="174" t="inlineStr">
        <is>
          <t>Монтажные работы</t>
        </is>
      </c>
      <c r="H35" s="174" t="inlineStr">
        <is>
          <t>Оборудование</t>
        </is>
      </c>
      <c r="I35" s="174" t="inlineStr">
        <is>
          <t>Прочее</t>
        </is>
      </c>
      <c r="J35" s="174" t="inlineStr">
        <is>
          <t>Всего</t>
        </is>
      </c>
    </row>
    <row r="36" ht="19.5" customFormat="1" customHeight="1" s="152">
      <c r="B36" s="174" t="n"/>
      <c r="C36" s="186" t="n"/>
      <c r="D36" s="112" t="inlineStr">
        <is>
          <t>05-02-01</t>
        </is>
      </c>
      <c r="E36" s="185" t="inlineStr">
        <is>
          <t>Проезды, подъездные дороги</t>
        </is>
      </c>
      <c r="F36" s="188" t="n">
        <v>33780.83</v>
      </c>
      <c r="G36" s="188" t="n"/>
      <c r="H36" s="188" t="n"/>
      <c r="I36" s="187" t="n"/>
      <c r="J36" s="188" t="n">
        <v>33780.83</v>
      </c>
    </row>
    <row r="37" ht="15.75" customFormat="1" customHeight="1" s="152">
      <c r="B37" s="209" t="inlineStr">
        <is>
          <t>Всего по объекту:</t>
        </is>
      </c>
      <c r="C37" s="205" t="n"/>
      <c r="D37" s="205" t="n"/>
      <c r="E37" s="206" t="n"/>
      <c r="F37" s="111" t="n">
        <v>33780.83</v>
      </c>
      <c r="G37" s="111" t="n">
        <v>0</v>
      </c>
      <c r="H37" s="111" t="n">
        <v>0</v>
      </c>
      <c r="I37" s="111" t="n">
        <v>0</v>
      </c>
      <c r="J37" s="111" t="n">
        <v>33780.83</v>
      </c>
    </row>
    <row r="38" ht="15.75" customFormat="1" customHeight="1" s="152">
      <c r="B38" s="209" t="inlineStr">
        <is>
          <t>Всего по объекту в сопоставимом уровне цен 4 кв. 2022г:</t>
        </is>
      </c>
      <c r="C38" s="205" t="n"/>
      <c r="D38" s="205" t="n"/>
      <c r="E38" s="206" t="n"/>
      <c r="F38" s="210" t="n">
        <v>42496.989983011</v>
      </c>
      <c r="G38" s="210" t="n">
        <v>0</v>
      </c>
      <c r="H38" s="210" t="n">
        <v>0</v>
      </c>
      <c r="I38" s="210" t="n">
        <v>0</v>
      </c>
      <c r="J38" s="210" t="n">
        <v>42496.989983011</v>
      </c>
    </row>
    <row r="39" ht="15.75" customFormat="1" customHeight="1" s="152">
      <c r="B39" s="158" t="n"/>
    </row>
    <row r="40" ht="15.75" customFormat="1" customHeight="1" s="152"/>
    <row r="41" ht="15.75" customFormat="1" customHeight="1" s="152">
      <c r="C41" s="152" t="inlineStr">
        <is>
          <t>Составил ______________________         М.С. Колотиевская</t>
        </is>
      </c>
    </row>
    <row r="42" ht="15.75" customFormat="1" customHeight="1" s="152">
      <c r="C42" s="98" t="inlineStr">
        <is>
          <t xml:space="preserve">                         (подпись, инициалы, фамилия)</t>
        </is>
      </c>
    </row>
    <row r="43" ht="15.75" customFormat="1" customHeight="1" s="152"/>
    <row r="44" ht="15.75" customHeight="1" s="150">
      <c r="B44" s="152" t="n"/>
      <c r="C44" s="152" t="inlineStr">
        <is>
          <t>Проверил ______________________          А.В. Костянецкая</t>
        </is>
      </c>
      <c r="D44" s="152" t="n"/>
      <c r="E44" s="152" t="n"/>
      <c r="F44" s="152" t="n"/>
      <c r="G44" s="152" t="n"/>
      <c r="H44" s="152" t="n"/>
      <c r="I44" s="152" t="n"/>
      <c r="J44" s="152" t="n"/>
    </row>
    <row r="45" ht="15.75" customHeight="1" s="150">
      <c r="B45" s="152" t="n"/>
      <c r="C45" s="98" t="inlineStr">
        <is>
          <t xml:space="preserve">                        (подпись, инициалы, фамилия)</t>
        </is>
      </c>
      <c r="D45" s="152" t="n"/>
      <c r="E45" s="152" t="n"/>
      <c r="F45" s="152" t="n"/>
      <c r="G45" s="152" t="n"/>
      <c r="H45" s="152" t="n"/>
      <c r="I45" s="152" t="n"/>
      <c r="J45" s="152" t="n"/>
    </row>
    <row r="46" ht="15.75" customHeight="1" s="150">
      <c r="B46" s="152" t="n"/>
      <c r="C46" s="152" t="n"/>
      <c r="D46" s="152" t="n"/>
      <c r="E46" s="152" t="n"/>
      <c r="F46" s="152" t="n"/>
      <c r="G46" s="152" t="n"/>
      <c r="H46" s="152" t="n"/>
      <c r="I46" s="152" t="n"/>
      <c r="J46" s="152" t="n"/>
    </row>
  </sheetData>
  <mergeCells count="36">
    <mergeCell ref="D9:J9"/>
    <mergeCell ref="F34:J34"/>
    <mergeCell ref="C17:C19"/>
    <mergeCell ref="F10:J10"/>
    <mergeCell ref="D25:J25"/>
    <mergeCell ref="B30:E30"/>
    <mergeCell ref="B33:B35"/>
    <mergeCell ref="B6:K6"/>
    <mergeCell ref="E34:E35"/>
    <mergeCell ref="D33:J33"/>
    <mergeCell ref="E10:E11"/>
    <mergeCell ref="B4:K4"/>
    <mergeCell ref="B7:K7"/>
    <mergeCell ref="F18:J18"/>
    <mergeCell ref="B25:B27"/>
    <mergeCell ref="C33:C35"/>
    <mergeCell ref="B22:E22"/>
    <mergeCell ref="F26:J26"/>
    <mergeCell ref="B3:K3"/>
    <mergeCell ref="D18:D19"/>
    <mergeCell ref="B21:E21"/>
    <mergeCell ref="E26:E27"/>
    <mergeCell ref="B14:E14"/>
    <mergeCell ref="B17:B19"/>
    <mergeCell ref="D10:D11"/>
    <mergeCell ref="D17:J17"/>
    <mergeCell ref="C25:C27"/>
    <mergeCell ref="B13:E13"/>
    <mergeCell ref="E18:E19"/>
    <mergeCell ref="D26:D27"/>
    <mergeCell ref="B38:E38"/>
    <mergeCell ref="B29:E29"/>
    <mergeCell ref="B9:B11"/>
    <mergeCell ref="D34:D35"/>
    <mergeCell ref="B37:E37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90"/>
  <sheetViews>
    <sheetView view="pageBreakPreview" topLeftCell="A70" zoomScale="60" zoomScaleNormal="100" workbookViewId="0">
      <selection activeCell="C85" sqref="C85"/>
    </sheetView>
  </sheetViews>
  <sheetFormatPr baseColWidth="8" defaultColWidth="9.140625" defaultRowHeight="15"/>
  <cols>
    <col width="9.140625" customWidth="1" style="150" min="1" max="1"/>
    <col width="12.5703125" customWidth="1" style="150" min="2" max="2"/>
    <col width="17" customWidth="1" style="150" min="3" max="3"/>
    <col width="49.7109375" customWidth="1" style="150" min="4" max="4"/>
    <col width="16.28515625" customWidth="1" style="150" min="5" max="5"/>
    <col width="20.7109375" customWidth="1" style="150" min="6" max="6"/>
    <col width="16.140625" customWidth="1" style="150" min="7" max="7"/>
    <col width="16.7109375" customWidth="1" style="150" min="8" max="8"/>
    <col width="9.140625" customWidth="1" style="150" min="9" max="9"/>
  </cols>
  <sheetData>
    <row r="2" ht="15.75" customHeight="1" s="150">
      <c r="A2" s="156" t="inlineStr">
        <is>
          <t xml:space="preserve">Приложение № 3 </t>
        </is>
      </c>
    </row>
    <row r="3" ht="18.75" customHeight="1" s="150">
      <c r="A3" s="172" t="inlineStr">
        <is>
          <t>Объектная ресурсная ведомость</t>
        </is>
      </c>
    </row>
    <row r="4" ht="18.75" customHeight="1" s="150">
      <c r="A4" s="172" t="n"/>
      <c r="B4" s="172" t="n"/>
      <c r="C4" s="1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2" t="n"/>
      <c r="J4" s="152" t="n"/>
      <c r="K4" s="152" t="n"/>
      <c r="L4" s="152" t="n"/>
    </row>
    <row r="5" ht="18.75" customHeight="1" s="150">
      <c r="A5" s="105" t="n"/>
    </row>
    <row r="6" ht="15.75" customHeight="1" s="150">
      <c r="A6" s="168" t="inlineStr">
        <is>
          <t>Наименование разрабатываемого показателя УНЦ -  Подъездная автодорога</t>
        </is>
      </c>
    </row>
    <row r="7" ht="15.75" customHeight="1" s="150">
      <c r="A7" s="168" t="n"/>
      <c r="B7" s="168" t="n"/>
      <c r="C7" s="168" t="n"/>
      <c r="D7" s="168" t="n"/>
      <c r="E7" s="168" t="n"/>
      <c r="F7" s="168" t="n"/>
      <c r="G7" s="168" t="n"/>
      <c r="H7" s="168" t="n"/>
    </row>
    <row r="8" ht="15.75" customFormat="1" customHeight="1" s="152">
      <c r="A8" s="18" t="n"/>
      <c r="B8" s="18" t="n"/>
      <c r="C8" s="18" t="n"/>
      <c r="D8" s="18" t="n"/>
      <c r="E8" s="18" t="n"/>
      <c r="F8" s="18" t="n"/>
      <c r="G8" s="18" t="n"/>
      <c r="H8" s="18" t="n"/>
    </row>
    <row r="9" ht="38.25" customFormat="1" customHeight="1" s="152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06" t="n"/>
    </row>
    <row r="10" ht="40.7" customFormat="1" customHeight="1" s="152">
      <c r="A10" s="208" t="n"/>
      <c r="B10" s="208" t="n"/>
      <c r="C10" s="208" t="n"/>
      <c r="D10" s="208" t="n"/>
      <c r="E10" s="208" t="n"/>
      <c r="F10" s="208" t="n"/>
      <c r="G10" s="174" t="inlineStr">
        <is>
          <t>на ед.изм.</t>
        </is>
      </c>
      <c r="H10" s="174" t="inlineStr">
        <is>
          <t>общая</t>
        </is>
      </c>
    </row>
    <row r="11" ht="15.75" customFormat="1" customHeight="1" s="152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48" t="n">
        <v>6</v>
      </c>
      <c r="H11" s="148" t="n">
        <v>7</v>
      </c>
    </row>
    <row r="12" ht="15.75" customFormat="1" customHeight="1" s="15">
      <c r="A12" s="169" t="inlineStr">
        <is>
          <t>Затраты труда рабочих</t>
        </is>
      </c>
      <c r="B12" s="205" t="n"/>
      <c r="C12" s="205" t="n"/>
      <c r="D12" s="205" t="n"/>
      <c r="E12" s="206" t="n"/>
      <c r="F12" s="169" t="n">
        <v>926.26822</v>
      </c>
      <c r="G12" s="20" t="n"/>
      <c r="H12" s="20">
        <f>SUM(H13:H22)</f>
        <v/>
      </c>
    </row>
    <row r="13" ht="15.75" customFormat="1" customHeight="1" s="152">
      <c r="A13" s="170" t="n">
        <v>1</v>
      </c>
      <c r="B13" s="170" t="n"/>
      <c r="C13" s="171" t="inlineStr">
        <is>
          <t>1-100-28</t>
        </is>
      </c>
      <c r="D13" s="171" t="inlineStr">
        <is>
          <t>Затраты труда рабочих (ср 2,8)</t>
        </is>
      </c>
      <c r="E13" s="170" t="inlineStr">
        <is>
          <t>чел.-ч</t>
        </is>
      </c>
      <c r="F13" s="170" t="n">
        <v>497.5895</v>
      </c>
      <c r="G13" s="175" t="n">
        <v>8.380000000000001</v>
      </c>
      <c r="H13" s="175">
        <f>ROUND(F13*G13,2)</f>
        <v/>
      </c>
    </row>
    <row r="14" ht="15.75" customFormat="1" customHeight="1" s="152">
      <c r="A14" s="170" t="n">
        <v>2</v>
      </c>
      <c r="B14" s="170" t="n"/>
      <c r="C14" s="171" t="inlineStr">
        <is>
          <t>1-100-20</t>
        </is>
      </c>
      <c r="D14" s="171" t="inlineStr">
        <is>
          <t>Затраты труда рабочих (ср 2)</t>
        </is>
      </c>
      <c r="E14" s="170" t="inlineStr">
        <is>
          <t>чел.-ч</t>
        </is>
      </c>
      <c r="F14" s="170" t="n">
        <v>175.616</v>
      </c>
      <c r="G14" s="175" t="n">
        <v>7.8</v>
      </c>
      <c r="H14" s="175">
        <f>ROUND(F14*G14,2)</f>
        <v/>
      </c>
    </row>
    <row r="15" ht="15.75" customFormat="1" customHeight="1" s="152">
      <c r="A15" s="170" t="n">
        <v>3</v>
      </c>
      <c r="B15" s="170" t="n"/>
      <c r="C15" s="171" t="inlineStr">
        <is>
          <t>1-100-40</t>
        </is>
      </c>
      <c r="D15" s="171" t="inlineStr">
        <is>
          <t>Затраты труда рабочих (ср 4)</t>
        </is>
      </c>
      <c r="E15" s="170" t="inlineStr">
        <is>
          <t>чел.-ч</t>
        </is>
      </c>
      <c r="F15" s="170" t="n">
        <v>75.075</v>
      </c>
      <c r="G15" s="175" t="n">
        <v>9.619999999999999</v>
      </c>
      <c r="H15" s="175">
        <f>ROUND(F15*G15,2)</f>
        <v/>
      </c>
    </row>
    <row r="16" ht="15.75" customFormat="1" customHeight="1" s="152">
      <c r="A16" s="170" t="n">
        <v>4</v>
      </c>
      <c r="B16" s="170" t="n"/>
      <c r="C16" s="171" t="inlineStr">
        <is>
          <t>1-100-15</t>
        </is>
      </c>
      <c r="D16" s="171" t="inlineStr">
        <is>
          <t>Затраты труда рабочих (ср 1,5)</t>
        </is>
      </c>
      <c r="E16" s="170" t="inlineStr">
        <is>
          <t>чел.-ч</t>
        </is>
      </c>
      <c r="F16" s="170" t="n">
        <v>74.75</v>
      </c>
      <c r="G16" s="175" t="n">
        <v>7.5</v>
      </c>
      <c r="H16" s="175">
        <f>ROUND(F16*G16,2)</f>
        <v/>
      </c>
    </row>
    <row r="17" ht="15.75" customFormat="1" customHeight="1" s="152">
      <c r="A17" s="170" t="n">
        <v>5</v>
      </c>
      <c r="B17" s="170" t="n"/>
      <c r="C17" s="171" t="inlineStr">
        <is>
          <t>1-100-25</t>
        </is>
      </c>
      <c r="D17" s="171" t="inlineStr">
        <is>
          <t>Затраты труда рабочих (ср 2,5)</t>
        </is>
      </c>
      <c r="E17" s="170" t="inlineStr">
        <is>
          <t>чел.-ч</t>
        </is>
      </c>
      <c r="F17" s="170" t="n">
        <v>45.464</v>
      </c>
      <c r="G17" s="175" t="n">
        <v>8.17</v>
      </c>
      <c r="H17" s="175">
        <f>ROUND(F17*G17,2)</f>
        <v/>
      </c>
    </row>
    <row r="18" ht="15.75" customFormat="1" customHeight="1" s="152">
      <c r="A18" s="170" t="n">
        <v>6</v>
      </c>
      <c r="B18" s="170" t="n"/>
      <c r="C18" s="171" t="inlineStr">
        <is>
          <t>1-100-32</t>
        </is>
      </c>
      <c r="D18" s="171" t="inlineStr">
        <is>
          <t>Затраты труда рабочих (ср 3,2)</t>
        </is>
      </c>
      <c r="E18" s="170" t="inlineStr">
        <is>
          <t>чел.-ч</t>
        </is>
      </c>
      <c r="F18" s="170" t="n">
        <v>29.24572</v>
      </c>
      <c r="G18" s="175" t="n">
        <v>8.74</v>
      </c>
      <c r="H18" s="175">
        <f>ROUND(F18*G18,2)</f>
        <v/>
      </c>
    </row>
    <row r="19" ht="15.75" customFormat="1" customHeight="1" s="152">
      <c r="A19" s="170" t="n">
        <v>7</v>
      </c>
      <c r="B19" s="170" t="n"/>
      <c r="C19" s="171" t="inlineStr">
        <is>
          <t>1-100-23</t>
        </is>
      </c>
      <c r="D19" s="171" t="inlineStr">
        <is>
          <t>Затраты труда рабочих (ср 2,3)</t>
        </is>
      </c>
      <c r="E19" s="170" t="inlineStr">
        <is>
          <t>чел.-ч</t>
        </is>
      </c>
      <c r="F19" s="170" t="n">
        <v>14.04</v>
      </c>
      <c r="G19" s="175" t="n">
        <v>8.02</v>
      </c>
      <c r="H19" s="175">
        <f>ROUND(F19*G19,2)</f>
        <v/>
      </c>
    </row>
    <row r="20" ht="15.75" customFormat="1" customHeight="1" s="152">
      <c r="A20" s="170" t="n">
        <v>8</v>
      </c>
      <c r="B20" s="170" t="n"/>
      <c r="C20" s="171" t="inlineStr">
        <is>
          <t>1-100-18</t>
        </is>
      </c>
      <c r="D20" s="171" t="inlineStr">
        <is>
          <t>Затраты труда рабочих (ср 1,8)</t>
        </is>
      </c>
      <c r="E20" s="170" t="inlineStr">
        <is>
          <t>чел.-ч</t>
        </is>
      </c>
      <c r="F20" s="170" t="n">
        <v>10.7973</v>
      </c>
      <c r="G20" s="175" t="n">
        <v>7.68</v>
      </c>
      <c r="H20" s="175">
        <f>ROUND(F20*G20,2)</f>
        <v/>
      </c>
    </row>
    <row r="21" ht="15.75" customFormat="1" customHeight="1" s="152">
      <c r="A21" s="170" t="n">
        <v>9</v>
      </c>
      <c r="B21" s="170" t="n"/>
      <c r="C21" s="171" t="inlineStr">
        <is>
          <t>1-100-30</t>
        </is>
      </c>
      <c r="D21" s="171" t="inlineStr">
        <is>
          <t>Затраты труда рабочих (ср 3)</t>
        </is>
      </c>
      <c r="E21" s="170" t="inlineStr">
        <is>
          <t>чел.-ч</t>
        </is>
      </c>
      <c r="F21" s="170" t="n">
        <v>3.2</v>
      </c>
      <c r="G21" s="175" t="n">
        <v>8.529999999999999</v>
      </c>
      <c r="H21" s="175">
        <f>ROUND(F21*G21,2)</f>
        <v/>
      </c>
    </row>
    <row r="22" ht="15.75" customFormat="1" customHeight="1" s="152">
      <c r="A22" s="170" t="n">
        <v>10</v>
      </c>
      <c r="B22" s="170" t="n"/>
      <c r="C22" s="171" t="inlineStr">
        <is>
          <t>1-100-38</t>
        </is>
      </c>
      <c r="D22" s="171" t="inlineStr">
        <is>
          <t>Затраты труда рабочих (ср 3,8)</t>
        </is>
      </c>
      <c r="E22" s="170" t="inlineStr">
        <is>
          <t>чел.-ч</t>
        </is>
      </c>
      <c r="F22" s="170" t="n">
        <v>0.4907</v>
      </c>
      <c r="G22" s="175" t="n">
        <v>9.4</v>
      </c>
      <c r="H22" s="175">
        <f>ROUND(F22*G22,2)</f>
        <v/>
      </c>
    </row>
    <row r="23" ht="15.75" customFormat="1" customHeight="1" s="15">
      <c r="A23" s="169" t="inlineStr">
        <is>
          <t>Затраты труда машинистов</t>
        </is>
      </c>
      <c r="B23" s="205" t="n"/>
      <c r="C23" s="205" t="n"/>
      <c r="D23" s="205" t="n"/>
      <c r="E23" s="206" t="n"/>
      <c r="F23" s="169" t="n">
        <v>486.25086</v>
      </c>
      <c r="G23" s="20" t="n"/>
      <c r="H23" s="20">
        <f>SUM(H24:H24)</f>
        <v/>
      </c>
    </row>
    <row r="24" ht="15.75" customFormat="1" customHeight="1" s="152">
      <c r="A24" s="170" t="n">
        <v>11</v>
      </c>
      <c r="B24" s="170" t="n"/>
      <c r="C24" s="171" t="n">
        <v>2</v>
      </c>
      <c r="D24" s="171" t="inlineStr">
        <is>
          <t>Затраты труда машинистов</t>
        </is>
      </c>
      <c r="E24" s="170" t="inlineStr">
        <is>
          <t>чел.-ч</t>
        </is>
      </c>
      <c r="F24" s="170" t="n">
        <v>486.25086</v>
      </c>
      <c r="G24" s="175" t="n">
        <v>13.19</v>
      </c>
      <c r="H24" s="175">
        <f>ROUND(F24*G24,2)</f>
        <v/>
      </c>
    </row>
    <row r="25" ht="15.75" customFormat="1" customHeight="1" s="15">
      <c r="A25" s="169" t="inlineStr">
        <is>
          <t>Машины и механизмы</t>
        </is>
      </c>
      <c r="B25" s="205" t="n"/>
      <c r="C25" s="205" t="n"/>
      <c r="D25" s="205" t="n"/>
      <c r="E25" s="206" t="n"/>
      <c r="F25" s="169" t="n"/>
      <c r="G25" s="20" t="n"/>
      <c r="H25" s="20">
        <f>SUM(H26:H55)</f>
        <v/>
      </c>
    </row>
    <row r="26" ht="31.7" customFormat="1" customHeight="1" s="152">
      <c r="A26" s="170" t="n">
        <v>12</v>
      </c>
      <c r="B26" s="170" t="n"/>
      <c r="C26" s="25" t="inlineStr">
        <is>
          <t>91.08.03-016</t>
        </is>
      </c>
      <c r="D26" s="171" t="inlineStr">
        <is>
          <t>Катки самоходные гладкие вибрационные, масса 8 т</t>
        </is>
      </c>
      <c r="E26" s="170" t="inlineStr">
        <is>
          <t>маш.час</t>
        </is>
      </c>
      <c r="F26" s="170" t="n">
        <v>126.0127</v>
      </c>
      <c r="G26" s="175" t="n">
        <v>226.54</v>
      </c>
      <c r="H26" s="175">
        <f>ROUND(F26*G26,2)</f>
        <v/>
      </c>
    </row>
    <row r="27" ht="31.7" customFormat="1" customHeight="1" s="152">
      <c r="A27" s="170" t="n">
        <v>13</v>
      </c>
      <c r="B27" s="170" t="n"/>
      <c r="C27" s="25" t="inlineStr">
        <is>
          <t>91.08.03-018</t>
        </is>
      </c>
      <c r="D27" s="171" t="inlineStr">
        <is>
          <t>Катки самоходные гладкие вибрационные, масса 13 т</t>
        </is>
      </c>
      <c r="E27" s="170" t="inlineStr">
        <is>
          <t>маш.час</t>
        </is>
      </c>
      <c r="F27" s="170" t="n">
        <v>82.5365</v>
      </c>
      <c r="G27" s="175" t="n">
        <v>286.56</v>
      </c>
      <c r="H27" s="175">
        <f>ROUND(F27*G27,2)</f>
        <v/>
      </c>
    </row>
    <row r="28" ht="31.7" customFormat="1" customHeight="1" s="152">
      <c r="A28" s="170" t="n">
        <v>14</v>
      </c>
      <c r="B28" s="170" t="n"/>
      <c r="C28" s="25" t="inlineStr">
        <is>
          <t>91.08.03-013</t>
        </is>
      </c>
      <c r="D28" s="171" t="inlineStr">
        <is>
          <t>Катки самоходные гладкие вибрационные, масса 9 т</t>
        </is>
      </c>
      <c r="E28" s="170" t="inlineStr">
        <is>
          <t>маш.час</t>
        </is>
      </c>
      <c r="F28" s="170" t="n">
        <v>72.1893</v>
      </c>
      <c r="G28" s="175" t="n">
        <v>243.15</v>
      </c>
      <c r="H28" s="175">
        <f>ROUND(F28*G28,2)</f>
        <v/>
      </c>
    </row>
    <row r="29" ht="15.75" customFormat="1" customHeight="1" s="152">
      <c r="A29" s="170" t="n">
        <v>15</v>
      </c>
      <c r="B29" s="170" t="n"/>
      <c r="C29" s="25" t="inlineStr">
        <is>
          <t>91.06.05-011</t>
        </is>
      </c>
      <c r="D29" s="171" t="inlineStr">
        <is>
          <t>Погрузчики, грузоподъемность 5 т</t>
        </is>
      </c>
      <c r="E29" s="170" t="inlineStr">
        <is>
          <t>маш.час</t>
        </is>
      </c>
      <c r="F29" s="170" t="n">
        <v>89.13205000000001</v>
      </c>
      <c r="G29" s="175" t="n">
        <v>89.98999999999999</v>
      </c>
      <c r="H29" s="175">
        <f>ROUND(F29*G29,2)</f>
        <v/>
      </c>
    </row>
    <row r="30" ht="31.7" customFormat="1" customHeight="1" s="152">
      <c r="A30" s="170" t="n">
        <v>16</v>
      </c>
      <c r="B30" s="170" t="n"/>
      <c r="C30" s="25" t="inlineStr">
        <is>
          <t>91.08.03-030</t>
        </is>
      </c>
      <c r="D30" s="171" t="inlineStr">
        <is>
          <t>Катки самоходные пневмоколесные статические, масса 30 т</t>
        </is>
      </c>
      <c r="E30" s="170" t="inlineStr">
        <is>
          <t>маш.час</t>
        </is>
      </c>
      <c r="F30" s="170" t="n">
        <v>14.29375</v>
      </c>
      <c r="G30" s="175" t="n">
        <v>364.07</v>
      </c>
      <c r="H30" s="175">
        <f>ROUND(F30*G30,2)</f>
        <v/>
      </c>
    </row>
    <row r="31" ht="31.7" customFormat="1" customHeight="1" s="152">
      <c r="A31" s="170" t="n">
        <v>17</v>
      </c>
      <c r="B31" s="170" t="n"/>
      <c r="C31" s="25" t="inlineStr">
        <is>
          <t>91.08.11-031</t>
        </is>
      </c>
      <c r="D31" s="171" t="inlineStr">
        <is>
          <t>Перегружатели асфальтовой смеси, емкость бункера до 25 т</t>
        </is>
      </c>
      <c r="E31" s="170" t="inlineStr">
        <is>
          <t>маш.час</t>
        </is>
      </c>
      <c r="F31" s="170" t="n">
        <v>3.00028</v>
      </c>
      <c r="G31" s="175" t="n">
        <v>1503.75</v>
      </c>
      <c r="H31" s="175">
        <f>ROUND(F31*G31,2)</f>
        <v/>
      </c>
    </row>
    <row r="32" ht="31.7" customFormat="1" customHeight="1" s="152">
      <c r="A32" s="170" t="n">
        <v>18</v>
      </c>
      <c r="B32" s="170" t="n"/>
      <c r="C32" s="25" t="inlineStr">
        <is>
          <t>91.01.02-004</t>
        </is>
      </c>
      <c r="D32" s="171" t="inlineStr">
        <is>
          <t>Автогрейдеры среднего типа, мощность 99 кВт (135 л.с.)</t>
        </is>
      </c>
      <c r="E32" s="170" t="inlineStr">
        <is>
          <t>маш.час</t>
        </is>
      </c>
      <c r="F32" s="170" t="n">
        <v>32.09832</v>
      </c>
      <c r="G32" s="175" t="n">
        <v>123</v>
      </c>
      <c r="H32" s="175">
        <f>ROUND(F32*G32,2)</f>
        <v/>
      </c>
    </row>
    <row r="33" ht="15.75" customFormat="1" customHeight="1" s="152">
      <c r="A33" s="170" t="n">
        <v>19</v>
      </c>
      <c r="B33" s="170" t="n"/>
      <c r="C33" s="25" t="inlineStr">
        <is>
          <t>91.13.01-038</t>
        </is>
      </c>
      <c r="D33" s="171" t="inlineStr">
        <is>
          <t>Машины поливомоечные 6000 л</t>
        </is>
      </c>
      <c r="E33" s="170" t="inlineStr">
        <is>
          <t>маш.час</t>
        </is>
      </c>
      <c r="F33" s="170" t="n">
        <v>28.93589</v>
      </c>
      <c r="G33" s="175" t="n">
        <v>110</v>
      </c>
      <c r="H33" s="175">
        <f>ROUND(F33*G33,2)</f>
        <v/>
      </c>
    </row>
    <row r="34" ht="31.7" customFormat="1" customHeight="1" s="152">
      <c r="A34" s="170" t="n">
        <v>20</v>
      </c>
      <c r="B34" s="170" t="n"/>
      <c r="C34" s="25" t="inlineStr">
        <is>
          <t>91.08.01-004</t>
        </is>
      </c>
      <c r="D34" s="171" t="inlineStr">
        <is>
          <t>Асфальтоукладчики гусеничные, ширина укладки от 2 до 5 м, скорость укладки 16 м/мин</t>
        </is>
      </c>
      <c r="E34" s="170" t="inlineStr">
        <is>
          <t>маш.час</t>
        </is>
      </c>
      <c r="F34" s="170" t="n">
        <v>3.00028</v>
      </c>
      <c r="G34" s="175" t="n">
        <v>694.79</v>
      </c>
      <c r="H34" s="175">
        <f>ROUND(F34*G34,2)</f>
        <v/>
      </c>
    </row>
    <row r="35" ht="31.7" customFormat="1" customHeight="1" s="152">
      <c r="A35" s="170" t="n">
        <v>21</v>
      </c>
      <c r="B35" s="170" t="n"/>
      <c r="C35" s="25" t="inlineStr">
        <is>
          <t>91.18.01-002</t>
        </is>
      </c>
      <c r="D35" s="171" t="inlineStr">
        <is>
          <t>Компрессоры передвижные, давление до 14 атм, производительность более 10 м3/мин</t>
        </is>
      </c>
      <c r="E35" s="170" t="inlineStr">
        <is>
          <t>маш.час</t>
        </is>
      </c>
      <c r="F35" s="170" t="n">
        <v>8.917999999999999</v>
      </c>
      <c r="G35" s="175" t="n">
        <v>126.72</v>
      </c>
      <c r="H35" s="175">
        <f>ROUND(F35*G35,2)</f>
        <v/>
      </c>
    </row>
    <row r="36" ht="31.7" customFormat="1" customHeight="1" s="152">
      <c r="A36" s="170" t="n">
        <v>22</v>
      </c>
      <c r="B36" s="170" t="n"/>
      <c r="C36" s="25" t="inlineStr">
        <is>
          <t>91.18.01-013</t>
        </is>
      </c>
      <c r="D36" s="171" t="inlineStr">
        <is>
          <t>Компрессоры передвижные, давление 2,0 МПа, производительность 60 м3/мин</t>
        </is>
      </c>
      <c r="E36" s="170" t="inlineStr">
        <is>
          <t>маш.час</t>
        </is>
      </c>
      <c r="F36" s="170" t="n">
        <v>5.28554</v>
      </c>
      <c r="G36" s="175" t="n">
        <v>203.2</v>
      </c>
      <c r="H36" s="175">
        <f>ROUND(F36*G36,2)</f>
        <v/>
      </c>
    </row>
    <row r="37" ht="31.7" customFormat="1" customHeight="1" s="152">
      <c r="A37" s="170" t="n">
        <v>23</v>
      </c>
      <c r="B37" s="170" t="n"/>
      <c r="C37" s="25" t="inlineStr">
        <is>
          <t>91.08.03-047</t>
        </is>
      </c>
      <c r="D37" s="171" t="inlineStr">
        <is>
          <t>Катки самоходные пневмоколесные статические, масса 12 т</t>
        </is>
      </c>
      <c r="E37" s="170" t="inlineStr">
        <is>
          <t>маш.час</t>
        </is>
      </c>
      <c r="F37" s="170" t="n">
        <v>3.63118</v>
      </c>
      <c r="G37" s="175" t="n">
        <v>236.79</v>
      </c>
      <c r="H37" s="175">
        <f>ROUND(F37*G37,2)</f>
        <v/>
      </c>
    </row>
    <row r="38" ht="31.7" customFormat="1" customHeight="1" s="152">
      <c r="A38" s="170" t="n">
        <v>24</v>
      </c>
      <c r="B38" s="170" t="n"/>
      <c r="C38" s="25" t="inlineStr">
        <is>
          <t>91.08.03-017</t>
        </is>
      </c>
      <c r="D38" s="171" t="inlineStr">
        <is>
          <t>Катки самоходные гладкие вибрационные, масса 10 т</t>
        </is>
      </c>
      <c r="E38" s="170" t="inlineStr">
        <is>
          <t>маш.час</t>
        </is>
      </c>
      <c r="F38" s="170" t="n">
        <v>3.00028</v>
      </c>
      <c r="G38" s="175" t="n">
        <v>247.24</v>
      </c>
      <c r="H38" s="175">
        <f>ROUND(F38*G38,2)</f>
        <v/>
      </c>
    </row>
    <row r="39" ht="31.7" customFormat="1" customHeight="1" s="152">
      <c r="A39" s="170" t="n">
        <v>25</v>
      </c>
      <c r="B39" s="170" t="n"/>
      <c r="C39" s="25" t="inlineStr">
        <is>
          <t>91.08.03-045</t>
        </is>
      </c>
      <c r="D39" s="171" t="inlineStr">
        <is>
          <t>Катки самоходные гладкие вибрационные, масса 7 т</t>
        </is>
      </c>
      <c r="E39" s="170" t="inlineStr">
        <is>
          <t>маш.час</t>
        </is>
      </c>
      <c r="F39" s="170" t="n">
        <v>2.11702</v>
      </c>
      <c r="G39" s="175" t="n">
        <v>216.98</v>
      </c>
      <c r="H39" s="175">
        <f>ROUND(F39*G39,2)</f>
        <v/>
      </c>
    </row>
    <row r="40" ht="31.7" customFormat="1" customHeight="1" s="152">
      <c r="A40" s="170" t="n">
        <v>26</v>
      </c>
      <c r="B40" s="170" t="n"/>
      <c r="C40" s="25" t="inlineStr">
        <is>
          <t>91.08.03-049</t>
        </is>
      </c>
      <c r="D40" s="171" t="inlineStr">
        <is>
          <t>Катки самоходные гладкие вибрационные, масса 14 т</t>
        </is>
      </c>
      <c r="E40" s="170" t="inlineStr">
        <is>
          <t>маш.час</t>
        </is>
      </c>
      <c r="F40" s="170" t="n">
        <v>1.35994</v>
      </c>
      <c r="G40" s="175" t="n">
        <v>298.31</v>
      </c>
      <c r="H40" s="175">
        <f>ROUND(F40*G40,2)</f>
        <v/>
      </c>
    </row>
    <row r="41" ht="31.7" customFormat="1" customHeight="1" s="152">
      <c r="A41" s="170" t="n">
        <v>27</v>
      </c>
      <c r="B41" s="170" t="n"/>
      <c r="C41" s="25" t="inlineStr">
        <is>
          <t>91.01.05-052</t>
        </is>
      </c>
      <c r="D41" s="171" t="inlineStr">
        <is>
          <t>Экскаваторы-планировщики на тракторе, емкость ковша 0,8 м3</t>
        </is>
      </c>
      <c r="E41" s="170" t="inlineStr">
        <is>
          <t>маш.час</t>
        </is>
      </c>
      <c r="F41" s="170" t="n">
        <v>2.821</v>
      </c>
      <c r="G41" s="175" t="n">
        <v>130.4</v>
      </c>
      <c r="H41" s="175">
        <f>ROUND(F41*G41,2)</f>
        <v/>
      </c>
    </row>
    <row r="42" ht="15.75" customFormat="1" customHeight="1" s="152">
      <c r="A42" s="170" t="n">
        <v>28</v>
      </c>
      <c r="B42" s="170" t="n"/>
      <c r="C42" s="25" t="inlineStr">
        <is>
          <t>91.01.01-035</t>
        </is>
      </c>
      <c r="D42" s="171" t="inlineStr">
        <is>
          <t>Бульдозеры, мощность 79 кВт (108 л.с.)</t>
        </is>
      </c>
      <c r="E42" s="170" t="inlineStr">
        <is>
          <t>маш.час</t>
        </is>
      </c>
      <c r="F42" s="170" t="n">
        <v>2.03442</v>
      </c>
      <c r="G42" s="175" t="n">
        <v>79.06999999999999</v>
      </c>
      <c r="H42" s="175">
        <f>ROUND(F42*G42,2)</f>
        <v/>
      </c>
    </row>
    <row r="43" ht="15.75" customFormat="1" customHeight="1" s="152">
      <c r="A43" s="170" t="n">
        <v>29</v>
      </c>
      <c r="B43" s="170" t="n"/>
      <c r="C43" s="25" t="inlineStr">
        <is>
          <t>91.01.01-034</t>
        </is>
      </c>
      <c r="D43" s="171" t="inlineStr">
        <is>
          <t>Бульдозеры, мощность 59 кВт (80 л.с.)</t>
        </is>
      </c>
      <c r="E43" s="170" t="inlineStr">
        <is>
          <t>маш.час</t>
        </is>
      </c>
      <c r="F43" s="170" t="n">
        <v>1.64735</v>
      </c>
      <c r="G43" s="175" t="n">
        <v>59.47</v>
      </c>
      <c r="H43" s="175">
        <f>ROUND(F43*G43,2)</f>
        <v/>
      </c>
    </row>
    <row r="44" ht="15.75" customFormat="1" customHeight="1" s="152">
      <c r="A44" s="170" t="n">
        <v>30</v>
      </c>
      <c r="B44" s="170" t="n"/>
      <c r="C44" s="25" t="inlineStr">
        <is>
          <t>91.08.11-041</t>
        </is>
      </c>
      <c r="D44" s="171" t="inlineStr">
        <is>
          <t>Разогреватели швов инфракрасные</t>
        </is>
      </c>
      <c r="E44" s="170" t="inlineStr">
        <is>
          <t>маш.час</t>
        </is>
      </c>
      <c r="F44" s="170" t="n">
        <v>3.00028</v>
      </c>
      <c r="G44" s="175" t="n">
        <v>19.4</v>
      </c>
      <c r="H44" s="175">
        <f>ROUND(F44*G44,2)</f>
        <v/>
      </c>
    </row>
    <row r="45" ht="15.75" customFormat="1" customHeight="1" s="152">
      <c r="A45" s="170" t="n">
        <v>31</v>
      </c>
      <c r="B45" s="170" t="n"/>
      <c r="C45" s="25" t="inlineStr">
        <is>
          <t>91.08.09-002</t>
        </is>
      </c>
      <c r="D45" s="171" t="inlineStr">
        <is>
          <t>Виброплиты электрические</t>
        </is>
      </c>
      <c r="E45" s="170" t="inlineStr">
        <is>
          <t>маш.час</t>
        </is>
      </c>
      <c r="F45" s="170" t="n">
        <v>5.369</v>
      </c>
      <c r="G45" s="175" t="n">
        <v>9.16</v>
      </c>
      <c r="H45" s="175">
        <f>ROUND(F45*G45,2)</f>
        <v/>
      </c>
    </row>
    <row r="46" ht="15.75" customFormat="1" customHeight="1" s="152">
      <c r="A46" s="170" t="n">
        <v>32</v>
      </c>
      <c r="B46" s="170" t="n"/>
      <c r="C46" s="25" t="inlineStr">
        <is>
          <t>91.08.07-011</t>
        </is>
      </c>
      <c r="D46" s="171" t="inlineStr">
        <is>
          <t>Распределители каменной мелочи</t>
        </is>
      </c>
      <c r="E46" s="170" t="inlineStr">
        <is>
          <t>маш.час</t>
        </is>
      </c>
      <c r="F46" s="170" t="n">
        <v>0.39957</v>
      </c>
      <c r="G46" s="175" t="n">
        <v>116.64</v>
      </c>
      <c r="H46" s="175">
        <f>ROUND(F46*G46,2)</f>
        <v/>
      </c>
    </row>
    <row r="47" ht="15.75" customFormat="1" customHeight="1" s="152">
      <c r="A47" s="170" t="n">
        <v>33</v>
      </c>
      <c r="B47" s="170" t="n"/>
      <c r="C47" s="25" t="inlineStr">
        <is>
          <t>91.08.06-001</t>
        </is>
      </c>
      <c r="D47" s="171" t="inlineStr">
        <is>
          <t>Нарезчики швов, мощность 20,5 кВт (28 л.с.)</t>
        </is>
      </c>
      <c r="E47" s="170" t="inlineStr">
        <is>
          <t>маш.час</t>
        </is>
      </c>
      <c r="F47" s="170" t="n">
        <v>2.13104</v>
      </c>
      <c r="G47" s="175" t="n">
        <v>19.04</v>
      </c>
      <c r="H47" s="175">
        <f>ROUND(F47*G47,2)</f>
        <v/>
      </c>
    </row>
    <row r="48" ht="15.75" customFormat="1" customHeight="1" s="152">
      <c r="A48" s="170" t="n">
        <v>34</v>
      </c>
      <c r="B48" s="170" t="n"/>
      <c r="C48" s="25" t="inlineStr">
        <is>
          <t>91.01.01-038</t>
        </is>
      </c>
      <c r="D48" s="171" t="inlineStr">
        <is>
          <t>Бульдозеры, мощность 121 кВт (165 л.с.)</t>
        </is>
      </c>
      <c r="E48" s="170" t="inlineStr">
        <is>
          <t>маш.час</t>
        </is>
      </c>
      <c r="F48" s="170" t="n">
        <v>0.31989</v>
      </c>
      <c r="G48" s="175" t="n">
        <v>122.4</v>
      </c>
      <c r="H48" s="175">
        <f>ROUND(F48*G48,2)</f>
        <v/>
      </c>
    </row>
    <row r="49" ht="31.7" customFormat="1" customHeight="1" s="152">
      <c r="A49" s="170" t="n">
        <v>35</v>
      </c>
      <c r="B49" s="170" t="n"/>
      <c r="C49" s="25" t="inlineStr">
        <is>
          <t>91.01.05-086</t>
        </is>
      </c>
      <c r="D49" s="171" t="inlineStr">
        <is>
          <t>Экскаваторы одноковшовые дизельные на гусеничном ходу, емкость ковша 0,65 м3</t>
        </is>
      </c>
      <c r="E49" s="170" t="inlineStr">
        <is>
          <t>маш.час</t>
        </is>
      </c>
      <c r="F49" s="170" t="n">
        <v>0.2709</v>
      </c>
      <c r="G49" s="175" t="n">
        <v>115.27</v>
      </c>
      <c r="H49" s="175">
        <f>ROUND(F49*G49,2)</f>
        <v/>
      </c>
    </row>
    <row r="50" ht="31.7" customFormat="1" customHeight="1" s="152">
      <c r="A50" s="170" t="n">
        <v>36</v>
      </c>
      <c r="B50" s="170" t="n"/>
      <c r="C50" s="25" t="inlineStr">
        <is>
          <t>91.13.03-112</t>
        </is>
      </c>
      <c r="D50" s="171" t="inlineStr">
        <is>
          <t>Спецавтомобили-вездеходы, грузоподъемность до 1,5 т</t>
        </is>
      </c>
      <c r="E50" s="170" t="inlineStr">
        <is>
          <t>маш.час</t>
        </is>
      </c>
      <c r="F50" s="170" t="n">
        <v>0.2804</v>
      </c>
      <c r="G50" s="175" t="n">
        <v>92.86</v>
      </c>
      <c r="H50" s="175">
        <f>ROUND(F50*G50,2)</f>
        <v/>
      </c>
    </row>
    <row r="51" ht="31.7" customFormat="1" customHeight="1" s="152">
      <c r="A51" s="170" t="n">
        <v>37</v>
      </c>
      <c r="B51" s="170" t="n"/>
      <c r="C51" s="25" t="inlineStr">
        <is>
          <t>91.04.01-033</t>
        </is>
      </c>
      <c r="D51" s="171" t="inlineStr">
        <is>
          <t>Машины бурильные на тракторе 85 кВт (115 л.с.), глубина бурения 3,5 м</t>
        </is>
      </c>
      <c r="E51" s="170" t="inlineStr">
        <is>
          <t>маш.час</t>
        </is>
      </c>
      <c r="F51" s="170" t="n">
        <v>0.11</v>
      </c>
      <c r="G51" s="175" t="n">
        <v>187.68</v>
      </c>
      <c r="H51" s="175">
        <f>ROUND(F51*G51,2)</f>
        <v/>
      </c>
    </row>
    <row r="52" ht="47.25" customFormat="1" customHeight="1" s="152">
      <c r="A52" s="170" t="n">
        <v>38</v>
      </c>
      <c r="B52" s="170" t="n"/>
      <c r="C52" s="25" t="inlineStr">
        <is>
          <t>91.21.10-003</t>
        </is>
      </c>
      <c r="D52" s="171" t="inlineStr">
        <is>
          <t>Молотки при работе от передвижных компрессорных станций отбойные пневматические</t>
        </is>
      </c>
      <c r="E52" s="170" t="inlineStr">
        <is>
          <t>маш.час</t>
        </is>
      </c>
      <c r="F52" s="170" t="n">
        <v>1.6123</v>
      </c>
      <c r="G52" s="175" t="n">
        <v>1.53</v>
      </c>
      <c r="H52" s="175">
        <f>ROUND(F52*G52,2)</f>
        <v/>
      </c>
    </row>
    <row r="53" ht="31.7" customFormat="1" customHeight="1" s="152">
      <c r="A53" s="170" t="n">
        <v>39</v>
      </c>
      <c r="B53" s="170" t="n"/>
      <c r="C53" s="25" t="inlineStr">
        <is>
          <t>91.06.03-049</t>
        </is>
      </c>
      <c r="D53" s="171" t="inlineStr">
        <is>
          <t>Лебедки ручные и рычажные тяговым усилием до 9,81 кН (1 т)</t>
        </is>
      </c>
      <c r="E53" s="170" t="inlineStr">
        <is>
          <t>маш.час</t>
        </is>
      </c>
      <c r="F53" s="170" t="n">
        <v>3.42088</v>
      </c>
      <c r="G53" s="175" t="n">
        <v>0.58</v>
      </c>
      <c r="H53" s="175">
        <f>ROUND(F53*G53,2)</f>
        <v/>
      </c>
    </row>
    <row r="54" ht="31.7" customFormat="1" customHeight="1" s="152">
      <c r="A54" s="170" t="n">
        <v>40</v>
      </c>
      <c r="B54" s="170" t="n"/>
      <c r="C54" s="25" t="inlineStr">
        <is>
          <t>91.05.05-015</t>
        </is>
      </c>
      <c r="D54" s="171" t="inlineStr">
        <is>
          <t>Краны на автомобильном ходу, грузоподъемность 16 т</t>
        </is>
      </c>
      <c r="E54" s="170" t="inlineStr">
        <is>
          <t>маш.час</t>
        </is>
      </c>
      <c r="F54" s="170" t="n">
        <v>0.0152</v>
      </c>
      <c r="G54" s="175" t="n">
        <v>115.4</v>
      </c>
      <c r="H54" s="175">
        <f>ROUND(F54*G54,2)</f>
        <v/>
      </c>
    </row>
    <row r="55" ht="15.75" customFormat="1" customHeight="1" s="152">
      <c r="A55" s="170" t="n">
        <v>41</v>
      </c>
      <c r="B55" s="170" t="n"/>
      <c r="C55" s="25" t="inlineStr">
        <is>
          <t>91.14.02-001</t>
        </is>
      </c>
      <c r="D55" s="171" t="inlineStr">
        <is>
          <t>Автомобили бортовые, грузоподъемность до 5 т</t>
        </is>
      </c>
      <c r="E55" s="170" t="inlineStr">
        <is>
          <t>маш.час</t>
        </is>
      </c>
      <c r="F55" s="170" t="n">
        <v>0.0201</v>
      </c>
      <c r="G55" s="175" t="n">
        <v>65.70999999999999</v>
      </c>
      <c r="H55" s="175">
        <f>ROUND(F55*G55,2)</f>
        <v/>
      </c>
    </row>
    <row r="56" ht="15.75" customFormat="1" customHeight="1" s="15">
      <c r="A56" s="169" t="inlineStr">
        <is>
          <t>Материалы</t>
        </is>
      </c>
      <c r="B56" s="205" t="n"/>
      <c r="C56" s="205" t="n"/>
      <c r="D56" s="205" t="n"/>
      <c r="E56" s="206" t="n"/>
      <c r="F56" s="169" t="n"/>
      <c r="G56" s="20" t="n"/>
      <c r="H56" s="20">
        <f>SUM(H57:H81)</f>
        <v/>
      </c>
    </row>
    <row r="57" ht="31.7" customFormat="1" customHeight="1" s="152">
      <c r="A57" s="170" t="n">
        <v>42</v>
      </c>
      <c r="B57" s="170" t="n"/>
      <c r="C57" s="25" t="inlineStr">
        <is>
          <t>02.2.04.04-0006</t>
        </is>
      </c>
      <c r="D57" s="171" t="inlineStr">
        <is>
          <t>Смеси готовые щебеночно-песчаные (ГОСТ 25607-2009) номер: С6, размер зерен 0-20 мм</t>
        </is>
      </c>
      <c r="E57" s="170" t="inlineStr">
        <is>
          <t>м3</t>
        </is>
      </c>
      <c r="F57" s="170" t="n">
        <v>1465</v>
      </c>
      <c r="G57" s="175" t="n">
        <v>157.78</v>
      </c>
      <c r="H57" s="175">
        <f>ROUND(F57*G57,2)</f>
        <v/>
      </c>
    </row>
    <row r="58" ht="47.25" customFormat="1" customHeight="1" s="152">
      <c r="A58" s="170" t="n">
        <v>43</v>
      </c>
      <c r="B58" s="170" t="n"/>
      <c r="C58" s="25" t="inlineStr">
        <is>
          <t>04.2.05.01-0009</t>
        </is>
      </c>
      <c r="D58" s="171" t="inlineStr">
        <is>
          <t>Смеси асфальтобетонные дорожные горячие мелкозернистые, щебеночно-мастичные, вид ЩМА-15</t>
        </is>
      </c>
      <c r="E58" s="170" t="inlineStr">
        <is>
          <t>т</t>
        </is>
      </c>
      <c r="F58" s="170" t="n">
        <v>89.44799999999999</v>
      </c>
      <c r="G58" s="175" t="n">
        <v>532.15</v>
      </c>
      <c r="H58" s="175">
        <f>ROUND(F58*G58,2)</f>
        <v/>
      </c>
    </row>
    <row r="59" ht="15.75" customFormat="1" customHeight="1" s="152">
      <c r="A59" s="170" t="n">
        <v>44</v>
      </c>
      <c r="B59" s="170" t="n"/>
      <c r="C59" s="25" t="inlineStr">
        <is>
          <t>02.2.05.04-1822</t>
        </is>
      </c>
      <c r="D59" s="171" t="inlineStr">
        <is>
          <t>Щебень М 1000, фракция 40-80(70) мм, группа 2</t>
        </is>
      </c>
      <c r="E59" s="170" t="inlineStr">
        <is>
          <t>м3</t>
        </is>
      </c>
      <c r="F59" s="170" t="n">
        <v>194.796</v>
      </c>
      <c r="G59" s="175" t="n">
        <v>155.94</v>
      </c>
      <c r="H59" s="175">
        <f>ROUND(F59*G59,2)</f>
        <v/>
      </c>
    </row>
    <row r="60" ht="15.75" customFormat="1" customHeight="1" s="152">
      <c r="A60" s="170" t="n">
        <v>45</v>
      </c>
      <c r="B60" s="170" t="n"/>
      <c r="C60" s="25" t="inlineStr">
        <is>
          <t>02.2.05.04-1827</t>
        </is>
      </c>
      <c r="D60" s="171" t="inlineStr">
        <is>
          <t>Щебень М 1200, фракция 40-80(70) мм, группа 2</t>
        </is>
      </c>
      <c r="E60" s="170" t="inlineStr">
        <is>
          <t>м3</t>
        </is>
      </c>
      <c r="F60" s="170" t="n">
        <v>264.978</v>
      </c>
      <c r="G60" s="175" t="n">
        <v>103</v>
      </c>
      <c r="H60" s="175">
        <f>ROUND(F60*G60,2)</f>
        <v/>
      </c>
    </row>
    <row r="61" ht="15.75" customFormat="1" customHeight="1" s="152">
      <c r="A61" s="170" t="n">
        <v>46</v>
      </c>
      <c r="B61" s="170" t="n"/>
      <c r="C61" s="25" t="inlineStr">
        <is>
          <t>01.7.12.07-0112</t>
        </is>
      </c>
      <c r="D61" s="171" t="inlineStr">
        <is>
          <t>Георешетка объемная Геоспан ОР 30/10</t>
        </is>
      </c>
      <c r="E61" s="170" t="inlineStr">
        <is>
          <t>м2</t>
        </is>
      </c>
      <c r="F61" s="170" t="n">
        <v>454.73</v>
      </c>
      <c r="G61" s="175" t="n">
        <v>50.18</v>
      </c>
      <c r="H61" s="175">
        <f>ROUND(F61*G61,2)</f>
        <v/>
      </c>
    </row>
    <row r="62" ht="47.25" customFormat="1" customHeight="1" s="152">
      <c r="A62" s="170" t="n">
        <v>47</v>
      </c>
      <c r="B62" s="170" t="n"/>
      <c r="C62" s="25" t="inlineStr">
        <is>
          <t>02.4.02.01-0012</t>
        </is>
      </c>
      <c r="D62" s="171" t="inlineStr">
        <is>
          <t>Смесь щебеночно-песчаная готовая из шлаков черной металлургии М 1000-1200, размер не более 40 мм</t>
        </is>
      </c>
      <c r="E62" s="170" t="inlineStr">
        <is>
          <t>м3</t>
        </is>
      </c>
      <c r="F62" s="170" t="n">
        <v>81.90000000000001</v>
      </c>
      <c r="G62" s="175" t="n">
        <v>115.37</v>
      </c>
      <c r="H62" s="175">
        <f>ROUND(F62*G62,2)</f>
        <v/>
      </c>
    </row>
    <row r="63" ht="15.75" customFormat="1" customHeight="1" s="152">
      <c r="A63" s="170" t="n">
        <v>48</v>
      </c>
      <c r="B63" s="170" t="n"/>
      <c r="C63" s="25" t="inlineStr">
        <is>
          <t>02.2.05.04-1772</t>
        </is>
      </c>
      <c r="D63" s="171" t="inlineStr">
        <is>
          <t>Щебень М 600, фракция 20-40 мм, группа 2</t>
        </is>
      </c>
      <c r="E63" s="170" t="inlineStr">
        <is>
          <t>м3</t>
        </is>
      </c>
      <c r="F63" s="170" t="n">
        <v>52.7</v>
      </c>
      <c r="G63" s="175" t="n">
        <v>114.13</v>
      </c>
      <c r="H63" s="175">
        <f>ROUND(F63*G63,2)</f>
        <v/>
      </c>
    </row>
    <row r="64" ht="15.75" customFormat="1" customHeight="1" s="152">
      <c r="A64" s="170" t="n">
        <v>49</v>
      </c>
      <c r="B64" s="170" t="n"/>
      <c r="C64" s="25" t="inlineStr">
        <is>
          <t>02.2.05.04-1707</t>
        </is>
      </c>
      <c r="D64" s="171" t="inlineStr">
        <is>
          <t>Щебень М 1200, фракция 10-20 мм, группа 2</t>
        </is>
      </c>
      <c r="E64" s="170" t="inlineStr">
        <is>
          <t>м3</t>
        </is>
      </c>
      <c r="F64" s="170" t="n">
        <v>10.515</v>
      </c>
      <c r="G64" s="175" t="n">
        <v>130</v>
      </c>
      <c r="H64" s="175">
        <f>ROUND(F64*G64,2)</f>
        <v/>
      </c>
    </row>
    <row r="65" ht="15.75" customFormat="1" customHeight="1" s="152">
      <c r="A65" s="170" t="n">
        <v>50</v>
      </c>
      <c r="B65" s="170" t="n"/>
      <c r="C65" s="25" t="inlineStr">
        <is>
          <t>02.2.05.04-1702</t>
        </is>
      </c>
      <c r="D65" s="171" t="inlineStr">
        <is>
          <t>Щебень М 1000, фракция 10-20 мм, группа 2</t>
        </is>
      </c>
      <c r="E65" s="170" t="inlineStr">
        <is>
          <t>м3</t>
        </is>
      </c>
      <c r="F65" s="170" t="n">
        <v>10.304</v>
      </c>
      <c r="G65" s="175" t="n">
        <v>130</v>
      </c>
      <c r="H65" s="175">
        <f>ROUND(F65*G65,2)</f>
        <v/>
      </c>
    </row>
    <row r="66" ht="47.25" customFormat="1" customHeight="1" s="152">
      <c r="A66" s="170" t="n">
        <v>51</v>
      </c>
      <c r="B66" s="170" t="n"/>
      <c r="C66" s="25" t="inlineStr">
        <is>
          <t>08.4.03.03-0031</t>
        </is>
      </c>
      <c r="D66" s="171" t="inlineStr">
        <is>
          <t>Сталь арматурная, горячекатаная, периодического профиля, класс А-III, диаметр 10 мм</t>
        </is>
      </c>
      <c r="E66" s="170" t="inlineStr">
        <is>
          <t>т</t>
        </is>
      </c>
      <c r="F66" s="170" t="n">
        <v>0.123</v>
      </c>
      <c r="G66" s="175" t="n">
        <v>8014.15</v>
      </c>
      <c r="H66" s="175">
        <f>ROUND(F66*G66,2)</f>
        <v/>
      </c>
    </row>
    <row r="67" ht="15.75" customFormat="1" customHeight="1" s="152">
      <c r="A67" s="170" t="n">
        <v>52</v>
      </c>
      <c r="B67" s="170" t="n"/>
      <c r="C67" s="25" t="inlineStr">
        <is>
          <t>02.2.05.04-1581</t>
        </is>
      </c>
      <c r="D67" s="171" t="inlineStr">
        <is>
          <t>Щебень М 1000, фракция 5(3)-10 мм, группа 1</t>
        </is>
      </c>
      <c r="E67" s="170" t="inlineStr">
        <is>
          <t>м3</t>
        </is>
      </c>
      <c r="F67" s="170" t="n">
        <v>6.72</v>
      </c>
      <c r="G67" s="175" t="n">
        <v>139.4</v>
      </c>
      <c r="H67" s="175">
        <f>ROUND(F67*G67,2)</f>
        <v/>
      </c>
    </row>
    <row r="68" ht="31.7" customFormat="1" customHeight="1" s="152">
      <c r="A68" s="170" t="n">
        <v>53</v>
      </c>
      <c r="B68" s="170" t="n"/>
      <c r="C68" s="25" t="inlineStr">
        <is>
          <t>01.7.17.06-0061</t>
        </is>
      </c>
      <c r="D68" s="171" t="inlineStr">
        <is>
          <t>Диск алмазный для твердых материалов, диаметр 350 мм</t>
        </is>
      </c>
      <c r="E68" s="170" t="inlineStr">
        <is>
          <t>шт</t>
        </is>
      </c>
      <c r="F68" s="170" t="n">
        <v>1.096364</v>
      </c>
      <c r="G68" s="175" t="n">
        <v>737</v>
      </c>
      <c r="H68" s="175">
        <f>ROUND(F68*G68,2)</f>
        <v/>
      </c>
    </row>
    <row r="69" ht="15.75" customFormat="1" customHeight="1" s="152">
      <c r="A69" s="170" t="n">
        <v>54</v>
      </c>
      <c r="B69" s="170" t="n"/>
      <c r="C69" s="25" t="inlineStr">
        <is>
          <t>01.7.03.01-0001</t>
        </is>
      </c>
      <c r="D69" s="171" t="inlineStr">
        <is>
          <t>Вода</t>
        </is>
      </c>
      <c r="E69" s="170" t="inlineStr">
        <is>
          <t>м3</t>
        </is>
      </c>
      <c r="F69" s="170" t="n">
        <v>172.0975</v>
      </c>
      <c r="G69" s="175" t="n">
        <v>2.44</v>
      </c>
      <c r="H69" s="175">
        <f>ROUND(F69*G69,2)</f>
        <v/>
      </c>
    </row>
    <row r="70" ht="15.75" customFormat="1" customHeight="1" s="152">
      <c r="A70" s="170" t="n">
        <v>55</v>
      </c>
      <c r="B70" s="170" t="n"/>
      <c r="C70" s="25" t="inlineStr">
        <is>
          <t>01.7.15.02-0051</t>
        </is>
      </c>
      <c r="D70" s="171" t="inlineStr">
        <is>
          <t>Болты анкерные</t>
        </is>
      </c>
      <c r="E70" s="170" t="inlineStr">
        <is>
          <t>т</t>
        </is>
      </c>
      <c r="F70" s="170" t="n">
        <v>0.016824</v>
      </c>
      <c r="G70" s="175" t="n">
        <v>10068</v>
      </c>
      <c r="H70" s="175">
        <f>ROUND(F70*G70,2)</f>
        <v/>
      </c>
    </row>
    <row r="71" ht="63" customFormat="1" customHeight="1" s="152">
      <c r="A71" s="170" t="n">
        <v>56</v>
      </c>
      <c r="B71" s="170" t="n"/>
      <c r="C71" s="25" t="inlineStr">
        <is>
          <t>01.5.03.03-0053</t>
        </is>
      </c>
      <c r="D71" s="171" t="inlineStr">
        <is>
          <t>Знак дорожный на оцинкованной подоснове со световозвращающей пленкой предупреждающий, размер 900х900х900 мм, 1.1, 1.2, 1.5-1.33</t>
        </is>
      </c>
      <c r="E71" s="170" t="inlineStr">
        <is>
          <t>шт</t>
        </is>
      </c>
      <c r="F71" s="170" t="n">
        <v>1</v>
      </c>
      <c r="G71" s="175" t="n">
        <v>164.86</v>
      </c>
      <c r="H71" s="175">
        <f>ROUND(F71*G71,2)</f>
        <v/>
      </c>
    </row>
    <row r="72" ht="15.75" customFormat="1" customHeight="1" s="152">
      <c r="A72" s="170" t="n">
        <v>57</v>
      </c>
      <c r="B72" s="170" t="n"/>
      <c r="C72" s="25" t="inlineStr">
        <is>
          <t>01.7.07.26-0032</t>
        </is>
      </c>
      <c r="D72" s="171" t="inlineStr">
        <is>
          <t>Шнур полиамидный крученый, диаметр 2 мм</t>
        </is>
      </c>
      <c r="E72" s="170" t="inlineStr">
        <is>
          <t>т</t>
        </is>
      </c>
      <c r="F72" s="170" t="n">
        <v>0.0033648</v>
      </c>
      <c r="G72" s="175" t="n">
        <v>40650</v>
      </c>
      <c r="H72" s="175">
        <f>ROUND(F72*G72,2)</f>
        <v/>
      </c>
    </row>
    <row r="73" ht="31.7" customFormat="1" customHeight="1" s="152">
      <c r="A73" s="170" t="n">
        <v>58</v>
      </c>
      <c r="B73" s="170" t="n"/>
      <c r="C73" s="25" t="inlineStr">
        <is>
          <t>01.5.03.05-0011</t>
        </is>
      </c>
      <c r="D73" s="171" t="inlineStr">
        <is>
          <t>Стойка металлическая для дорожного знака, диаметр 57 мм</t>
        </is>
      </c>
      <c r="E73" s="170" t="inlineStr">
        <is>
          <t>шт</t>
        </is>
      </c>
      <c r="F73" s="170" t="n">
        <v>1</v>
      </c>
      <c r="G73" s="175" t="n">
        <v>130.33</v>
      </c>
      <c r="H73" s="175">
        <f>ROUND(F73*G73,2)</f>
        <v/>
      </c>
    </row>
    <row r="74" ht="15.75" customFormat="1" customHeight="1" s="152">
      <c r="A74" s="170" t="n">
        <v>59</v>
      </c>
      <c r="B74" s="170" t="n"/>
      <c r="C74" s="25" t="inlineStr">
        <is>
          <t>01.7.03.01-0002</t>
        </is>
      </c>
      <c r="D74" s="171" t="inlineStr">
        <is>
          <t>Вода водопроводная</t>
        </is>
      </c>
      <c r="E74" s="170" t="inlineStr">
        <is>
          <t>м3</t>
        </is>
      </c>
      <c r="F74" s="170" t="n">
        <v>29.38592</v>
      </c>
      <c r="G74" s="175" t="n">
        <v>3.15</v>
      </c>
      <c r="H74" s="175">
        <f>ROUND(F74*G74,2)</f>
        <v/>
      </c>
    </row>
    <row r="75" ht="15.75" customFormat="1" customHeight="1" s="152">
      <c r="A75" s="170" t="n">
        <v>60</v>
      </c>
      <c r="B75" s="170" t="n"/>
      <c r="C75" s="25" t="inlineStr">
        <is>
          <t>01.2.03.07-0023</t>
        </is>
      </c>
      <c r="D75" s="171" t="inlineStr">
        <is>
          <t>Эмульсия битумно-дорожная</t>
        </is>
      </c>
      <c r="E75" s="170" t="inlineStr">
        <is>
          <t>т</t>
        </is>
      </c>
      <c r="F75" s="170" t="n">
        <v>0.00701</v>
      </c>
      <c r="G75" s="175" t="n">
        <v>1554.2</v>
      </c>
      <c r="H75" s="175">
        <f>ROUND(F75*G75,2)</f>
        <v/>
      </c>
    </row>
    <row r="76" ht="15.75" customFormat="1" customHeight="1" s="152">
      <c r="A76" s="170" t="n">
        <v>61</v>
      </c>
      <c r="B76" s="170" t="n"/>
      <c r="C76" s="25" t="inlineStr">
        <is>
          <t>01.7.15.02-0083</t>
        </is>
      </c>
      <c r="D76" s="171" t="inlineStr">
        <is>
          <t>Болты с шестигранной головкой, диаметр 10 мм</t>
        </is>
      </c>
      <c r="E76" s="170" t="inlineStr">
        <is>
          <t>т</t>
        </is>
      </c>
      <c r="F76" s="170" t="n">
        <v>0.00048</v>
      </c>
      <c r="G76" s="175" t="n">
        <v>19400</v>
      </c>
      <c r="H76" s="175">
        <f>ROUND(F76*G76,2)</f>
        <v/>
      </c>
    </row>
    <row r="77" ht="15.75" customFormat="1" customHeight="1" s="152">
      <c r="A77" s="170" t="n">
        <v>62</v>
      </c>
      <c r="B77" s="170" t="n"/>
      <c r="C77" s="25" t="inlineStr">
        <is>
          <t>14.4.01.08-0001</t>
        </is>
      </c>
      <c r="D77" s="171" t="inlineStr">
        <is>
          <t>Грунтовка В-КФ-093</t>
        </is>
      </c>
      <c r="E77" s="170" t="inlineStr">
        <is>
          <t>т</t>
        </is>
      </c>
      <c r="F77" s="170" t="n">
        <v>0.0001935</v>
      </c>
      <c r="G77" s="175" t="n">
        <v>35003</v>
      </c>
      <c r="H77" s="175">
        <f>ROUND(F77*G77,2)</f>
        <v/>
      </c>
    </row>
    <row r="78" ht="15.75" customFormat="1" customHeight="1" s="152">
      <c r="A78" s="170" t="n">
        <v>63</v>
      </c>
      <c r="B78" s="170" t="n"/>
      <c r="C78" s="25" t="inlineStr">
        <is>
          <t>08.1.02.11-0001</t>
        </is>
      </c>
      <c r="D78" s="171" t="inlineStr">
        <is>
          <t>Поковки из квадратных заготовок, масса 1,8 кг</t>
        </is>
      </c>
      <c r="E78" s="170" t="inlineStr">
        <is>
          <t>т</t>
        </is>
      </c>
      <c r="F78" s="170" t="n">
        <v>0.0011216</v>
      </c>
      <c r="G78" s="175" t="n">
        <v>5989</v>
      </c>
      <c r="H78" s="175">
        <f>ROUND(F78*G78,2)</f>
        <v/>
      </c>
    </row>
    <row r="79" ht="31.7" customFormat="1" customHeight="1" s="152">
      <c r="A79" s="170" t="n">
        <v>64</v>
      </c>
      <c r="B79" s="170" t="n"/>
      <c r="C79" s="25" t="inlineStr">
        <is>
          <t>08.4.03.02-0007</t>
        </is>
      </c>
      <c r="D79" s="171" t="inlineStr">
        <is>
          <t>Сталь арматурная, горячекатаная, гладкая, класс А-I, диаметр 20-22 мм</t>
        </is>
      </c>
      <c r="E79" s="170" t="inlineStr">
        <is>
          <t>т</t>
        </is>
      </c>
      <c r="F79" s="170" t="n">
        <v>0.0011216</v>
      </c>
      <c r="G79" s="175" t="n">
        <v>5520</v>
      </c>
      <c r="H79" s="175">
        <f>ROUND(F79*G79,2)</f>
        <v/>
      </c>
    </row>
    <row r="80" ht="15.75" customFormat="1" customHeight="1" s="152">
      <c r="A80" s="170" t="n">
        <v>65</v>
      </c>
      <c r="B80" s="170" t="n"/>
      <c r="C80" s="25" t="inlineStr">
        <is>
          <t>14.4.04.08-0003</t>
        </is>
      </c>
      <c r="D80" s="171" t="inlineStr">
        <is>
          <t>Эмаль ПФ-115, серая</t>
        </is>
      </c>
      <c r="E80" s="170" t="inlineStr">
        <is>
          <t>т</t>
        </is>
      </c>
      <c r="F80" s="170" t="n">
        <v>5.62e-05</v>
      </c>
      <c r="G80" s="175" t="n">
        <v>14312.87</v>
      </c>
      <c r="H80" s="175">
        <f>ROUND(F80*G80,2)</f>
        <v/>
      </c>
    </row>
    <row r="81" ht="15.75" customFormat="1" customHeight="1" s="152">
      <c r="A81" s="170" t="n">
        <v>66</v>
      </c>
      <c r="B81" s="170" t="n"/>
      <c r="C81" s="25" t="inlineStr">
        <is>
          <t>14.5.09.07-0031</t>
        </is>
      </c>
      <c r="D81" s="171" t="inlineStr">
        <is>
          <t>Растворитель Р-4А</t>
        </is>
      </c>
      <c r="E81" s="170" t="inlineStr">
        <is>
          <t>т</t>
        </is>
      </c>
      <c r="F81" s="170" t="n">
        <v>3.38e-05</v>
      </c>
      <c r="G81" s="175" t="n">
        <v>5479.9</v>
      </c>
      <c r="H81" s="175">
        <f>ROUND(F81*G81,2)</f>
        <v/>
      </c>
    </row>
    <row r="82" ht="15.75" customFormat="1" customHeight="1" s="152"/>
    <row r="83" ht="15.75" customFormat="1" customHeight="1" s="152"/>
    <row r="84" ht="15.75" customFormat="1" customHeight="1" s="152"/>
    <row r="85" ht="15.75" customFormat="1" customHeight="1" s="152"/>
    <row r="86" ht="15.75" customFormat="1" customHeight="1" s="152">
      <c r="B86" s="152" t="inlineStr">
        <is>
          <t>Составил ______________________        М.С. Колотиевская</t>
        </is>
      </c>
      <c r="C86" s="152" t="n"/>
    </row>
    <row r="87" ht="15.75" customFormat="1" customHeight="1" s="152">
      <c r="B87" s="98" t="inlineStr">
        <is>
          <t xml:space="preserve">                         (подпись, инициалы, фамилия)</t>
        </is>
      </c>
      <c r="C87" s="152" t="n"/>
    </row>
    <row r="88" ht="15.75" customFormat="1" customHeight="1" s="152">
      <c r="B88" s="152" t="n"/>
      <c r="C88" s="152" t="n"/>
    </row>
    <row r="89" ht="15.75" customFormat="1" customHeight="1" s="152">
      <c r="B89" s="152" t="inlineStr">
        <is>
          <t>Проверил ______________________          А.В. Костянецкая</t>
        </is>
      </c>
      <c r="C89" s="152" t="n"/>
    </row>
    <row r="90" ht="15.75" customFormat="1" customHeight="1" s="152">
      <c r="B90" s="98" t="inlineStr">
        <is>
          <t xml:space="preserve">                        (подпись, инициалы, фамилия)</t>
        </is>
      </c>
      <c r="C90" s="152" t="n"/>
    </row>
    <row r="91" ht="15.75" customFormat="1" customHeight="1" s="152"/>
  </sheetData>
  <mergeCells count="15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25:E25"/>
    <mergeCell ref="A23:E23"/>
    <mergeCell ref="C4:H4"/>
    <mergeCell ref="G9:H9"/>
    <mergeCell ref="A56:E56"/>
    <mergeCell ref="A6:H6"/>
  </mergeCells>
  <conditionalFormatting sqref="F11:F81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39" zoomScale="130" zoomScaleNormal="100" zoomScaleSheetLayoutView="130" workbookViewId="0">
      <selection activeCell="D66" sqref="D66"/>
    </sheetView>
  </sheetViews>
  <sheetFormatPr baseColWidth="8" defaultColWidth="9.140625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20.85546875" customWidth="1" style="150" min="5" max="5"/>
    <col width="9.140625" customWidth="1" style="150" min="6" max="10"/>
    <col width="13.5703125" customWidth="1" style="150" min="11" max="11"/>
    <col width="9.140625" customWidth="1" style="150" min="12" max="12"/>
  </cols>
  <sheetData>
    <row r="1" ht="15.75" customHeight="1" s="150">
      <c r="A1" s="73" t="n"/>
      <c r="B1" s="152" t="n"/>
      <c r="C1" s="152" t="n"/>
      <c r="D1" s="152" t="n"/>
      <c r="E1" s="152" t="n"/>
    </row>
    <row r="2" ht="15.75" customHeight="1" s="150">
      <c r="B2" s="152" t="n"/>
      <c r="C2" s="152" t="n"/>
      <c r="D2" s="152" t="n"/>
      <c r="E2" s="180" t="inlineStr">
        <is>
          <t>Приложение № 4</t>
        </is>
      </c>
    </row>
    <row r="3" ht="15.75" customHeight="1" s="150">
      <c r="B3" s="152" t="n"/>
      <c r="C3" s="152" t="n"/>
      <c r="D3" s="152" t="n"/>
      <c r="E3" s="152" t="n"/>
    </row>
    <row r="4" ht="15.75" customHeight="1" s="150">
      <c r="B4" s="152" t="n"/>
      <c r="C4" s="152" t="n"/>
      <c r="D4" s="152" t="n"/>
      <c r="E4" s="152" t="n"/>
    </row>
    <row r="5" ht="15.75" customHeight="1" s="150">
      <c r="B5" s="157" t="inlineStr">
        <is>
          <t>Ресурсная модель</t>
        </is>
      </c>
    </row>
    <row r="6" ht="15.75" customHeight="1" s="150">
      <c r="B6" s="158" t="n"/>
      <c r="C6" s="152" t="n"/>
      <c r="D6" s="152" t="n"/>
      <c r="E6" s="152" t="n"/>
    </row>
    <row r="7" ht="15.75" customHeight="1" s="150">
      <c r="B7" s="168" t="inlineStr">
        <is>
          <t>Наименование разрабатываемой расценки УНЦ —  Подъездная автодорога</t>
        </is>
      </c>
    </row>
    <row r="8" ht="15.75" customHeight="1" s="150">
      <c r="B8" s="168" t="inlineStr">
        <is>
          <t>Единица измерения  — м2</t>
        </is>
      </c>
    </row>
    <row r="9">
      <c r="B9" s="78" t="n"/>
      <c r="C9" s="126" t="n"/>
      <c r="D9" s="126" t="n"/>
      <c r="E9" s="126" t="n"/>
    </row>
    <row r="10" ht="78.75" customFormat="1" customHeight="1" s="152">
      <c r="B10" s="174" t="inlineStr">
        <is>
          <t>Наименование</t>
        </is>
      </c>
      <c r="C10" s="174" t="inlineStr">
        <is>
          <t>Сметная стоимость в ценах на 01.01.2023
 (руб.)</t>
        </is>
      </c>
      <c r="D10" s="174" t="inlineStr">
        <is>
          <t>Удельный вес, 
(в СМР)</t>
        </is>
      </c>
      <c r="E10" s="174" t="inlineStr">
        <is>
          <t>Удельный вес, % 
(от всего по РМ)</t>
        </is>
      </c>
    </row>
    <row r="11" ht="15" customFormat="1" customHeight="1" s="152">
      <c r="B11" s="184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52">
      <c r="B12" s="184" t="inlineStr">
        <is>
          <t>Эксплуатация машин основных</t>
        </is>
      </c>
      <c r="C12" s="82">
        <f>'Прил.5 Расчет СМР и ОБ'!J25</f>
        <v/>
      </c>
      <c r="D12" s="83">
        <f>C12/C24</f>
        <v/>
      </c>
      <c r="E12" s="83">
        <f>C12/C40</f>
        <v/>
      </c>
    </row>
    <row r="13" ht="15" customFormat="1" customHeight="1" s="152">
      <c r="B13" s="184" t="inlineStr">
        <is>
          <t>Эксплуатация машин прочих</t>
        </is>
      </c>
      <c r="C13" s="82">
        <f>'Прил.5 Расчет СМР и ОБ'!J50</f>
        <v/>
      </c>
      <c r="D13" s="83">
        <f>C13/C24</f>
        <v/>
      </c>
      <c r="E13" s="83">
        <f>C13/C40</f>
        <v/>
      </c>
    </row>
    <row r="14" ht="15" customFormat="1" customHeight="1" s="152">
      <c r="B14" s="184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52">
      <c r="B15" s="184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52">
      <c r="B16" s="184" t="inlineStr">
        <is>
          <t>Материалы основные</t>
        </is>
      </c>
      <c r="C16" s="82">
        <f>'Прил.5 Расчет СМР и ОБ'!J65</f>
        <v/>
      </c>
      <c r="D16" s="83">
        <f>C16/C24</f>
        <v/>
      </c>
      <c r="E16" s="83">
        <f>C16/C40</f>
        <v/>
      </c>
    </row>
    <row r="17" ht="15" customFormat="1" customHeight="1" s="152">
      <c r="B17" s="184" t="inlineStr">
        <is>
          <t>Материалы прочие</t>
        </is>
      </c>
      <c r="C17" s="82">
        <f>'Прил.5 Расчет СМР и ОБ'!J87</f>
        <v/>
      </c>
      <c r="D17" s="83">
        <f>C17/C24</f>
        <v/>
      </c>
      <c r="E17" s="83">
        <f>C17/C40</f>
        <v/>
      </c>
    </row>
    <row r="18" ht="15" customFormat="1" customHeight="1" s="152">
      <c r="B18" s="184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52">
      <c r="B19" s="184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52">
      <c r="B20" s="184" t="inlineStr">
        <is>
          <t>Сметная прибыль, руб.</t>
        </is>
      </c>
      <c r="C20" s="82" t="n">
        <v>762134.31823065</v>
      </c>
      <c r="D20" s="83">
        <f>C20/C24</f>
        <v/>
      </c>
      <c r="E20" s="83">
        <f>C20/C40</f>
        <v/>
      </c>
    </row>
    <row r="21" ht="15" customFormat="1" customHeight="1" s="152">
      <c r="B21" s="184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52">
      <c r="B22" s="184" t="inlineStr">
        <is>
          <t>Накладные расходы, руб.</t>
        </is>
      </c>
      <c r="C22" s="82" t="n">
        <v>1139269.8404897</v>
      </c>
      <c r="D22" s="83">
        <f>C22/C24</f>
        <v/>
      </c>
      <c r="E22" s="83">
        <f>C22/C40</f>
        <v/>
      </c>
    </row>
    <row r="23" ht="15" customFormat="1" customHeight="1" s="152">
      <c r="B23" s="184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52">
      <c r="B24" s="184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7" customFormat="1" customHeight="1" s="152">
      <c r="B25" s="184" t="inlineStr">
        <is>
          <t>ВСЕГО стоимость оборудования, в том числе</t>
        </is>
      </c>
      <c r="C25" s="82">
        <f>'Прил.5 Расчет СМР и ОБ'!J57</f>
        <v/>
      </c>
      <c r="D25" s="83" t="n"/>
      <c r="E25" s="83">
        <f>C25/C40</f>
        <v/>
      </c>
    </row>
    <row r="26" ht="31.7" customFormat="1" customHeight="1" s="152">
      <c r="B26" s="184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52">
      <c r="B27" s="184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52">
      <c r="B28" s="184" t="inlineStr">
        <is>
          <t>ПРОЧ. ЗАТР., УЧТЕННЫЕ ПОКАЗАТЕЛЕМ,  в том числе</t>
        </is>
      </c>
      <c r="C28" s="184" t="n"/>
      <c r="D28" s="84" t="n"/>
      <c r="E28" s="84" t="n"/>
    </row>
    <row r="29" ht="31.7" customFormat="1" customHeight="1" s="152">
      <c r="B29" s="184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3" customFormat="1" customHeight="1" s="152">
      <c r="B30" s="184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75" customFormat="1" customHeight="1" s="152">
      <c r="B31" s="184" t="inlineStr">
        <is>
          <t>Пусконаладочные работы</t>
        </is>
      </c>
      <c r="C31" s="86">
        <f>ROUND(C25*80%*7%,2)</f>
        <v/>
      </c>
      <c r="D31" s="84" t="n"/>
      <c r="E31" s="83">
        <f>C31/C40</f>
        <v/>
      </c>
    </row>
    <row r="32" ht="31.7" customFormat="1" customHeight="1" s="152">
      <c r="B32" s="184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7.25" customFormat="1" customHeight="1" s="152">
      <c r="B33" s="184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3" customFormat="1" customHeight="1" s="152">
      <c r="B34" s="18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4.7" customFormat="1" customHeight="1" s="152">
      <c r="B35" s="18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7.25" customFormat="1" customHeight="1" s="152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91" t="n"/>
    </row>
    <row r="37" ht="15.75" customFormat="1" customHeight="1" s="152">
      <c r="B37" s="178" t="inlineStr">
        <is>
          <t>Авторский надзор - 0,2%</t>
        </is>
      </c>
      <c r="C37" s="178">
        <f>ROUND((C27+C29+C30+C31)*0.002,2)</f>
        <v/>
      </c>
      <c r="D37" s="93" t="n"/>
      <c r="E37" s="93">
        <f>C37/C40</f>
        <v/>
      </c>
    </row>
    <row r="38" ht="63" customFormat="1" customHeight="1" s="152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75" customFormat="1" customHeight="1" s="152">
      <c r="B39" s="184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75" customFormat="1" customHeight="1" s="152">
      <c r="B40" s="184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7" customFormat="1" customHeight="1" s="152">
      <c r="B41" s="184" t="inlineStr">
        <is>
          <t>ИТОГО ПОКАЗАТЕЛЬ НА ЕД. ИЗМ.</t>
        </is>
      </c>
      <c r="C41" s="82">
        <f>C40/'Прил.5 Расчет СМР и ОБ'!E94</f>
        <v/>
      </c>
      <c r="D41" s="84" t="n"/>
      <c r="E41" s="84" t="n"/>
    </row>
    <row r="42" ht="15.75" customFormat="1" customHeight="1" s="152">
      <c r="B42" s="98" t="n"/>
    </row>
    <row r="43" ht="15.75" customFormat="1" customHeight="1" s="152">
      <c r="B43" s="98" t="inlineStr">
        <is>
          <t>Составил ____________________________ М.С. Колотиевская</t>
        </is>
      </c>
    </row>
    <row r="44" ht="15.75" customFormat="1" customHeight="1" s="152">
      <c r="B44" s="98" t="inlineStr">
        <is>
          <t xml:space="preserve">(должность, подпись, инициалы, фамилия) </t>
        </is>
      </c>
    </row>
    <row r="45" ht="15.75" customFormat="1" customHeight="1" s="152">
      <c r="B45" s="98" t="n"/>
    </row>
    <row r="46" ht="15.75" customFormat="1" customHeight="1" s="152">
      <c r="B46" s="152" t="inlineStr">
        <is>
          <t>Проверил ______________________          А.В. Костянецкая</t>
        </is>
      </c>
    </row>
    <row r="47" ht="15.75" customFormat="1" customHeight="1" s="152">
      <c r="B47" s="168" t="inlineStr">
        <is>
          <t>(должность, подпись, инициалы, фамилия)</t>
        </is>
      </c>
      <c r="C47" s="168" t="n"/>
    </row>
    <row r="48" ht="15.75" customFormat="1" customHeight="1" s="15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01"/>
  <sheetViews>
    <sheetView view="pageBreakPreview" topLeftCell="A22" zoomScale="60" zoomScaleNormal="100" workbookViewId="0">
      <selection activeCell="C96" sqref="C96"/>
    </sheetView>
  </sheetViews>
  <sheetFormatPr baseColWidth="8" defaultColWidth="9.140625" defaultRowHeight="15" outlineLevelRow="1"/>
  <cols>
    <col width="5.7109375" customWidth="1" style="132" min="1" max="1"/>
    <col width="22.5703125" customWidth="1" style="132" min="2" max="2"/>
    <col width="39.140625" customWidth="1" style="132" min="3" max="3"/>
    <col width="10.7109375" customWidth="1" style="132" min="4" max="4"/>
    <col width="12.7109375" customWidth="1" style="132" min="5" max="5"/>
    <col width="14.5703125" customWidth="1" style="132" min="6" max="6"/>
    <col width="13.42578125" customWidth="1" style="132" min="7" max="7"/>
    <col width="12.7109375" customWidth="1" style="132" min="8" max="8"/>
    <col width="14.5703125" customWidth="1" style="132" min="9" max="9"/>
    <col width="15.140625" customWidth="1" style="132" min="10" max="10"/>
    <col width="22.42578125" customWidth="1" style="132" min="11" max="11"/>
    <col width="16.28515625" customWidth="1" style="132" min="12" max="12"/>
    <col width="10.85546875" customWidth="1" style="132" min="13" max="13"/>
    <col width="9.140625" customWidth="1" style="132" min="14" max="14"/>
    <col width="9.140625" customWidth="1" style="150" min="15" max="15"/>
  </cols>
  <sheetData>
    <row r="1" ht="14.25" customFormat="1" customHeight="1" s="132">
      <c r="A1" s="126" t="n"/>
    </row>
    <row r="2" ht="15.75" customFormat="1" customHeight="1" s="132">
      <c r="A2" s="152" t="n"/>
      <c r="B2" s="152" t="n"/>
      <c r="C2" s="152" t="n"/>
      <c r="D2" s="152" t="n"/>
      <c r="E2" s="152" t="n"/>
      <c r="F2" s="152" t="n"/>
      <c r="G2" s="152" t="n"/>
      <c r="H2" s="180" t="inlineStr">
        <is>
          <t>Приложение №5</t>
        </is>
      </c>
    </row>
    <row r="3" ht="15.75" customFormat="1" customHeight="1" s="132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15.75" customFormat="1" customHeight="1" s="126">
      <c r="A4" s="157" t="inlineStr">
        <is>
          <t>Расчет стоимости СМР и оборудования</t>
        </is>
      </c>
      <c r="I4" s="157" t="n"/>
      <c r="J4" s="157" t="n"/>
    </row>
    <row r="5" ht="15.75" customFormat="1" customHeight="1" s="126">
      <c r="A5" s="157" t="n"/>
      <c r="B5" s="157" t="n"/>
      <c r="C5" s="157" t="n"/>
      <c r="D5" s="157" t="n"/>
      <c r="E5" s="157" t="n"/>
      <c r="F5" s="157" t="n"/>
      <c r="G5" s="157" t="n"/>
      <c r="H5" s="157" t="n"/>
      <c r="I5" s="157" t="n"/>
      <c r="J5" s="157" t="n"/>
    </row>
    <row r="6" customFormat="1" s="126">
      <c r="A6" s="181" t="inlineStr">
        <is>
          <t xml:space="preserve">Наименование разрабатываемого показателя УНЦ — </t>
        </is>
      </c>
      <c r="D6" s="181" t="inlineStr">
        <is>
          <t>Подъездная автодорога</t>
        </is>
      </c>
    </row>
    <row r="7" ht="15.75" customFormat="1" customHeight="1" s="126">
      <c r="A7" s="181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6">
      <c r="A8" s="152" t="n"/>
      <c r="B8" s="152" t="n"/>
      <c r="C8" s="152" t="n"/>
      <c r="D8" s="152" t="n"/>
      <c r="E8" s="152" t="n"/>
      <c r="F8" s="152" t="n"/>
      <c r="G8" s="152" t="n"/>
      <c r="H8" s="152" t="n"/>
      <c r="I8" s="152" t="n"/>
      <c r="J8" s="152" t="n"/>
    </row>
    <row r="9" ht="27" customFormat="1" customHeight="1" s="152">
      <c r="A9" s="184" t="inlineStr">
        <is>
          <t>№ пп.</t>
        </is>
      </c>
      <c r="B9" s="174" t="inlineStr">
        <is>
          <t>Код ресурса</t>
        </is>
      </c>
      <c r="C9" s="174" t="inlineStr">
        <is>
          <t>Наименование</t>
        </is>
      </c>
      <c r="D9" s="174" t="inlineStr">
        <is>
          <t>Ед. изм.</t>
        </is>
      </c>
      <c r="E9" s="174" t="inlineStr">
        <is>
          <t>Кол-во единиц по проектным данным</t>
        </is>
      </c>
      <c r="F9" s="174" t="inlineStr">
        <is>
          <t>Сметная стоимость в ценах на 01.01.2000 (руб.)</t>
        </is>
      </c>
      <c r="G9" s="206" t="n"/>
      <c r="H9" s="174" t="inlineStr">
        <is>
          <t>Удельный вес, %</t>
        </is>
      </c>
      <c r="I9" s="174" t="inlineStr">
        <is>
          <t>Сметная стоимость в ценах на 01.01.2023 (руб.)</t>
        </is>
      </c>
      <c r="J9" s="206" t="n"/>
      <c r="K9" s="101" t="n"/>
    </row>
    <row r="10" ht="28.5" customFormat="1" customHeight="1" s="152">
      <c r="A10" s="208" t="n"/>
      <c r="B10" s="208" t="n"/>
      <c r="C10" s="208" t="n"/>
      <c r="D10" s="208" t="n"/>
      <c r="E10" s="208" t="n"/>
      <c r="F10" s="174" t="inlineStr">
        <is>
          <t>на ед. изм.</t>
        </is>
      </c>
      <c r="G10" s="174" t="inlineStr">
        <is>
          <t>общая</t>
        </is>
      </c>
      <c r="H10" s="208" t="n"/>
      <c r="I10" s="174" t="inlineStr">
        <is>
          <t>на ед. изм.</t>
        </is>
      </c>
      <c r="J10" s="174" t="inlineStr">
        <is>
          <t>общая</t>
        </is>
      </c>
    </row>
    <row r="11" ht="15.75" customFormat="1" customHeight="1" s="152">
      <c r="A11" s="184" t="n">
        <v>1</v>
      </c>
      <c r="B11" s="174" t="n">
        <v>2</v>
      </c>
      <c r="C11" s="174" t="n">
        <v>3</v>
      </c>
      <c r="D11" s="174" t="n">
        <v>4</v>
      </c>
      <c r="E11" s="174" t="n">
        <v>5</v>
      </c>
      <c r="F11" s="174" t="n">
        <v>6</v>
      </c>
      <c r="G11" s="174" t="n">
        <v>7</v>
      </c>
      <c r="H11" s="174" t="n">
        <v>8</v>
      </c>
      <c r="I11" s="174" t="n">
        <v>9</v>
      </c>
      <c r="J11" s="174" t="n">
        <v>10</v>
      </c>
    </row>
    <row r="12" ht="15.75" customFormat="1" customHeight="1" s="152">
      <c r="A12" s="178" t="n"/>
      <c r="B12" s="177" t="inlineStr">
        <is>
          <t>Затраты труда рабочих-строителей</t>
        </is>
      </c>
      <c r="C12" s="205" t="n"/>
      <c r="D12" s="205" t="n"/>
      <c r="E12" s="205" t="n"/>
      <c r="F12" s="205" t="n"/>
      <c r="G12" s="205" t="n"/>
      <c r="H12" s="206" t="n"/>
      <c r="I12" s="178" t="n"/>
      <c r="J12" s="178" t="n"/>
    </row>
    <row r="13" ht="31.7" customFormat="1" customHeight="1" s="152">
      <c r="A13" s="170" t="n">
        <v>1</v>
      </c>
      <c r="B13" s="170" t="inlineStr">
        <is>
          <t>1-100-26</t>
        </is>
      </c>
      <c r="C13" s="171" t="inlineStr">
        <is>
          <t>Затраты труда рабочих (Средний разряд работы 2,6)</t>
        </is>
      </c>
      <c r="D13" s="170" t="inlineStr">
        <is>
          <t>чел.-ч</t>
        </is>
      </c>
      <c r="E13" s="170" t="n">
        <v>916.10143198091</v>
      </c>
      <c r="F13" s="175" t="n">
        <v>8.380000000000001</v>
      </c>
      <c r="G13" s="175">
        <f>ROUND(E13*F13,2)</f>
        <v/>
      </c>
      <c r="H13" s="42">
        <f>G13/G14</f>
        <v/>
      </c>
      <c r="I13" s="175">
        <f>ФОТр.тек.!E13</f>
        <v/>
      </c>
      <c r="J13" s="175">
        <f>ROUND(E13*I13,2)</f>
        <v/>
      </c>
    </row>
    <row r="14" ht="31.7" customFormat="1" customHeight="1" s="152">
      <c r="A14" s="170" t="n"/>
      <c r="B14" s="170" t="n"/>
      <c r="C14" s="171" t="inlineStr">
        <is>
          <t>Итого по разделу "Затраты труда рабочих-строителей"</t>
        </is>
      </c>
      <c r="D14" s="170" t="inlineStr">
        <is>
          <t>чел.-ч</t>
        </is>
      </c>
      <c r="E14" s="170">
        <f>SUM(E13:E13)</f>
        <v/>
      </c>
      <c r="F14" s="175" t="n"/>
      <c r="G14" s="175">
        <f>SUM(G13:G13)</f>
        <v/>
      </c>
      <c r="H14" s="42" t="n">
        <v>1</v>
      </c>
      <c r="I14" s="175" t="n"/>
      <c r="J14" s="175">
        <f>SUM(J13:J13)</f>
        <v/>
      </c>
    </row>
    <row r="15" ht="15.75" customFormat="1" customHeight="1" s="152">
      <c r="A15" s="170" t="n"/>
      <c r="B15" s="170" t="inlineStr">
        <is>
          <t>Затраты труда машинистов</t>
        </is>
      </c>
      <c r="C15" s="205" t="n"/>
      <c r="D15" s="205" t="n"/>
      <c r="E15" s="205" t="n"/>
      <c r="F15" s="205" t="n"/>
      <c r="G15" s="205" t="n"/>
      <c r="H15" s="206" t="n"/>
      <c r="I15" s="175" t="n"/>
      <c r="J15" s="175" t="n"/>
    </row>
    <row r="16" ht="15.75" customFormat="1" customHeight="1" s="152">
      <c r="A16" s="170" t="n">
        <v>2</v>
      </c>
      <c r="B16" s="170" t="n">
        <v>2</v>
      </c>
      <c r="C16" s="171" t="inlineStr">
        <is>
          <t>Затраты труда машинистов</t>
        </is>
      </c>
      <c r="D16" s="170" t="inlineStr">
        <is>
          <t>чел.-ч</t>
        </is>
      </c>
      <c r="E16" s="170" t="n">
        <v>486.25086</v>
      </c>
      <c r="F16" s="175" t="n">
        <v>13.19</v>
      </c>
      <c r="G16" s="175">
        <f>ROUND(E16*F16,2)</f>
        <v/>
      </c>
      <c r="H16" s="42" t="n">
        <v>1</v>
      </c>
      <c r="I16" s="175">
        <f>ROUND(F16*'Прил. 10'!$D$10,2)</f>
        <v/>
      </c>
      <c r="J16" s="175">
        <f>ROUND(E16*I16,2)</f>
        <v/>
      </c>
    </row>
    <row r="17" ht="15.75" customFormat="1" customHeight="1" s="152">
      <c r="A17" s="170" t="n"/>
      <c r="B17" s="169" t="inlineStr">
        <is>
          <t>Машины и механизмы</t>
        </is>
      </c>
      <c r="C17" s="205" t="n"/>
      <c r="D17" s="205" t="n"/>
      <c r="E17" s="205" t="n"/>
      <c r="F17" s="205" t="n"/>
      <c r="G17" s="205" t="n"/>
      <c r="H17" s="206" t="n"/>
      <c r="I17" s="175" t="n"/>
      <c r="J17" s="175" t="n"/>
    </row>
    <row r="18" ht="15.75" customFormat="1" customHeight="1" s="152">
      <c r="A18" s="170" t="n"/>
      <c r="B18" s="170" t="inlineStr">
        <is>
          <t>Основные Машины и механизмы</t>
        </is>
      </c>
      <c r="C18" s="205" t="n"/>
      <c r="D18" s="205" t="n"/>
      <c r="E18" s="205" t="n"/>
      <c r="F18" s="205" t="n"/>
      <c r="G18" s="205" t="n"/>
      <c r="H18" s="206" t="n"/>
      <c r="I18" s="175" t="n"/>
      <c r="J18" s="175" t="n"/>
    </row>
    <row r="19" ht="31.7" customFormat="1" customHeight="1" s="152">
      <c r="A19" s="170" t="n">
        <v>3</v>
      </c>
      <c r="B19" s="176" t="inlineStr">
        <is>
          <t>91.08.03-016</t>
        </is>
      </c>
      <c r="C19" s="186" t="inlineStr">
        <is>
          <t>Катки самоходные гладкие вибрационные, масса 8 т</t>
        </is>
      </c>
      <c r="D19" s="189" t="inlineStr">
        <is>
          <t>маш.час</t>
        </is>
      </c>
      <c r="E19" s="187" t="n">
        <v>126.0127</v>
      </c>
      <c r="F19" s="47" t="n">
        <v>226.54</v>
      </c>
      <c r="G19" s="47">
        <f>ROUND(E19*F19,2)</f>
        <v/>
      </c>
      <c r="H19" s="42">
        <f>G19/G51</f>
        <v/>
      </c>
      <c r="I19" s="175">
        <f>ROUND(F19*'Прил. 10'!$D$11,2)</f>
        <v/>
      </c>
      <c r="J19" s="175">
        <f>ROUND(E19*I19,2)</f>
        <v/>
      </c>
    </row>
    <row r="20" ht="31.7" customFormat="1" customHeight="1" s="152">
      <c r="A20" s="170" t="n">
        <v>4</v>
      </c>
      <c r="B20" s="176" t="inlineStr">
        <is>
          <t>91.08.03-018</t>
        </is>
      </c>
      <c r="C20" s="186" t="inlineStr">
        <is>
          <t>Катки самоходные гладкие вибрационные, масса 13 т</t>
        </is>
      </c>
      <c r="D20" s="189" t="inlineStr">
        <is>
          <t>маш.час</t>
        </is>
      </c>
      <c r="E20" s="187" t="n">
        <v>82.5365</v>
      </c>
      <c r="F20" s="47" t="n">
        <v>286.56</v>
      </c>
      <c r="G20" s="47">
        <f>ROUND(E20*F20,2)</f>
        <v/>
      </c>
      <c r="H20" s="42">
        <f>G20/G51</f>
        <v/>
      </c>
      <c r="I20" s="175">
        <f>ROUND(F20*'Прил. 10'!$D$11,2)</f>
        <v/>
      </c>
      <c r="J20" s="175">
        <f>ROUND(E20*I20,2)</f>
        <v/>
      </c>
    </row>
    <row r="21" ht="31.7" customFormat="1" customHeight="1" s="152">
      <c r="A21" s="170" t="n">
        <v>5</v>
      </c>
      <c r="B21" s="176" t="inlineStr">
        <is>
          <t>91.08.03-013</t>
        </is>
      </c>
      <c r="C21" s="186" t="inlineStr">
        <is>
          <t>Катки самоходные гладкие вибрационные, масса 9 т</t>
        </is>
      </c>
      <c r="D21" s="189" t="inlineStr">
        <is>
          <t>маш.час</t>
        </is>
      </c>
      <c r="E21" s="187" t="n">
        <v>72.1893</v>
      </c>
      <c r="F21" s="47" t="n">
        <v>243.15</v>
      </c>
      <c r="G21" s="47">
        <f>ROUND(E21*F21,2)</f>
        <v/>
      </c>
      <c r="H21" s="42">
        <f>G21/G51</f>
        <v/>
      </c>
      <c r="I21" s="175">
        <f>ROUND(F21*'Прил. 10'!$D$11,2)</f>
        <v/>
      </c>
      <c r="J21" s="175">
        <f>ROUND(E21*I21,2)</f>
        <v/>
      </c>
    </row>
    <row r="22" ht="15.75" customFormat="1" customHeight="1" s="152">
      <c r="A22" s="170" t="n">
        <v>6</v>
      </c>
      <c r="B22" s="176" t="inlineStr">
        <is>
          <t>91.06.05-011</t>
        </is>
      </c>
      <c r="C22" s="186" t="inlineStr">
        <is>
          <t>Погрузчики, грузоподъемность 5 т</t>
        </is>
      </c>
      <c r="D22" s="189" t="inlineStr">
        <is>
          <t>маш.час</t>
        </is>
      </c>
      <c r="E22" s="187" t="n">
        <v>89.13205000000001</v>
      </c>
      <c r="F22" s="47" t="n">
        <v>89.98999999999999</v>
      </c>
      <c r="G22" s="47">
        <f>ROUND(E22*F22,2)</f>
        <v/>
      </c>
      <c r="H22" s="42">
        <f>G22/G51</f>
        <v/>
      </c>
      <c r="I22" s="175">
        <f>ROUND(F22*'Прил. 10'!$D$11,2)</f>
        <v/>
      </c>
      <c r="J22" s="175">
        <f>ROUND(E22*I22,2)</f>
        <v/>
      </c>
    </row>
    <row r="23" ht="31.7" customFormat="1" customHeight="1" s="152">
      <c r="A23" s="170" t="n">
        <v>7</v>
      </c>
      <c r="B23" s="176" t="inlineStr">
        <is>
          <t>91.08.03-030</t>
        </is>
      </c>
      <c r="C23" s="186" t="inlineStr">
        <is>
          <t>Катки самоходные пневмоколесные статические, масса 30 т</t>
        </is>
      </c>
      <c r="D23" s="189" t="inlineStr">
        <is>
          <t>маш.час</t>
        </is>
      </c>
      <c r="E23" s="187" t="n">
        <v>14.29375</v>
      </c>
      <c r="F23" s="47" t="n">
        <v>364.07</v>
      </c>
      <c r="G23" s="47">
        <f>ROUND(E23*F23,2)</f>
        <v/>
      </c>
      <c r="H23" s="42">
        <f>G23/G51</f>
        <v/>
      </c>
      <c r="I23" s="175">
        <f>ROUND(F23*'Прил. 10'!$D$11,2)</f>
        <v/>
      </c>
      <c r="J23" s="175">
        <f>ROUND(E23*I23,2)</f>
        <v/>
      </c>
    </row>
    <row r="24" ht="31.7" customFormat="1" customHeight="1" s="152">
      <c r="A24" s="170" t="n">
        <v>8</v>
      </c>
      <c r="B24" s="176" t="inlineStr">
        <is>
          <t>91.08.11-031</t>
        </is>
      </c>
      <c r="C24" s="186" t="inlineStr">
        <is>
          <t>Перегружатели асфальтовой смеси, емкость бункера до 25 т</t>
        </is>
      </c>
      <c r="D24" s="189" t="inlineStr">
        <is>
          <t>маш.час</t>
        </is>
      </c>
      <c r="E24" s="187" t="n">
        <v>3.00028</v>
      </c>
      <c r="F24" s="47" t="n">
        <v>1503.75</v>
      </c>
      <c r="G24" s="47">
        <f>ROUND(E24*F24,2)</f>
        <v/>
      </c>
      <c r="H24" s="42">
        <f>G24/G51</f>
        <v/>
      </c>
      <c r="I24" s="175">
        <f>ROUND(F24*'Прил. 10'!$D$11,2)</f>
        <v/>
      </c>
      <c r="J24" s="175">
        <f>ROUND(E24*I24,2)</f>
        <v/>
      </c>
    </row>
    <row r="25" ht="15.75" customFormat="1" customHeight="1" s="152">
      <c r="A25" s="170" t="n"/>
      <c r="B25" s="176" t="inlineStr">
        <is>
          <t>Итого основные Машины и механизмы</t>
        </is>
      </c>
      <c r="C25" s="205" t="n"/>
      <c r="D25" s="205" t="n"/>
      <c r="E25" s="205" t="n"/>
      <c r="F25" s="206" t="n"/>
      <c r="G25" s="47">
        <f>SUM(G19:G24)</f>
        <v/>
      </c>
      <c r="H25" s="42">
        <f>SUM(H19:H24)</f>
        <v/>
      </c>
      <c r="I25" s="175" t="n"/>
      <c r="J25" s="175">
        <f>SUM(J19:J24)</f>
        <v/>
      </c>
    </row>
    <row r="26" hidden="1" outlineLevel="1" ht="31.7" customFormat="1" customHeight="1" s="152">
      <c r="A26" s="170" t="n">
        <v>9</v>
      </c>
      <c r="B26" s="176" t="inlineStr">
        <is>
          <t>91.01.02-004</t>
        </is>
      </c>
      <c r="C26" s="186" t="inlineStr">
        <is>
          <t>Автогрейдеры среднего типа, мощность 99 кВт (135 л.с.)</t>
        </is>
      </c>
      <c r="D26" s="189" t="inlineStr">
        <is>
          <t>маш.час</t>
        </is>
      </c>
      <c r="E26" s="187" t="n">
        <v>32.09832</v>
      </c>
      <c r="F26" s="47" t="n">
        <v>123</v>
      </c>
      <c r="G26" s="47">
        <f>ROUND(E26*F26,2)</f>
        <v/>
      </c>
      <c r="H26" s="42">
        <f>G26/G51</f>
        <v/>
      </c>
      <c r="I26" s="175">
        <f>ROUND(F26*'Прил. 10'!$D$11,2)</f>
        <v/>
      </c>
      <c r="J26" s="175">
        <f>ROUND(E26*I26,2)</f>
        <v/>
      </c>
    </row>
    <row r="27" hidden="1" outlineLevel="1" ht="15.75" customFormat="1" customHeight="1" s="152">
      <c r="A27" s="170" t="n">
        <v>10</v>
      </c>
      <c r="B27" s="176" t="inlineStr">
        <is>
          <t>91.13.01-038</t>
        </is>
      </c>
      <c r="C27" s="186" t="inlineStr">
        <is>
          <t>Машины поливомоечные 6000 л</t>
        </is>
      </c>
      <c r="D27" s="189" t="inlineStr">
        <is>
          <t>маш.час</t>
        </is>
      </c>
      <c r="E27" s="187" t="n">
        <v>28.93589</v>
      </c>
      <c r="F27" s="47" t="n">
        <v>110</v>
      </c>
      <c r="G27" s="47">
        <f>ROUND(E27*F27,2)</f>
        <v/>
      </c>
      <c r="H27" s="42">
        <f>G27/G51</f>
        <v/>
      </c>
      <c r="I27" s="175">
        <f>ROUND(F27*'Прил. 10'!$D$11,2)</f>
        <v/>
      </c>
      <c r="J27" s="175">
        <f>ROUND(E27*I27,2)</f>
        <v/>
      </c>
    </row>
    <row r="28" hidden="1" outlineLevel="1" ht="47.25" customFormat="1" customHeight="1" s="152">
      <c r="A28" s="170" t="n">
        <v>11</v>
      </c>
      <c r="B28" s="176" t="inlineStr">
        <is>
          <t>91.08.01-004</t>
        </is>
      </c>
      <c r="C28" s="186" t="inlineStr">
        <is>
          <t>Асфальтоукладчики гусеничные, ширина укладки от 2 до 5 м, скорость укладки 16 м/мин</t>
        </is>
      </c>
      <c r="D28" s="189" t="inlineStr">
        <is>
          <t>маш.час</t>
        </is>
      </c>
      <c r="E28" s="187" t="n">
        <v>3.00028</v>
      </c>
      <c r="F28" s="47" t="n">
        <v>694.79</v>
      </c>
      <c r="G28" s="47">
        <f>ROUND(E28*F28,2)</f>
        <v/>
      </c>
      <c r="H28" s="42">
        <f>G28/G51</f>
        <v/>
      </c>
      <c r="I28" s="175">
        <f>ROUND(F28*'Прил. 10'!$D$11,2)</f>
        <v/>
      </c>
      <c r="J28" s="175">
        <f>ROUND(E28*I28,2)</f>
        <v/>
      </c>
    </row>
    <row r="29" hidden="1" outlineLevel="1" ht="47.25" customFormat="1" customHeight="1" s="152">
      <c r="A29" s="170" t="n">
        <v>12</v>
      </c>
      <c r="B29" s="176" t="inlineStr">
        <is>
          <t>91.18.01-002</t>
        </is>
      </c>
      <c r="C29" s="186" t="inlineStr">
        <is>
          <t>Компрессоры передвижные, давление до 14 атм, производительность более 10 м3/мин</t>
        </is>
      </c>
      <c r="D29" s="189" t="inlineStr">
        <is>
          <t>маш.час</t>
        </is>
      </c>
      <c r="E29" s="187" t="n">
        <v>8.917999999999999</v>
      </c>
      <c r="F29" s="47" t="n">
        <v>126.72</v>
      </c>
      <c r="G29" s="47">
        <f>ROUND(E29*F29,2)</f>
        <v/>
      </c>
      <c r="H29" s="42">
        <f>G29/G51</f>
        <v/>
      </c>
      <c r="I29" s="175">
        <f>ROUND(F29*'Прил. 10'!$D$11,2)</f>
        <v/>
      </c>
      <c r="J29" s="175">
        <f>ROUND(E29*I29,2)</f>
        <v/>
      </c>
    </row>
    <row r="30" hidden="1" outlineLevel="1" ht="47.25" customFormat="1" customHeight="1" s="152">
      <c r="A30" s="170" t="n">
        <v>13</v>
      </c>
      <c r="B30" s="176" t="inlineStr">
        <is>
          <t>91.18.01-013</t>
        </is>
      </c>
      <c r="C30" s="186" t="inlineStr">
        <is>
          <t>Компрессоры передвижные, давление 2,0 МПа, производительность 60 м3/мин</t>
        </is>
      </c>
      <c r="D30" s="189" t="inlineStr">
        <is>
          <t>маш.час</t>
        </is>
      </c>
      <c r="E30" s="187" t="n">
        <v>5.28554</v>
      </c>
      <c r="F30" s="47" t="n">
        <v>203.2</v>
      </c>
      <c r="G30" s="47">
        <f>ROUND(E30*F30,2)</f>
        <v/>
      </c>
      <c r="H30" s="42">
        <f>G30/G51</f>
        <v/>
      </c>
      <c r="I30" s="175">
        <f>ROUND(F30*'Прил. 10'!$D$11,2)</f>
        <v/>
      </c>
      <c r="J30" s="175">
        <f>ROUND(E30*I30,2)</f>
        <v/>
      </c>
    </row>
    <row r="31" hidden="1" outlineLevel="1" ht="31.7" customFormat="1" customHeight="1" s="152">
      <c r="A31" s="170" t="n">
        <v>14</v>
      </c>
      <c r="B31" s="176" t="inlineStr">
        <is>
          <t>91.08.03-047</t>
        </is>
      </c>
      <c r="C31" s="186" t="inlineStr">
        <is>
          <t>Катки самоходные пневмоколесные статические, масса 12 т</t>
        </is>
      </c>
      <c r="D31" s="189" t="inlineStr">
        <is>
          <t>маш.час</t>
        </is>
      </c>
      <c r="E31" s="187" t="n">
        <v>3.63118</v>
      </c>
      <c r="F31" s="47" t="n">
        <v>236.79</v>
      </c>
      <c r="G31" s="47">
        <f>ROUND(E31*F31,2)</f>
        <v/>
      </c>
      <c r="H31" s="42">
        <f>G31/G51</f>
        <v/>
      </c>
      <c r="I31" s="175">
        <f>ROUND(F31*'Прил. 10'!$D$11,2)</f>
        <v/>
      </c>
      <c r="J31" s="175">
        <f>ROUND(E31*I31,2)</f>
        <v/>
      </c>
    </row>
    <row r="32" hidden="1" outlineLevel="1" ht="31.7" customFormat="1" customHeight="1" s="152">
      <c r="A32" s="170" t="n">
        <v>15</v>
      </c>
      <c r="B32" s="176" t="inlineStr">
        <is>
          <t>91.08.03-017</t>
        </is>
      </c>
      <c r="C32" s="186" t="inlineStr">
        <is>
          <t>Катки самоходные гладкие вибрационные, масса 10 т</t>
        </is>
      </c>
      <c r="D32" s="189" t="inlineStr">
        <is>
          <t>маш.час</t>
        </is>
      </c>
      <c r="E32" s="187" t="n">
        <v>3.00028</v>
      </c>
      <c r="F32" s="47" t="n">
        <v>247.24</v>
      </c>
      <c r="G32" s="47">
        <f>ROUND(E32*F32,2)</f>
        <v/>
      </c>
      <c r="H32" s="42">
        <f>G32/G51</f>
        <v/>
      </c>
      <c r="I32" s="175">
        <f>ROUND(F32*'Прил. 10'!$D$11,2)</f>
        <v/>
      </c>
      <c r="J32" s="175">
        <f>ROUND(E32*I32,2)</f>
        <v/>
      </c>
    </row>
    <row r="33" hidden="1" outlineLevel="1" ht="31.7" customFormat="1" customHeight="1" s="152">
      <c r="A33" s="170" t="n">
        <v>16</v>
      </c>
      <c r="B33" s="176" t="inlineStr">
        <is>
          <t>91.08.03-045</t>
        </is>
      </c>
      <c r="C33" s="186" t="inlineStr">
        <is>
          <t>Катки самоходные гладкие вибрационные, масса 7 т</t>
        </is>
      </c>
      <c r="D33" s="189" t="inlineStr">
        <is>
          <t>маш.час</t>
        </is>
      </c>
      <c r="E33" s="187" t="n">
        <v>2.11702</v>
      </c>
      <c r="F33" s="47" t="n">
        <v>216.98</v>
      </c>
      <c r="G33" s="47">
        <f>ROUND(E33*F33,2)</f>
        <v/>
      </c>
      <c r="H33" s="42">
        <f>G33/G51</f>
        <v/>
      </c>
      <c r="I33" s="175">
        <f>ROUND(F33*'Прил. 10'!$D$11,2)</f>
        <v/>
      </c>
      <c r="J33" s="175">
        <f>ROUND(E33*I33,2)</f>
        <v/>
      </c>
    </row>
    <row r="34" hidden="1" outlineLevel="1" ht="31.7" customFormat="1" customHeight="1" s="152">
      <c r="A34" s="170" t="n">
        <v>17</v>
      </c>
      <c r="B34" s="176" t="inlineStr">
        <is>
          <t>91.08.03-049</t>
        </is>
      </c>
      <c r="C34" s="186" t="inlineStr">
        <is>
          <t>Катки самоходные гладкие вибрационные, масса 14 т</t>
        </is>
      </c>
      <c r="D34" s="189" t="inlineStr">
        <is>
          <t>маш.час</t>
        </is>
      </c>
      <c r="E34" s="187" t="n">
        <v>1.35994</v>
      </c>
      <c r="F34" s="47" t="n">
        <v>298.31</v>
      </c>
      <c r="G34" s="47">
        <f>ROUND(E34*F34,2)</f>
        <v/>
      </c>
      <c r="H34" s="42">
        <f>G34/G51</f>
        <v/>
      </c>
      <c r="I34" s="175">
        <f>ROUND(F34*'Прил. 10'!$D$11,2)</f>
        <v/>
      </c>
      <c r="J34" s="175">
        <f>ROUND(E34*I34,2)</f>
        <v/>
      </c>
    </row>
    <row r="35" hidden="1" outlineLevel="1" ht="31.7" customFormat="1" customHeight="1" s="152">
      <c r="A35" s="170" t="n">
        <v>18</v>
      </c>
      <c r="B35" s="176" t="inlineStr">
        <is>
          <t>91.01.05-052</t>
        </is>
      </c>
      <c r="C35" s="186" t="inlineStr">
        <is>
          <t>Экскаваторы-планировщики на тракторе, емкость ковша 0,8 м3</t>
        </is>
      </c>
      <c r="D35" s="189" t="inlineStr">
        <is>
          <t>маш.час</t>
        </is>
      </c>
      <c r="E35" s="187" t="n">
        <v>2.821</v>
      </c>
      <c r="F35" s="47" t="n">
        <v>130.4</v>
      </c>
      <c r="G35" s="47">
        <f>ROUND(E35*F35,2)</f>
        <v/>
      </c>
      <c r="H35" s="42">
        <f>G35/G51</f>
        <v/>
      </c>
      <c r="I35" s="175">
        <f>ROUND(F35*'Прил. 10'!$D$11,2)</f>
        <v/>
      </c>
      <c r="J35" s="175">
        <f>ROUND(E35*I35,2)</f>
        <v/>
      </c>
    </row>
    <row r="36" hidden="1" outlineLevel="1" ht="31.7" customFormat="1" customHeight="1" s="152">
      <c r="A36" s="170" t="n">
        <v>19</v>
      </c>
      <c r="B36" s="176" t="inlineStr">
        <is>
          <t>91.01.01-035</t>
        </is>
      </c>
      <c r="C36" s="186" t="inlineStr">
        <is>
          <t>Бульдозеры, мощность 79 кВт (108 л.с.)</t>
        </is>
      </c>
      <c r="D36" s="189" t="inlineStr">
        <is>
          <t>маш.час</t>
        </is>
      </c>
      <c r="E36" s="187" t="n">
        <v>2.03442</v>
      </c>
      <c r="F36" s="47" t="n">
        <v>79.06999999999999</v>
      </c>
      <c r="G36" s="47">
        <f>ROUND(E36*F36,2)</f>
        <v/>
      </c>
      <c r="H36" s="42">
        <f>G36/G51</f>
        <v/>
      </c>
      <c r="I36" s="175">
        <f>ROUND(F36*'Прил. 10'!$D$11,2)</f>
        <v/>
      </c>
      <c r="J36" s="175">
        <f>ROUND(E36*I36,2)</f>
        <v/>
      </c>
    </row>
    <row r="37" hidden="1" outlineLevel="1" ht="15.75" customFormat="1" customHeight="1" s="152">
      <c r="A37" s="170" t="n">
        <v>20</v>
      </c>
      <c r="B37" s="176" t="inlineStr">
        <is>
          <t>91.01.01-034</t>
        </is>
      </c>
      <c r="C37" s="186" t="inlineStr">
        <is>
          <t>Бульдозеры, мощность 59 кВт (80 л.с.)</t>
        </is>
      </c>
      <c r="D37" s="189" t="inlineStr">
        <is>
          <t>маш.час</t>
        </is>
      </c>
      <c r="E37" s="187" t="n">
        <v>1.64735</v>
      </c>
      <c r="F37" s="47" t="n">
        <v>59.47</v>
      </c>
      <c r="G37" s="47">
        <f>ROUND(E37*F37,2)</f>
        <v/>
      </c>
      <c r="H37" s="42">
        <f>G37/G51</f>
        <v/>
      </c>
      <c r="I37" s="175">
        <f>ROUND(F37*'Прил. 10'!$D$11,2)</f>
        <v/>
      </c>
      <c r="J37" s="175">
        <f>ROUND(E37*I37,2)</f>
        <v/>
      </c>
    </row>
    <row r="38" hidden="1" outlineLevel="1" ht="15.75" customFormat="1" customHeight="1" s="152">
      <c r="A38" s="170" t="n">
        <v>21</v>
      </c>
      <c r="B38" s="176" t="inlineStr">
        <is>
          <t>91.08.11-041</t>
        </is>
      </c>
      <c r="C38" s="186" t="inlineStr">
        <is>
          <t>Разогреватели швов инфракрасные</t>
        </is>
      </c>
      <c r="D38" s="189" t="inlineStr">
        <is>
          <t>маш.час</t>
        </is>
      </c>
      <c r="E38" s="187" t="n">
        <v>3.00028</v>
      </c>
      <c r="F38" s="47" t="n">
        <v>19.4</v>
      </c>
      <c r="G38" s="47">
        <f>ROUND(E38*F38,2)</f>
        <v/>
      </c>
      <c r="H38" s="42">
        <f>G38/G51</f>
        <v/>
      </c>
      <c r="I38" s="175">
        <f>ROUND(F38*'Прил. 10'!$D$11,2)</f>
        <v/>
      </c>
      <c r="J38" s="175">
        <f>ROUND(E38*I38,2)</f>
        <v/>
      </c>
    </row>
    <row r="39" hidden="1" outlineLevel="1" ht="15.75" customFormat="1" customHeight="1" s="152">
      <c r="A39" s="170" t="n">
        <v>22</v>
      </c>
      <c r="B39" s="176" t="inlineStr">
        <is>
          <t>91.08.09-002</t>
        </is>
      </c>
      <c r="C39" s="186" t="inlineStr">
        <is>
          <t>Виброплиты электрические</t>
        </is>
      </c>
      <c r="D39" s="189" t="inlineStr">
        <is>
          <t>маш.час</t>
        </is>
      </c>
      <c r="E39" s="187" t="n">
        <v>5.369</v>
      </c>
      <c r="F39" s="47" t="n">
        <v>9.16</v>
      </c>
      <c r="G39" s="47">
        <f>ROUND(E39*F39,2)</f>
        <v/>
      </c>
      <c r="H39" s="42">
        <f>G39/G51</f>
        <v/>
      </c>
      <c r="I39" s="175">
        <f>ROUND(F39*'Прил. 10'!$D$11,2)</f>
        <v/>
      </c>
      <c r="J39" s="175">
        <f>ROUND(E39*I39,2)</f>
        <v/>
      </c>
    </row>
    <row r="40" hidden="1" outlineLevel="1" ht="15.75" customFormat="1" customHeight="1" s="152">
      <c r="A40" s="170" t="n">
        <v>23</v>
      </c>
      <c r="B40" s="176" t="inlineStr">
        <is>
          <t>91.08.07-011</t>
        </is>
      </c>
      <c r="C40" s="186" t="inlineStr">
        <is>
          <t>Распределители каменной мелочи</t>
        </is>
      </c>
      <c r="D40" s="189" t="inlineStr">
        <is>
          <t>маш.час</t>
        </is>
      </c>
      <c r="E40" s="187" t="n">
        <v>0.39957</v>
      </c>
      <c r="F40" s="47" t="n">
        <v>116.64</v>
      </c>
      <c r="G40" s="47">
        <f>ROUND(E40*F40,2)</f>
        <v/>
      </c>
      <c r="H40" s="42">
        <f>G40/G51</f>
        <v/>
      </c>
      <c r="I40" s="175">
        <f>ROUND(F40*'Прил. 10'!$D$11,2)</f>
        <v/>
      </c>
      <c r="J40" s="175">
        <f>ROUND(E40*I40,2)</f>
        <v/>
      </c>
    </row>
    <row r="41" hidden="1" outlineLevel="1" ht="31.7" customFormat="1" customHeight="1" s="152">
      <c r="A41" s="170" t="n">
        <v>24</v>
      </c>
      <c r="B41" s="176" t="inlineStr">
        <is>
          <t>91.08.06-001</t>
        </is>
      </c>
      <c r="C41" s="186" t="inlineStr">
        <is>
          <t>Нарезчики швов, мощность 20,5 кВт (28 л.с.)</t>
        </is>
      </c>
      <c r="D41" s="189" t="inlineStr">
        <is>
          <t>маш.час</t>
        </is>
      </c>
      <c r="E41" s="187" t="n">
        <v>2.13104</v>
      </c>
      <c r="F41" s="47" t="n">
        <v>19.04</v>
      </c>
      <c r="G41" s="47">
        <f>ROUND(E41*F41,2)</f>
        <v/>
      </c>
      <c r="H41" s="42">
        <f>G41/G51</f>
        <v/>
      </c>
      <c r="I41" s="175">
        <f>ROUND(F41*'Прил. 10'!$D$11,2)</f>
        <v/>
      </c>
      <c r="J41" s="175">
        <f>ROUND(E41*I41,2)</f>
        <v/>
      </c>
    </row>
    <row r="42" hidden="1" outlineLevel="1" ht="31.7" customFormat="1" customHeight="1" s="152">
      <c r="A42" s="170" t="n">
        <v>25</v>
      </c>
      <c r="B42" s="176" t="inlineStr">
        <is>
          <t>91.01.01-038</t>
        </is>
      </c>
      <c r="C42" s="186" t="inlineStr">
        <is>
          <t>Бульдозеры, мощность 121 кВт (165 л.с.)</t>
        </is>
      </c>
      <c r="D42" s="189" t="inlineStr">
        <is>
          <t>маш.час</t>
        </is>
      </c>
      <c r="E42" s="187" t="n">
        <v>0.31989</v>
      </c>
      <c r="F42" s="47" t="n">
        <v>122.4</v>
      </c>
      <c r="G42" s="47">
        <f>ROUND(E42*F42,2)</f>
        <v/>
      </c>
      <c r="H42" s="42">
        <f>G42/G51</f>
        <v/>
      </c>
      <c r="I42" s="175">
        <f>ROUND(F42*'Прил. 10'!$D$11,2)</f>
        <v/>
      </c>
      <c r="J42" s="175">
        <f>ROUND(E42*I42,2)</f>
        <v/>
      </c>
    </row>
    <row r="43" hidden="1" outlineLevel="1" ht="47.25" customFormat="1" customHeight="1" s="152">
      <c r="A43" s="170" t="n">
        <v>26</v>
      </c>
      <c r="B43" s="176" t="inlineStr">
        <is>
          <t>91.01.05-086</t>
        </is>
      </c>
      <c r="C43" s="186" t="inlineStr">
        <is>
          <t>Экскаваторы одноковшовые дизельные на гусеничном ходу, емкость ковша 0,65 м3</t>
        </is>
      </c>
      <c r="D43" s="189" t="inlineStr">
        <is>
          <t>маш.час</t>
        </is>
      </c>
      <c r="E43" s="187" t="n">
        <v>0.2709</v>
      </c>
      <c r="F43" s="47" t="n">
        <v>115.27</v>
      </c>
      <c r="G43" s="47">
        <f>ROUND(E43*F43,2)</f>
        <v/>
      </c>
      <c r="H43" s="42">
        <f>G43/G51</f>
        <v/>
      </c>
      <c r="I43" s="175">
        <f>ROUND(F43*'Прил. 10'!$D$11,2)</f>
        <v/>
      </c>
      <c r="J43" s="175">
        <f>ROUND(E43*I43,2)</f>
        <v/>
      </c>
    </row>
    <row r="44" hidden="1" outlineLevel="1" ht="31.7" customFormat="1" customHeight="1" s="152">
      <c r="A44" s="170" t="n">
        <v>27</v>
      </c>
      <c r="B44" s="176" t="inlineStr">
        <is>
          <t>91.13.03-112</t>
        </is>
      </c>
      <c r="C44" s="186" t="inlineStr">
        <is>
          <t>Спецавтомобили-вездеходы, грузоподъемность до 1,5 т</t>
        </is>
      </c>
      <c r="D44" s="189" t="inlineStr">
        <is>
          <t>маш.час</t>
        </is>
      </c>
      <c r="E44" s="187" t="n">
        <v>0.2804</v>
      </c>
      <c r="F44" s="47" t="n">
        <v>92.86</v>
      </c>
      <c r="G44" s="47">
        <f>ROUND(E44*F44,2)</f>
        <v/>
      </c>
      <c r="H44" s="42">
        <f>G44/G51</f>
        <v/>
      </c>
      <c r="I44" s="175">
        <f>ROUND(F44*'Прил. 10'!$D$11,2)</f>
        <v/>
      </c>
      <c r="J44" s="175">
        <f>ROUND(E44*I44,2)</f>
        <v/>
      </c>
    </row>
    <row r="45" hidden="1" outlineLevel="1" ht="31.7" customFormat="1" customHeight="1" s="152">
      <c r="A45" s="170" t="n">
        <v>28</v>
      </c>
      <c r="B45" s="176" t="inlineStr">
        <is>
          <t>91.04.01-033</t>
        </is>
      </c>
      <c r="C45" s="186" t="inlineStr">
        <is>
          <t>Машины бурильные на тракторе 85 кВт (115 л.с.), глубина бурения 3,5 м</t>
        </is>
      </c>
      <c r="D45" s="189" t="inlineStr">
        <is>
          <t>маш.час</t>
        </is>
      </c>
      <c r="E45" s="187" t="n">
        <v>0.11</v>
      </c>
      <c r="F45" s="47" t="n">
        <v>187.68</v>
      </c>
      <c r="G45" s="47">
        <f>ROUND(E45*F45,2)</f>
        <v/>
      </c>
      <c r="H45" s="42">
        <f>G45/G51</f>
        <v/>
      </c>
      <c r="I45" s="175">
        <f>ROUND(F45*'Прил. 10'!$D$11,2)</f>
        <v/>
      </c>
      <c r="J45" s="175">
        <f>ROUND(E45*I45,2)</f>
        <v/>
      </c>
    </row>
    <row r="46" hidden="1" outlineLevel="1" ht="47.25" customFormat="1" customHeight="1" s="152">
      <c r="A46" s="170" t="n">
        <v>29</v>
      </c>
      <c r="B46" s="176" t="inlineStr">
        <is>
          <t>91.21.10-003</t>
        </is>
      </c>
      <c r="C46" s="186" t="inlineStr">
        <is>
          <t>Молотки при работе от передвижных компрессорных станций отбойные пневматические</t>
        </is>
      </c>
      <c r="D46" s="189" t="inlineStr">
        <is>
          <t>маш.час</t>
        </is>
      </c>
      <c r="E46" s="187" t="n">
        <v>1.6123</v>
      </c>
      <c r="F46" s="47" t="n">
        <v>1.53</v>
      </c>
      <c r="G46" s="47">
        <f>ROUND(E46*F46,2)</f>
        <v/>
      </c>
      <c r="H46" s="42">
        <f>G46/G51</f>
        <v/>
      </c>
      <c r="I46" s="175">
        <f>ROUND(F46*'Прил. 10'!$D$11,2)</f>
        <v/>
      </c>
      <c r="J46" s="175">
        <f>ROUND(E46*I46,2)</f>
        <v/>
      </c>
    </row>
    <row r="47" hidden="1" outlineLevel="1" ht="31.7" customFormat="1" customHeight="1" s="152">
      <c r="A47" s="170" t="n">
        <v>30</v>
      </c>
      <c r="B47" s="176" t="inlineStr">
        <is>
          <t>91.06.03-049</t>
        </is>
      </c>
      <c r="C47" s="186" t="inlineStr">
        <is>
          <t>Лебедки ручные и рычажные тяговым усилием до 9,81 кН (1 т)</t>
        </is>
      </c>
      <c r="D47" s="189" t="inlineStr">
        <is>
          <t>маш.час</t>
        </is>
      </c>
      <c r="E47" s="187" t="n">
        <v>3.42088</v>
      </c>
      <c r="F47" s="47" t="n">
        <v>0.58</v>
      </c>
      <c r="G47" s="47">
        <f>ROUND(E47*F47,2)</f>
        <v/>
      </c>
      <c r="H47" s="42">
        <f>G47/G51</f>
        <v/>
      </c>
      <c r="I47" s="175">
        <f>ROUND(F47*'Прил. 10'!$D$11,2)</f>
        <v/>
      </c>
      <c r="J47" s="175">
        <f>ROUND(E47*I47,2)</f>
        <v/>
      </c>
    </row>
    <row r="48" hidden="1" outlineLevel="1" ht="31.7" customFormat="1" customHeight="1" s="152">
      <c r="A48" s="170" t="n">
        <v>31</v>
      </c>
      <c r="B48" s="176" t="inlineStr">
        <is>
          <t>91.05.05-015</t>
        </is>
      </c>
      <c r="C48" s="186" t="inlineStr">
        <is>
          <t>Краны на автомобильном ходу, грузоподъемность 16 т</t>
        </is>
      </c>
      <c r="D48" s="189" t="inlineStr">
        <is>
          <t>маш.час</t>
        </is>
      </c>
      <c r="E48" s="187" t="n">
        <v>0.0152</v>
      </c>
      <c r="F48" s="47" t="n">
        <v>115.4</v>
      </c>
      <c r="G48" s="47">
        <f>ROUND(E48*F48,2)</f>
        <v/>
      </c>
      <c r="H48" s="42">
        <f>G48/G51</f>
        <v/>
      </c>
      <c r="I48" s="175">
        <f>ROUND(F48*'Прил. 10'!$D$11,2)</f>
        <v/>
      </c>
      <c r="J48" s="175">
        <f>ROUND(E48*I48,2)</f>
        <v/>
      </c>
    </row>
    <row r="49" hidden="1" outlineLevel="1" ht="31.7" customFormat="1" customHeight="1" s="152">
      <c r="A49" s="170" t="n">
        <v>32</v>
      </c>
      <c r="B49" s="176" t="inlineStr">
        <is>
          <t>91.14.02-001</t>
        </is>
      </c>
      <c r="C49" s="186" t="inlineStr">
        <is>
          <t>Автомобили бортовые, грузоподъемность до 5 т</t>
        </is>
      </c>
      <c r="D49" s="189" t="inlineStr">
        <is>
          <t>маш.час</t>
        </is>
      </c>
      <c r="E49" s="187" t="n">
        <v>0.0201</v>
      </c>
      <c r="F49" s="47" t="n">
        <v>65.70999999999999</v>
      </c>
      <c r="G49" s="47">
        <f>ROUND(E49*F49,2)</f>
        <v/>
      </c>
      <c r="H49" s="42">
        <f>G49/G51</f>
        <v/>
      </c>
      <c r="I49" s="175">
        <f>ROUND(F49*'Прил. 10'!$D$11,2)</f>
        <v/>
      </c>
      <c r="J49" s="175">
        <f>ROUND(E49*I49,2)</f>
        <v/>
      </c>
    </row>
    <row r="50" collapsed="1" ht="15.75" customFormat="1" customHeight="1" s="152">
      <c r="A50" s="170" t="n"/>
      <c r="B50" s="170" t="inlineStr">
        <is>
          <t>Итого прочие Машины и механизмы</t>
        </is>
      </c>
      <c r="C50" s="205" t="n"/>
      <c r="D50" s="205" t="n"/>
      <c r="E50" s="205" t="n"/>
      <c r="F50" s="206" t="n"/>
      <c r="G50" s="175">
        <f>SUM(G26:G49)</f>
        <v/>
      </c>
      <c r="H50" s="42">
        <f>SUM(H26:H49)</f>
        <v/>
      </c>
      <c r="I50" s="175" t="n"/>
      <c r="J50" s="175">
        <f>SUM(J26:J49)</f>
        <v/>
      </c>
    </row>
    <row r="51" ht="15.75" customFormat="1" customHeight="1" s="152">
      <c r="A51" s="170" t="n"/>
      <c r="B51" s="170" t="inlineStr">
        <is>
          <t>Итого по разделу "Машины и механизмы"</t>
        </is>
      </c>
      <c r="C51" s="205" t="n"/>
      <c r="D51" s="205" t="n"/>
      <c r="E51" s="205" t="n"/>
      <c r="F51" s="206" t="n"/>
      <c r="G51" s="175">
        <f>G25+G50</f>
        <v/>
      </c>
      <c r="H51" s="42">
        <f>H25+H50</f>
        <v/>
      </c>
      <c r="I51" s="175" t="n"/>
      <c r="J51" s="175">
        <f>J25+J50</f>
        <v/>
      </c>
    </row>
    <row r="52" ht="15.75" customFormat="1" customHeight="1" s="152">
      <c r="A52" s="178" t="n"/>
      <c r="B52" s="177" t="inlineStr">
        <is>
          <t>Оборудование</t>
        </is>
      </c>
      <c r="C52" s="205" t="n"/>
      <c r="D52" s="205" t="n"/>
      <c r="E52" s="205" t="n"/>
      <c r="F52" s="205" t="n"/>
      <c r="G52" s="205" t="n"/>
      <c r="H52" s="205" t="n"/>
      <c r="I52" s="205" t="n"/>
      <c r="J52" s="206" t="n"/>
    </row>
    <row r="53" ht="15.75" customFormat="1" customHeight="1" s="152">
      <c r="A53" s="178" t="n"/>
      <c r="B53" s="178" t="inlineStr">
        <is>
          <t>Основное оборудование</t>
        </is>
      </c>
      <c r="C53" s="205" t="n"/>
      <c r="D53" s="205" t="n"/>
      <c r="E53" s="205" t="n"/>
      <c r="F53" s="205" t="n"/>
      <c r="G53" s="205" t="n"/>
      <c r="H53" s="205" t="n"/>
      <c r="I53" s="205" t="n"/>
      <c r="J53" s="206" t="n"/>
    </row>
    <row r="54" outlineLevel="1" ht="15.75" customFormat="1" customHeight="1" s="152">
      <c r="A54" s="178" t="n"/>
      <c r="B54" s="178" t="n"/>
      <c r="C54" s="178" t="inlineStr">
        <is>
          <t>Итого основное оборудование</t>
        </is>
      </c>
      <c r="D54" s="178" t="n"/>
      <c r="E54" s="178" t="n"/>
      <c r="F54" s="179" t="n"/>
      <c r="G54" s="179" t="n">
        <v>0</v>
      </c>
      <c r="H54" s="178" t="n">
        <v>0</v>
      </c>
      <c r="I54" s="179" t="n"/>
      <c r="J54" s="179" t="n">
        <v>0</v>
      </c>
    </row>
    <row r="55" ht="15.75" customFormat="1" customHeight="1" s="152">
      <c r="A55" s="178" t="n"/>
      <c r="B55" s="178" t="inlineStr">
        <is>
          <t>Прочее оборудование</t>
        </is>
      </c>
      <c r="C55" s="205" t="n"/>
      <c r="D55" s="205" t="n"/>
      <c r="E55" s="205" t="n"/>
      <c r="F55" s="205" t="n"/>
      <c r="G55" s="205" t="n"/>
      <c r="H55" s="205" t="n"/>
      <c r="I55" s="205" t="n"/>
      <c r="J55" s="206" t="n"/>
    </row>
    <row r="56" outlineLevel="1" ht="15.75" customFormat="1" customHeight="1" s="152">
      <c r="A56" s="178" t="n"/>
      <c r="B56" s="178" t="n"/>
      <c r="C56" s="178" t="inlineStr">
        <is>
          <t>Итого прочее оборудование</t>
        </is>
      </c>
      <c r="D56" s="178" t="n"/>
      <c r="E56" s="178" t="n"/>
      <c r="F56" s="179" t="n"/>
      <c r="G56" s="179" t="n">
        <v>0</v>
      </c>
      <c r="H56" s="178" t="n">
        <v>0</v>
      </c>
      <c r="I56" s="179" t="n"/>
      <c r="J56" s="179" t="n">
        <v>0</v>
      </c>
    </row>
    <row r="57" outlineLevel="1" ht="15.75" customFormat="1" customHeight="1" s="152">
      <c r="A57" s="178" t="n"/>
      <c r="B57" s="178" t="n"/>
      <c r="C57" s="177" t="inlineStr">
        <is>
          <t>Итого по разделу «Оборудование»</t>
        </is>
      </c>
      <c r="D57" s="178" t="n"/>
      <c r="E57" s="178" t="n"/>
      <c r="F57" s="179" t="n"/>
      <c r="G57" s="179" t="n">
        <v>0</v>
      </c>
      <c r="H57" s="178" t="n">
        <v>0</v>
      </c>
      <c r="I57" s="179" t="n"/>
      <c r="J57" s="179" t="n">
        <v>0</v>
      </c>
    </row>
    <row r="58" outlineLevel="1" ht="15.75" customFormat="1" customHeight="1" s="152">
      <c r="A58" s="178" t="n"/>
      <c r="B58" s="178" t="n"/>
      <c r="C58" s="178" t="inlineStr">
        <is>
          <t>в том числе технологическое оборудование</t>
        </is>
      </c>
      <c r="D58" s="178" t="n"/>
      <c r="E58" s="178" t="n"/>
      <c r="F58" s="179" t="n"/>
      <c r="G58" s="179" t="n">
        <v>0</v>
      </c>
      <c r="H58" s="178" t="n"/>
      <c r="I58" s="179" t="n"/>
      <c r="J58" s="179" t="n">
        <v>0</v>
      </c>
    </row>
    <row r="59" ht="15.75" customFormat="1" customHeight="1" s="152">
      <c r="A59" s="170" t="n"/>
      <c r="B59" s="169" t="inlineStr">
        <is>
          <t>Материалы</t>
        </is>
      </c>
      <c r="C59" s="205" t="n"/>
      <c r="D59" s="205" t="n"/>
      <c r="E59" s="205" t="n"/>
      <c r="F59" s="205" t="n"/>
      <c r="G59" s="205" t="n"/>
      <c r="H59" s="206" t="n"/>
      <c r="I59" s="175" t="n"/>
      <c r="J59" s="175" t="n"/>
    </row>
    <row r="60" ht="15.75" customFormat="1" customHeight="1" s="152">
      <c r="A60" s="170" t="n"/>
      <c r="B60" s="170" t="inlineStr">
        <is>
          <t>Основные Материалы</t>
        </is>
      </c>
      <c r="C60" s="205" t="n"/>
      <c r="D60" s="205" t="n"/>
      <c r="E60" s="205" t="n"/>
      <c r="F60" s="205" t="n"/>
      <c r="G60" s="205" t="n"/>
      <c r="H60" s="206" t="n"/>
      <c r="I60" s="175" t="n"/>
      <c r="J60" s="175" t="n"/>
    </row>
    <row r="61" ht="47.25" customFormat="1" customHeight="1" s="152">
      <c r="A61" s="170" t="n">
        <v>33</v>
      </c>
      <c r="B61" s="176" t="inlineStr">
        <is>
          <t>02.2.04.04-0006</t>
        </is>
      </c>
      <c r="C61" s="186" t="inlineStr">
        <is>
          <t>Смеси готовые щебеночно-песчаные (ГОСТ 25607-2009) номер: С6, размер зерен 0-20 мм</t>
        </is>
      </c>
      <c r="D61" s="189" t="inlineStr">
        <is>
          <t>м3</t>
        </is>
      </c>
      <c r="E61" s="187" t="n">
        <v>1465</v>
      </c>
      <c r="F61" s="47" t="n">
        <v>157.78</v>
      </c>
      <c r="G61" s="47">
        <f>ROUND(E61*F61,2)</f>
        <v/>
      </c>
      <c r="H61" s="42">
        <f>G61/G88</f>
        <v/>
      </c>
      <c r="I61" s="175">
        <f>ROUND(F61*'Прил. 10'!$D$12,2)</f>
        <v/>
      </c>
      <c r="J61" s="175">
        <f>ROUND(E61*I61,2)</f>
        <v/>
      </c>
    </row>
    <row r="62" ht="47.25" customFormat="1" customHeight="1" s="152">
      <c r="A62" s="170" t="n">
        <v>34</v>
      </c>
      <c r="B62" s="176" t="inlineStr">
        <is>
          <t>04.2.05.01-0009</t>
        </is>
      </c>
      <c r="C62" s="186" t="inlineStr">
        <is>
          <t>Смеси асфальтобетонные дорожные горячие мелкозернистые, щебеночно-мастичные, вид ЩМА-15</t>
        </is>
      </c>
      <c r="D62" s="189" t="inlineStr">
        <is>
          <t>т</t>
        </is>
      </c>
      <c r="E62" s="187" t="n">
        <v>89.44799999999999</v>
      </c>
      <c r="F62" s="47" t="n">
        <v>532.15</v>
      </c>
      <c r="G62" s="47">
        <f>ROUND(E62*F62,2)</f>
        <v/>
      </c>
      <c r="H62" s="42">
        <f>G62/G88</f>
        <v/>
      </c>
      <c r="I62" s="175">
        <f>ROUND(F62*'Прил. 10'!$D$12,2)</f>
        <v/>
      </c>
      <c r="J62" s="175">
        <f>ROUND(E62*I62,2)</f>
        <v/>
      </c>
    </row>
    <row r="63" ht="31.7" customFormat="1" customHeight="1" s="152">
      <c r="A63" s="170" t="n">
        <v>35</v>
      </c>
      <c r="B63" s="176" t="inlineStr">
        <is>
          <t>02.2.05.04-1822</t>
        </is>
      </c>
      <c r="C63" s="186" t="inlineStr">
        <is>
          <t>Щебень М 1000, фракция 40-80(70) мм, группа 2</t>
        </is>
      </c>
      <c r="D63" s="189" t="inlineStr">
        <is>
          <t>м3</t>
        </is>
      </c>
      <c r="E63" s="187" t="n">
        <v>194.796</v>
      </c>
      <c r="F63" s="47" t="n">
        <v>155.94</v>
      </c>
      <c r="G63" s="47">
        <f>ROUND(E63*F63,2)</f>
        <v/>
      </c>
      <c r="H63" s="42">
        <f>G63/G88</f>
        <v/>
      </c>
      <c r="I63" s="175">
        <f>ROUND(F63*'Прил. 10'!$D$12,2)</f>
        <v/>
      </c>
      <c r="J63" s="175">
        <f>ROUND(E63*I63,2)</f>
        <v/>
      </c>
    </row>
    <row r="64" ht="31.7" customFormat="1" customHeight="1" s="152">
      <c r="A64" s="170" t="n">
        <v>36</v>
      </c>
      <c r="B64" s="176" t="inlineStr">
        <is>
          <t>02.2.05.04-1827</t>
        </is>
      </c>
      <c r="C64" s="186" t="inlineStr">
        <is>
          <t>Щебень М 1200, фракция 40-80(70) мм, группа 2</t>
        </is>
      </c>
      <c r="D64" s="189" t="inlineStr">
        <is>
          <t>м3</t>
        </is>
      </c>
      <c r="E64" s="187" t="n">
        <v>264.978</v>
      </c>
      <c r="F64" s="47" t="n">
        <v>103</v>
      </c>
      <c r="G64" s="47">
        <f>ROUND(E64*F64,2)</f>
        <v/>
      </c>
      <c r="H64" s="42">
        <f>G64/G88</f>
        <v/>
      </c>
      <c r="I64" s="175">
        <f>ROUND(F64*'Прил. 10'!$D$12,2)</f>
        <v/>
      </c>
      <c r="J64" s="175">
        <f>ROUND(E64*I64,2)</f>
        <v/>
      </c>
    </row>
    <row r="65" ht="15.75" customFormat="1" customHeight="1" s="152">
      <c r="A65" s="170" t="n"/>
      <c r="B65" s="176" t="inlineStr">
        <is>
          <t>Итого основные Материалы</t>
        </is>
      </c>
      <c r="C65" s="205" t="n"/>
      <c r="D65" s="205" t="n"/>
      <c r="E65" s="205" t="n"/>
      <c r="F65" s="206" t="n"/>
      <c r="G65" s="47">
        <f>SUM(G61:G64)</f>
        <v/>
      </c>
      <c r="H65" s="42">
        <f>SUM(H61:H64)</f>
        <v/>
      </c>
      <c r="I65" s="175" t="n"/>
      <c r="J65" s="175">
        <f>SUM(J61:J64)</f>
        <v/>
      </c>
    </row>
    <row r="66" hidden="1" outlineLevel="1" ht="31.7" customFormat="1" customHeight="1" s="152">
      <c r="A66" s="170" t="n">
        <v>37</v>
      </c>
      <c r="B66" s="176" t="inlineStr">
        <is>
          <t>01.7.12.07-0112</t>
        </is>
      </c>
      <c r="C66" s="186" t="inlineStr">
        <is>
          <t>Георешетка объемная Геоспан ОР 30/10</t>
        </is>
      </c>
      <c r="D66" s="189" t="inlineStr">
        <is>
          <t>м2</t>
        </is>
      </c>
      <c r="E66" s="187" t="n">
        <v>454.73</v>
      </c>
      <c r="F66" s="47" t="n">
        <v>50.18</v>
      </c>
      <c r="G66" s="47">
        <f>ROUND(E66*F66,2)</f>
        <v/>
      </c>
      <c r="H66" s="42">
        <f>G66/G88</f>
        <v/>
      </c>
      <c r="I66" s="175">
        <f>ROUND(F66*'Прил. 10'!$D$12,2)</f>
        <v/>
      </c>
      <c r="J66" s="175">
        <f>ROUND(E66*I66,2)</f>
        <v/>
      </c>
    </row>
    <row r="67" hidden="1" outlineLevel="1" ht="47.25" customFormat="1" customHeight="1" s="152">
      <c r="A67" s="170" t="n">
        <v>38</v>
      </c>
      <c r="B67" s="176" t="inlineStr">
        <is>
          <t>02.4.02.01-0012</t>
        </is>
      </c>
      <c r="C67" s="186" t="inlineStr">
        <is>
          <t>Смесь щебеночно-песчаная готовая из шлаков черной металлургии М 1000-1200, размер не более 40 мм</t>
        </is>
      </c>
      <c r="D67" s="189" t="inlineStr">
        <is>
          <t>м3</t>
        </is>
      </c>
      <c r="E67" s="187" t="n">
        <v>81.90000000000001</v>
      </c>
      <c r="F67" s="47" t="n">
        <v>115.37</v>
      </c>
      <c r="G67" s="47">
        <f>ROUND(E67*F67,2)</f>
        <v/>
      </c>
      <c r="H67" s="42">
        <f>G67/G88</f>
        <v/>
      </c>
      <c r="I67" s="175">
        <f>ROUND(F67*'Прил. 10'!$D$12,2)</f>
        <v/>
      </c>
      <c r="J67" s="175">
        <f>ROUND(E67*I67,2)</f>
        <v/>
      </c>
    </row>
    <row r="68" hidden="1" outlineLevel="1" ht="31.7" customFormat="1" customHeight="1" s="152">
      <c r="A68" s="170" t="n">
        <v>39</v>
      </c>
      <c r="B68" s="176" t="inlineStr">
        <is>
          <t>02.2.05.04-1772</t>
        </is>
      </c>
      <c r="C68" s="186" t="inlineStr">
        <is>
          <t>Щебень М 600, фракция 20-40 мм, группа 2</t>
        </is>
      </c>
      <c r="D68" s="189" t="inlineStr">
        <is>
          <t>м3</t>
        </is>
      </c>
      <c r="E68" s="187" t="n">
        <v>52.7</v>
      </c>
      <c r="F68" s="47" t="n">
        <v>114.13</v>
      </c>
      <c r="G68" s="47">
        <f>ROUND(E68*F68,2)</f>
        <v/>
      </c>
      <c r="H68" s="42">
        <f>G68/G88</f>
        <v/>
      </c>
      <c r="I68" s="175">
        <f>ROUND(F68*'Прил. 10'!$D$12,2)</f>
        <v/>
      </c>
      <c r="J68" s="175">
        <f>ROUND(E68*I68,2)</f>
        <v/>
      </c>
    </row>
    <row r="69" hidden="1" outlineLevel="1" ht="31.7" customFormat="1" customHeight="1" s="152">
      <c r="A69" s="170" t="n">
        <v>40</v>
      </c>
      <c r="B69" s="176" t="inlineStr">
        <is>
          <t>02.2.05.04-1707</t>
        </is>
      </c>
      <c r="C69" s="186" t="inlineStr">
        <is>
          <t>Щебень М 1200, фракция 10-20 мм, группа 2</t>
        </is>
      </c>
      <c r="D69" s="189" t="inlineStr">
        <is>
          <t>м3</t>
        </is>
      </c>
      <c r="E69" s="187" t="n">
        <v>10.515</v>
      </c>
      <c r="F69" s="47" t="n">
        <v>130</v>
      </c>
      <c r="G69" s="47">
        <f>ROUND(E69*F69,2)</f>
        <v/>
      </c>
      <c r="H69" s="42">
        <f>G69/G88</f>
        <v/>
      </c>
      <c r="I69" s="175">
        <f>ROUND(F69*'Прил. 10'!$D$12,2)</f>
        <v/>
      </c>
      <c r="J69" s="175">
        <f>ROUND(E69*I69,2)</f>
        <v/>
      </c>
    </row>
    <row r="70" hidden="1" outlineLevel="1" ht="31.7" customFormat="1" customHeight="1" s="152">
      <c r="A70" s="170" t="n">
        <v>41</v>
      </c>
      <c r="B70" s="176" t="inlineStr">
        <is>
          <t>02.2.05.04-1702</t>
        </is>
      </c>
      <c r="C70" s="186" t="inlineStr">
        <is>
          <t>Щебень М 1000, фракция 10-20 мм, группа 2</t>
        </is>
      </c>
      <c r="D70" s="189" t="inlineStr">
        <is>
          <t>м3</t>
        </is>
      </c>
      <c r="E70" s="187" t="n">
        <v>10.304</v>
      </c>
      <c r="F70" s="47" t="n">
        <v>130</v>
      </c>
      <c r="G70" s="47">
        <f>ROUND(E70*F70,2)</f>
        <v/>
      </c>
      <c r="H70" s="42">
        <f>G70/G88</f>
        <v/>
      </c>
      <c r="I70" s="175">
        <f>ROUND(F70*'Прил. 10'!$D$12,2)</f>
        <v/>
      </c>
      <c r="J70" s="175">
        <f>ROUND(E70*I70,2)</f>
        <v/>
      </c>
    </row>
    <row r="71" hidden="1" outlineLevel="1" ht="47.25" customFormat="1" customHeight="1" s="152">
      <c r="A71" s="170" t="n">
        <v>42</v>
      </c>
      <c r="B71" s="176" t="inlineStr">
        <is>
          <t>08.4.03.03-0031</t>
        </is>
      </c>
      <c r="C71" s="186" t="inlineStr">
        <is>
          <t>Сталь арматурная, горячекатаная, периодического профиля, класс А-III, диаметр 10 мм</t>
        </is>
      </c>
      <c r="D71" s="189" t="inlineStr">
        <is>
          <t>т</t>
        </is>
      </c>
      <c r="E71" s="187" t="n">
        <v>0.123</v>
      </c>
      <c r="F71" s="47" t="n">
        <v>8014.15</v>
      </c>
      <c r="G71" s="47">
        <f>ROUND(E71*F71,2)</f>
        <v/>
      </c>
      <c r="H71" s="42">
        <f>G71/G88</f>
        <v/>
      </c>
      <c r="I71" s="175">
        <f>ROUND(F71*'Прил. 10'!$D$12,2)</f>
        <v/>
      </c>
      <c r="J71" s="175">
        <f>ROUND(E71*I71,2)</f>
        <v/>
      </c>
    </row>
    <row r="72" hidden="1" outlineLevel="1" ht="31.7" customFormat="1" customHeight="1" s="152">
      <c r="A72" s="170" t="n">
        <v>43</v>
      </c>
      <c r="B72" s="176" t="inlineStr">
        <is>
          <t>02.2.05.04-1581</t>
        </is>
      </c>
      <c r="C72" s="186" t="inlineStr">
        <is>
          <t>Щебень М 1000, фракция 5(3)-10 мм, группа 1</t>
        </is>
      </c>
      <c r="D72" s="189" t="inlineStr">
        <is>
          <t>м3</t>
        </is>
      </c>
      <c r="E72" s="187" t="n">
        <v>6.72</v>
      </c>
      <c r="F72" s="47" t="n">
        <v>139.4</v>
      </c>
      <c r="G72" s="47">
        <f>ROUND(E72*F72,2)</f>
        <v/>
      </c>
      <c r="H72" s="42">
        <f>G72/G88</f>
        <v/>
      </c>
      <c r="I72" s="175">
        <f>ROUND(F72*'Прил. 10'!$D$12,2)</f>
        <v/>
      </c>
      <c r="J72" s="175">
        <f>ROUND(E72*I72,2)</f>
        <v/>
      </c>
    </row>
    <row r="73" hidden="1" outlineLevel="1" ht="31.7" customFormat="1" customHeight="1" s="152">
      <c r="A73" s="170" t="n">
        <v>44</v>
      </c>
      <c r="B73" s="176" t="inlineStr">
        <is>
          <t>01.7.17.06-0061</t>
        </is>
      </c>
      <c r="C73" s="186" t="inlineStr">
        <is>
          <t>Диск алмазный для твердых материалов, диаметр 350 мм</t>
        </is>
      </c>
      <c r="D73" s="189" t="inlineStr">
        <is>
          <t>шт</t>
        </is>
      </c>
      <c r="E73" s="187" t="n">
        <v>1.096364</v>
      </c>
      <c r="F73" s="47" t="n">
        <v>737</v>
      </c>
      <c r="G73" s="47">
        <f>ROUND(E73*F73,2)</f>
        <v/>
      </c>
      <c r="H73" s="42">
        <f>G73/G88</f>
        <v/>
      </c>
      <c r="I73" s="175">
        <f>ROUND(F73*'Прил. 10'!$D$12,2)</f>
        <v/>
      </c>
      <c r="J73" s="175">
        <f>ROUND(E73*I73,2)</f>
        <v/>
      </c>
    </row>
    <row r="74" hidden="1" outlineLevel="1" ht="15.75" customFormat="1" customHeight="1" s="152">
      <c r="A74" s="170" t="n">
        <v>45</v>
      </c>
      <c r="B74" s="176" t="inlineStr">
        <is>
          <t>01.7.03.01-0001</t>
        </is>
      </c>
      <c r="C74" s="186" t="inlineStr">
        <is>
          <t>Вода</t>
        </is>
      </c>
      <c r="D74" s="189" t="inlineStr">
        <is>
          <t>м3</t>
        </is>
      </c>
      <c r="E74" s="187" t="n">
        <v>172.0975</v>
      </c>
      <c r="F74" s="47" t="n">
        <v>2.44</v>
      </c>
      <c r="G74" s="47">
        <f>ROUND(E74*F74,2)</f>
        <v/>
      </c>
      <c r="H74" s="42">
        <f>G74/G88</f>
        <v/>
      </c>
      <c r="I74" s="175">
        <f>ROUND(F74*'Прил. 10'!$D$12,2)</f>
        <v/>
      </c>
      <c r="J74" s="175">
        <f>ROUND(E74*I74,2)</f>
        <v/>
      </c>
    </row>
    <row r="75" hidden="1" outlineLevel="1" ht="15.75" customFormat="1" customHeight="1" s="152">
      <c r="A75" s="170" t="n">
        <v>46</v>
      </c>
      <c r="B75" s="176" t="inlineStr">
        <is>
          <t>01.7.15.02-0051</t>
        </is>
      </c>
      <c r="C75" s="186" t="inlineStr">
        <is>
          <t>Болты анкерные</t>
        </is>
      </c>
      <c r="D75" s="189" t="inlineStr">
        <is>
          <t>т</t>
        </is>
      </c>
      <c r="E75" s="187" t="n">
        <v>0.016824</v>
      </c>
      <c r="F75" s="47" t="n">
        <v>10068</v>
      </c>
      <c r="G75" s="47">
        <f>ROUND(E75*F75,2)</f>
        <v/>
      </c>
      <c r="H75" s="42">
        <f>G75/G88</f>
        <v/>
      </c>
      <c r="I75" s="175">
        <f>ROUND(F75*'Прил. 10'!$D$12,2)</f>
        <v/>
      </c>
      <c r="J75" s="175">
        <f>ROUND(E75*I75,2)</f>
        <v/>
      </c>
    </row>
    <row r="76" hidden="1" outlineLevel="1" ht="63" customFormat="1" customHeight="1" s="152">
      <c r="A76" s="170" t="n">
        <v>47</v>
      </c>
      <c r="B76" s="176" t="inlineStr">
        <is>
          <t>01.5.03.03-0053</t>
        </is>
      </c>
      <c r="C76" s="186" t="inlineStr">
        <is>
          <t>Знак дорожный на оцинкованной подоснове со световозвращающей пленкой предупреждающий, размер 900х900х900 мм, 1.1, 1.2, 1.5-1.33</t>
        </is>
      </c>
      <c r="D76" s="189" t="inlineStr">
        <is>
          <t>шт</t>
        </is>
      </c>
      <c r="E76" s="187" t="n">
        <v>1</v>
      </c>
      <c r="F76" s="47" t="n">
        <v>164.86</v>
      </c>
      <c r="G76" s="47">
        <f>ROUND(E76*F76,2)</f>
        <v/>
      </c>
      <c r="H76" s="42">
        <f>G76/G88</f>
        <v/>
      </c>
      <c r="I76" s="175">
        <f>ROUND(F76*'Прил. 10'!$D$12,2)</f>
        <v/>
      </c>
      <c r="J76" s="175">
        <f>ROUND(E76*I76,2)</f>
        <v/>
      </c>
    </row>
    <row r="77" hidden="1" outlineLevel="1" ht="31.7" customFormat="1" customHeight="1" s="152">
      <c r="A77" s="170" t="n">
        <v>48</v>
      </c>
      <c r="B77" s="176" t="inlineStr">
        <is>
          <t>01.7.07.26-0032</t>
        </is>
      </c>
      <c r="C77" s="186" t="inlineStr">
        <is>
          <t>Шнур полиамидный крученый, диаметр 2 мм</t>
        </is>
      </c>
      <c r="D77" s="189" t="inlineStr">
        <is>
          <t>т</t>
        </is>
      </c>
      <c r="E77" s="187" t="n">
        <v>0.0033648</v>
      </c>
      <c r="F77" s="47" t="n">
        <v>40650</v>
      </c>
      <c r="G77" s="47">
        <f>ROUND(E77*F77,2)</f>
        <v/>
      </c>
      <c r="H77" s="42">
        <f>G77/G88</f>
        <v/>
      </c>
      <c r="I77" s="175">
        <f>ROUND(F77*'Прил. 10'!$D$12,2)</f>
        <v/>
      </c>
      <c r="J77" s="175">
        <f>ROUND(E77*I77,2)</f>
        <v/>
      </c>
    </row>
    <row r="78" hidden="1" outlineLevel="1" ht="31.7" customFormat="1" customHeight="1" s="152">
      <c r="A78" s="170" t="n">
        <v>49</v>
      </c>
      <c r="B78" s="176" t="inlineStr">
        <is>
          <t>01.5.03.05-0011</t>
        </is>
      </c>
      <c r="C78" s="186" t="inlineStr">
        <is>
          <t>Стойка металлическая для дорожного знака, диаметр 57 мм</t>
        </is>
      </c>
      <c r="D78" s="189" t="inlineStr">
        <is>
          <t>шт</t>
        </is>
      </c>
      <c r="E78" s="187" t="n">
        <v>1</v>
      </c>
      <c r="F78" s="47" t="n">
        <v>130.33</v>
      </c>
      <c r="G78" s="47">
        <f>ROUND(E78*F78,2)</f>
        <v/>
      </c>
      <c r="H78" s="42">
        <f>G78/G88</f>
        <v/>
      </c>
      <c r="I78" s="175">
        <f>ROUND(F78*'Прил. 10'!$D$12,2)</f>
        <v/>
      </c>
      <c r="J78" s="175">
        <f>ROUND(E78*I78,2)</f>
        <v/>
      </c>
    </row>
    <row r="79" hidden="1" outlineLevel="1" ht="15.75" customFormat="1" customHeight="1" s="152">
      <c r="A79" s="170" t="n">
        <v>50</v>
      </c>
      <c r="B79" s="176" t="inlineStr">
        <is>
          <t>01.7.03.01-0002</t>
        </is>
      </c>
      <c r="C79" s="186" t="inlineStr">
        <is>
          <t>Вода водопроводная</t>
        </is>
      </c>
      <c r="D79" s="189" t="inlineStr">
        <is>
          <t>м3</t>
        </is>
      </c>
      <c r="E79" s="187" t="n">
        <v>29.38592</v>
      </c>
      <c r="F79" s="47" t="n">
        <v>3.15</v>
      </c>
      <c r="G79" s="47">
        <f>ROUND(E79*F79,2)</f>
        <v/>
      </c>
      <c r="H79" s="42">
        <f>G79/G88</f>
        <v/>
      </c>
      <c r="I79" s="175">
        <f>ROUND(F79*'Прил. 10'!$D$12,2)</f>
        <v/>
      </c>
      <c r="J79" s="175">
        <f>ROUND(E79*I79,2)</f>
        <v/>
      </c>
    </row>
    <row r="80" hidden="1" outlineLevel="1" ht="15.75" customFormat="1" customHeight="1" s="152">
      <c r="A80" s="170" t="n">
        <v>51</v>
      </c>
      <c r="B80" s="176" t="inlineStr">
        <is>
          <t>01.2.03.07-0023</t>
        </is>
      </c>
      <c r="C80" s="186" t="inlineStr">
        <is>
          <t>Эмульсия битумно-дорожная</t>
        </is>
      </c>
      <c r="D80" s="189" t="inlineStr">
        <is>
          <t>т</t>
        </is>
      </c>
      <c r="E80" s="187" t="n">
        <v>0.00701</v>
      </c>
      <c r="F80" s="47" t="n">
        <v>1554.2</v>
      </c>
      <c r="G80" s="47">
        <f>ROUND(E80*F80,2)</f>
        <v/>
      </c>
      <c r="H80" s="42">
        <f>G80/G88</f>
        <v/>
      </c>
      <c r="I80" s="175">
        <f>ROUND(F80*'Прил. 10'!$D$12,2)</f>
        <v/>
      </c>
      <c r="J80" s="175">
        <f>ROUND(E80*I80,2)</f>
        <v/>
      </c>
    </row>
    <row r="81" hidden="1" outlineLevel="1" ht="31.7" customFormat="1" customHeight="1" s="152">
      <c r="A81" s="170" t="n">
        <v>52</v>
      </c>
      <c r="B81" s="176" t="inlineStr">
        <is>
          <t>01.7.15.02-0083</t>
        </is>
      </c>
      <c r="C81" s="186" t="inlineStr">
        <is>
          <t>Болты с шестигранной головкой, диаметр 10 мм</t>
        </is>
      </c>
      <c r="D81" s="189" t="inlineStr">
        <is>
          <t>т</t>
        </is>
      </c>
      <c r="E81" s="187" t="n">
        <v>0.00048</v>
      </c>
      <c r="F81" s="47" t="n">
        <v>19400</v>
      </c>
      <c r="G81" s="47">
        <f>ROUND(E81*F81,2)</f>
        <v/>
      </c>
      <c r="H81" s="42">
        <f>G81/G88</f>
        <v/>
      </c>
      <c r="I81" s="175">
        <f>ROUND(F81*'Прил. 10'!$D$12,2)</f>
        <v/>
      </c>
      <c r="J81" s="175">
        <f>ROUND(E81*I81,2)</f>
        <v/>
      </c>
    </row>
    <row r="82" hidden="1" outlineLevel="1" ht="15.75" customFormat="1" customHeight="1" s="152">
      <c r="A82" s="170" t="n">
        <v>53</v>
      </c>
      <c r="B82" s="176" t="inlineStr">
        <is>
          <t>14.4.01.08-0001</t>
        </is>
      </c>
      <c r="C82" s="186" t="inlineStr">
        <is>
          <t>Грунтовка В-КФ-093</t>
        </is>
      </c>
      <c r="D82" s="189" t="inlineStr">
        <is>
          <t>т</t>
        </is>
      </c>
      <c r="E82" s="187" t="n">
        <v>0.0001935</v>
      </c>
      <c r="F82" s="47" t="n">
        <v>35003</v>
      </c>
      <c r="G82" s="47">
        <f>ROUND(E82*F82,2)</f>
        <v/>
      </c>
      <c r="H82" s="42">
        <f>G82/G88</f>
        <v/>
      </c>
      <c r="I82" s="175">
        <f>ROUND(F82*'Прил. 10'!$D$12,2)</f>
        <v/>
      </c>
      <c r="J82" s="175">
        <f>ROUND(E82*I82,2)</f>
        <v/>
      </c>
    </row>
    <row r="83" hidden="1" outlineLevel="1" ht="31.7" customFormat="1" customHeight="1" s="152">
      <c r="A83" s="170" t="n">
        <v>54</v>
      </c>
      <c r="B83" s="176" t="inlineStr">
        <is>
          <t>08.1.02.11-0001</t>
        </is>
      </c>
      <c r="C83" s="186" t="inlineStr">
        <is>
          <t>Поковки из квадратных заготовок, масса 1,8 кг</t>
        </is>
      </c>
      <c r="D83" s="189" t="inlineStr">
        <is>
          <t>т</t>
        </is>
      </c>
      <c r="E83" s="187" t="n">
        <v>0.0011216</v>
      </c>
      <c r="F83" s="47" t="n">
        <v>5989</v>
      </c>
      <c r="G83" s="47">
        <f>ROUND(E83*F83,2)</f>
        <v/>
      </c>
      <c r="H83" s="42">
        <f>G83/G88</f>
        <v/>
      </c>
      <c r="I83" s="175">
        <f>ROUND(F83*'Прил. 10'!$D$12,2)</f>
        <v/>
      </c>
      <c r="J83" s="175">
        <f>ROUND(E83*I83,2)</f>
        <v/>
      </c>
    </row>
    <row r="84" hidden="1" outlineLevel="1" ht="31.7" customFormat="1" customHeight="1" s="152">
      <c r="A84" s="170" t="n">
        <v>55</v>
      </c>
      <c r="B84" s="176" t="inlineStr">
        <is>
          <t>08.4.03.02-0007</t>
        </is>
      </c>
      <c r="C84" s="186" t="inlineStr">
        <is>
          <t>Сталь арматурная, горячекатаная, гладкая, класс А-I, диаметр 20-22 мм</t>
        </is>
      </c>
      <c r="D84" s="189" t="inlineStr">
        <is>
          <t>т</t>
        </is>
      </c>
      <c r="E84" s="187" t="n">
        <v>0.0011216</v>
      </c>
      <c r="F84" s="47" t="n">
        <v>5520</v>
      </c>
      <c r="G84" s="47">
        <f>ROUND(E84*F84,2)</f>
        <v/>
      </c>
      <c r="H84" s="42">
        <f>G84/G88</f>
        <v/>
      </c>
      <c r="I84" s="175">
        <f>ROUND(F84*'Прил. 10'!$D$12,2)</f>
        <v/>
      </c>
      <c r="J84" s="175">
        <f>ROUND(E84*I84,2)</f>
        <v/>
      </c>
    </row>
    <row r="85" hidden="1" outlineLevel="1" ht="15.75" customFormat="1" customHeight="1" s="152">
      <c r="A85" s="170" t="n">
        <v>56</v>
      </c>
      <c r="B85" s="176" t="inlineStr">
        <is>
          <t>14.4.04.08-0003</t>
        </is>
      </c>
      <c r="C85" s="186" t="inlineStr">
        <is>
          <t>Эмаль ПФ-115, серая</t>
        </is>
      </c>
      <c r="D85" s="189" t="inlineStr">
        <is>
          <t>т</t>
        </is>
      </c>
      <c r="E85" s="187" t="n">
        <v>5.62e-05</v>
      </c>
      <c r="F85" s="47" t="n">
        <v>14312.87</v>
      </c>
      <c r="G85" s="47">
        <f>ROUND(E85*F85,2)</f>
        <v/>
      </c>
      <c r="H85" s="42">
        <f>G85/G88</f>
        <v/>
      </c>
      <c r="I85" s="175">
        <f>ROUND(F85*'Прил. 10'!$D$12,2)</f>
        <v/>
      </c>
      <c r="J85" s="175">
        <f>ROUND(E85*I85,2)</f>
        <v/>
      </c>
    </row>
    <row r="86" hidden="1" outlineLevel="1" ht="15.75" customFormat="1" customHeight="1" s="152">
      <c r="A86" s="170" t="n">
        <v>57</v>
      </c>
      <c r="B86" s="176" t="inlineStr">
        <is>
          <t>14.5.09.07-0031</t>
        </is>
      </c>
      <c r="C86" s="186" t="inlineStr">
        <is>
          <t>Растворитель Р-4А</t>
        </is>
      </c>
      <c r="D86" s="189" t="inlineStr">
        <is>
          <t>т</t>
        </is>
      </c>
      <c r="E86" s="187" t="n">
        <v>3.38e-05</v>
      </c>
      <c r="F86" s="47" t="n">
        <v>5479.9</v>
      </c>
      <c r="G86" s="47">
        <f>ROUND(E86*F86,2)</f>
        <v/>
      </c>
      <c r="H86" s="42">
        <f>G86/G88</f>
        <v/>
      </c>
      <c r="I86" s="175">
        <f>ROUND(F86*'Прил. 10'!$D$12,2)</f>
        <v/>
      </c>
      <c r="J86" s="175">
        <f>ROUND(E86*I86,2)</f>
        <v/>
      </c>
    </row>
    <row r="87" collapsed="1" ht="15.75" customFormat="1" customHeight="1" s="152">
      <c r="A87" s="170" t="n"/>
      <c r="B87" s="170" t="inlineStr">
        <is>
          <t>Итого прочие Материалы</t>
        </is>
      </c>
      <c r="C87" s="205" t="n"/>
      <c r="D87" s="205" t="n"/>
      <c r="E87" s="205" t="n"/>
      <c r="F87" s="206" t="n"/>
      <c r="G87" s="175">
        <f>SUM(G66:G86)</f>
        <v/>
      </c>
      <c r="H87" s="42">
        <f>SUM(H66:H86)</f>
        <v/>
      </c>
      <c r="I87" s="175" t="n"/>
      <c r="J87" s="175">
        <f>SUM(J66:J86)</f>
        <v/>
      </c>
    </row>
    <row r="88" ht="15.75" customFormat="1" customHeight="1" s="152">
      <c r="A88" s="170" t="n"/>
      <c r="B88" s="170" t="inlineStr">
        <is>
          <t>Итого по разделу "Материалы"</t>
        </is>
      </c>
      <c r="C88" s="205" t="n"/>
      <c r="D88" s="205" t="n"/>
      <c r="E88" s="205" t="n"/>
      <c r="F88" s="206" t="n"/>
      <c r="G88" s="175">
        <f>G65+G87</f>
        <v/>
      </c>
      <c r="H88" s="42">
        <f>H65+H87</f>
        <v/>
      </c>
      <c r="I88" s="175" t="n"/>
      <c r="J88" s="175">
        <f>J65+J87</f>
        <v/>
      </c>
    </row>
    <row r="89" ht="15.75" customFormat="1" customHeight="1" s="152">
      <c r="A89" s="171" t="n"/>
      <c r="B89" s="189" t="n"/>
      <c r="C89" s="186" t="inlineStr">
        <is>
          <t>ИТОГО ПО РМ</t>
        </is>
      </c>
      <c r="D89" s="189" t="n"/>
      <c r="E89" s="189" t="n"/>
      <c r="F89" s="188" t="n"/>
      <c r="G89" s="188">
        <f>+G14+G51+G88</f>
        <v/>
      </c>
      <c r="H89" s="58" t="n"/>
      <c r="I89" s="175" t="n"/>
      <c r="J89" s="188">
        <f>+J14+J51+J88</f>
        <v/>
      </c>
    </row>
    <row r="90" ht="15.75" customFormat="1" customHeight="1" s="152">
      <c r="A90" s="171" t="n"/>
      <c r="B90" s="189" t="n"/>
      <c r="C90" s="186" t="inlineStr">
        <is>
          <t>Накладные расходы</t>
        </is>
      </c>
      <c r="D90" s="60" t="n">
        <v>1.8255366351137</v>
      </c>
      <c r="E90" s="189" t="n"/>
      <c r="F90" s="188" t="n"/>
      <c r="G90" s="188">
        <f>(G14+G16)*D90</f>
        <v/>
      </c>
      <c r="H90" s="58" t="n"/>
      <c r="I90" s="175" t="n"/>
      <c r="J90" s="175">
        <f>(J14+J16)*D90</f>
        <v/>
      </c>
    </row>
    <row r="91" ht="15.75" customFormat="1" customHeight="1" s="152">
      <c r="A91" s="171" t="n"/>
      <c r="B91" s="189" t="n"/>
      <c r="C91" s="186" t="inlineStr">
        <is>
          <t>Сметная прибыль</t>
        </is>
      </c>
      <c r="D91" s="60" t="n">
        <v>1.2212243924665</v>
      </c>
      <c r="E91" s="189" t="n"/>
      <c r="F91" s="188" t="n"/>
      <c r="G91" s="188">
        <f>(G14+G16)*D91</f>
        <v/>
      </c>
      <c r="H91" s="58" t="n"/>
      <c r="I91" s="175" t="n"/>
      <c r="J91" s="175">
        <f>(J14+J16)*D91</f>
        <v/>
      </c>
    </row>
    <row r="92" ht="15.75" customFormat="1" customHeight="1" s="152">
      <c r="A92" s="171" t="n"/>
      <c r="B92" s="189" t="n"/>
      <c r="C92" s="186" t="inlineStr">
        <is>
          <t>Итого СМР (с НР и СП)</t>
        </is>
      </c>
      <c r="D92" s="189" t="n"/>
      <c r="E92" s="189" t="n"/>
      <c r="F92" s="188" t="n"/>
      <c r="G92" s="188">
        <f>G89+G90+G91</f>
        <v/>
      </c>
      <c r="H92" s="58" t="n"/>
      <c r="I92" s="175" t="n"/>
      <c r="J92" s="188">
        <f>J89+J90+J91</f>
        <v/>
      </c>
    </row>
    <row r="93" ht="15.75" customFormat="1" customHeight="1" s="152">
      <c r="A93" s="171" t="n"/>
      <c r="B93" s="189" t="n"/>
      <c r="C93" s="186" t="inlineStr">
        <is>
          <t>ВСЕГО СМР + ОБОРУДОВАНИЕ</t>
        </is>
      </c>
      <c r="D93" s="189" t="n"/>
      <c r="E93" s="189" t="n"/>
      <c r="F93" s="188" t="n"/>
      <c r="G93" s="188">
        <f>G57+G92</f>
        <v/>
      </c>
      <c r="H93" s="58" t="n"/>
      <c r="I93" s="175" t="n"/>
      <c r="J93" s="175">
        <f>J57+J92</f>
        <v/>
      </c>
    </row>
    <row r="94" ht="15.75" customFormat="1" customHeight="1" s="152">
      <c r="A94" s="171" t="n"/>
      <c r="B94" s="189" t="n"/>
      <c r="C94" s="186" t="inlineStr">
        <is>
          <t>ИТОГО ПОКАЗАТЕЛЬ НА ЕД. ИЗМ.</t>
        </is>
      </c>
      <c r="D94" s="189" t="inlineStr">
        <is>
          <t>м2</t>
        </is>
      </c>
      <c r="E94" s="189" t="n">
        <v>701</v>
      </c>
      <c r="F94" s="188" t="n"/>
      <c r="G94" s="188">
        <f>G93/E94</f>
        <v/>
      </c>
      <c r="H94" s="58" t="n"/>
      <c r="I94" s="175" t="n"/>
      <c r="J94" s="188">
        <f>J93/E94</f>
        <v/>
      </c>
    </row>
    <row r="95" ht="15.75" customFormat="1" customHeight="1" s="152">
      <c r="E95" s="152" t="n"/>
      <c r="F95" s="91" t="n"/>
      <c r="G95" s="91" t="n"/>
      <c r="I95" s="91" t="n"/>
      <c r="J95" s="91" t="n"/>
    </row>
    <row r="96" ht="15.75" customFormat="1" customHeight="1" s="152">
      <c r="B96" s="98" t="inlineStr">
        <is>
          <t>Составил ____________________________ М.С. Колотиевская</t>
        </is>
      </c>
    </row>
    <row r="97" ht="15.75" customFormat="1" customHeight="1" s="152">
      <c r="B97" s="98" t="inlineStr">
        <is>
          <t xml:space="preserve">(должность, подпись, инициалы, фамилия) </t>
        </is>
      </c>
    </row>
    <row r="98" ht="15.75" customFormat="1" customHeight="1" s="152">
      <c r="B98" s="98" t="n"/>
    </row>
    <row r="99" ht="15.75" customFormat="1" customHeight="1" s="152">
      <c r="B99" s="152" t="inlineStr">
        <is>
          <t>Проверил ______________________          А.В. Костянецкая</t>
        </is>
      </c>
    </row>
    <row r="100" ht="15.75" customFormat="1" customHeight="1" s="152">
      <c r="B100" s="168" t="inlineStr">
        <is>
          <t>(должность, подпись, инициалы, фамилия)</t>
        </is>
      </c>
      <c r="C100" s="168" t="n"/>
    </row>
    <row r="101" ht="15.75" customFormat="1" customHeight="1" s="152">
      <c r="E101" s="152" t="n"/>
      <c r="F101" s="91" t="n"/>
      <c r="G101" s="91" t="n"/>
      <c r="I101" s="91" t="n"/>
      <c r="J101" s="91" t="n"/>
    </row>
  </sheetData>
  <mergeCells count="28">
    <mergeCell ref="H9:H10"/>
    <mergeCell ref="B25:F25"/>
    <mergeCell ref="B15:H15"/>
    <mergeCell ref="B53:J53"/>
    <mergeCell ref="H2:J2"/>
    <mergeCell ref="C9:C10"/>
    <mergeCell ref="E9:E10"/>
    <mergeCell ref="B59:H59"/>
    <mergeCell ref="B55:J55"/>
    <mergeCell ref="B88:F88"/>
    <mergeCell ref="B9:B10"/>
    <mergeCell ref="D9:D10"/>
    <mergeCell ref="B87:F87"/>
    <mergeCell ref="B18:H18"/>
    <mergeCell ref="B12:H12"/>
    <mergeCell ref="D6:J6"/>
    <mergeCell ref="A7:C7"/>
    <mergeCell ref="B60:H60"/>
    <mergeCell ref="F9:G9"/>
    <mergeCell ref="B65:F65"/>
    <mergeCell ref="A4:H4"/>
    <mergeCell ref="B17:H17"/>
    <mergeCell ref="A9:A10"/>
    <mergeCell ref="A6:C6"/>
    <mergeCell ref="B51:F51"/>
    <mergeCell ref="I9:J9"/>
    <mergeCell ref="B50:F50"/>
    <mergeCell ref="B52:J52"/>
  </mergeCells>
  <conditionalFormatting sqref="E13:E101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115" zoomScaleNormal="100" zoomScaleSheetLayoutView="115" workbookViewId="0">
      <selection activeCell="H28" sqref="H28:H29"/>
    </sheetView>
  </sheetViews>
  <sheetFormatPr baseColWidth="8" defaultColWidth="9.140625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  <col width="9.140625" customWidth="1" style="150" min="8" max="8"/>
  </cols>
  <sheetData>
    <row r="1" ht="15.75" customHeight="1" s="150">
      <c r="A1" s="180" t="inlineStr">
        <is>
          <t>Приложение №6</t>
        </is>
      </c>
    </row>
    <row r="2" ht="21.75" customHeight="1" s="150">
      <c r="A2" s="180" t="n"/>
      <c r="B2" s="180" t="n"/>
      <c r="C2" s="180" t="n"/>
      <c r="D2" s="180" t="n"/>
      <c r="E2" s="180" t="n"/>
      <c r="F2" s="180" t="n"/>
      <c r="G2" s="180" t="n"/>
    </row>
    <row r="3" ht="15.75" customHeight="1" s="150">
      <c r="A3" s="157" t="inlineStr">
        <is>
          <t>Расчет стоимости оборудования</t>
        </is>
      </c>
    </row>
    <row r="4" ht="25.5" customHeight="1" s="150">
      <c r="A4" s="181" t="inlineStr">
        <is>
          <t>Наименование разрабатываемого показателя УНЦ —  Подъездная автодорога</t>
        </is>
      </c>
    </row>
    <row r="5" ht="15.75" customHeight="1" s="150">
      <c r="A5" s="152" t="n"/>
      <c r="B5" s="152" t="n"/>
      <c r="C5" s="152" t="n"/>
      <c r="D5" s="152" t="n"/>
      <c r="E5" s="152" t="n"/>
      <c r="F5" s="152" t="n"/>
      <c r="G5" s="152" t="n"/>
    </row>
    <row r="6" ht="30.2" customFormat="1" customHeight="1" s="15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74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206" t="n"/>
    </row>
    <row r="7" ht="15.75" customFormat="1" customHeight="1" s="152">
      <c r="A7" s="208" t="n"/>
      <c r="B7" s="208" t="n"/>
      <c r="C7" s="208" t="n"/>
      <c r="D7" s="208" t="n"/>
      <c r="E7" s="208" t="n"/>
      <c r="F7" s="174" t="inlineStr">
        <is>
          <t>на ед. изм.</t>
        </is>
      </c>
      <c r="G7" s="174" t="inlineStr">
        <is>
          <t>общая</t>
        </is>
      </c>
    </row>
    <row r="8" ht="15.75" customFormat="1" customHeight="1" s="152">
      <c r="A8" s="174" t="n">
        <v>1</v>
      </c>
      <c r="B8" s="174" t="n">
        <v>2</v>
      </c>
      <c r="C8" s="174" t="n">
        <v>3</v>
      </c>
      <c r="D8" s="174" t="n">
        <v>4</v>
      </c>
      <c r="E8" s="174" t="n">
        <v>5</v>
      </c>
      <c r="F8" s="174" t="n">
        <v>6</v>
      </c>
      <c r="G8" s="174" t="n">
        <v>7</v>
      </c>
    </row>
    <row r="9" ht="15.75" customFormat="1" customHeight="1" s="152">
      <c r="A9" s="171" t="n"/>
      <c r="B9" s="186" t="inlineStr">
        <is>
          <t>ИНЖЕНЕРНОЕ ОБОРУДОВАНИЕ</t>
        </is>
      </c>
      <c r="C9" s="205" t="n"/>
      <c r="D9" s="205" t="n"/>
      <c r="E9" s="205" t="n"/>
      <c r="F9" s="205" t="n"/>
      <c r="G9" s="206" t="n"/>
    </row>
    <row r="10" ht="31.7" customFormat="1" customHeight="1" s="152">
      <c r="A10" s="189" t="n"/>
      <c r="B10" s="66" t="n"/>
      <c r="C10" s="186" t="inlineStr">
        <is>
          <t>ИТОГО ИНЖЕНЕРНОЕ ОБОРУДОВАНИЕ</t>
        </is>
      </c>
      <c r="D10" s="66" t="n"/>
      <c r="E10" s="67" t="n"/>
      <c r="F10" s="188" t="n"/>
      <c r="G10" s="188" t="n">
        <v>0</v>
      </c>
    </row>
    <row r="11" ht="15.75" customFormat="1" customHeight="1" s="152">
      <c r="A11" s="189" t="n"/>
      <c r="B11" s="186" t="inlineStr">
        <is>
          <t>ТЕХНОЛОГИЧЕСКОЕ ОБОРУДОВАНИЕ</t>
        </is>
      </c>
      <c r="C11" s="205" t="n"/>
      <c r="D11" s="205" t="n"/>
      <c r="E11" s="205" t="n"/>
      <c r="F11" s="205" t="n"/>
      <c r="G11" s="206" t="n"/>
    </row>
    <row r="12" ht="31.7" customFormat="1" customHeight="1" s="15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75" customFormat="1" customHeight="1" s="152">
      <c r="A13" s="189" t="n"/>
      <c r="B13" s="186" t="n"/>
      <c r="C13" s="186" t="inlineStr">
        <is>
          <t>Итого по разделу "Оборудование"</t>
        </is>
      </c>
      <c r="D13" s="186" t="n"/>
      <c r="E13" s="187" t="n"/>
      <c r="F13" s="188" t="n"/>
      <c r="G13" s="188" t="n">
        <v>0</v>
      </c>
    </row>
    <row r="14" ht="15.75" customFormat="1" customHeight="1" s="152">
      <c r="B14" s="180" t="n"/>
    </row>
    <row r="15" ht="15.75" customFormat="1" customHeight="1" s="152">
      <c r="A15" s="152" t="inlineStr">
        <is>
          <t>Составил ______________________        М.С. Колотиевская</t>
        </is>
      </c>
      <c r="B15" s="152" t="n"/>
      <c r="C15" s="152" t="n"/>
    </row>
    <row r="16" ht="15.75" customFormat="1" customHeight="1" s="152">
      <c r="A16" s="98" t="inlineStr">
        <is>
          <t xml:space="preserve">                         (подпись, инициалы, фамилия)</t>
        </is>
      </c>
      <c r="B16" s="152" t="n"/>
      <c r="C16" s="152" t="n"/>
    </row>
    <row r="17" ht="15.75" customFormat="1" customHeight="1" s="152">
      <c r="A17" s="152" t="n"/>
      <c r="B17" s="152" t="n"/>
      <c r="C17" s="152" t="n"/>
    </row>
    <row r="18" ht="15.75" customFormat="1" customHeight="1" s="152">
      <c r="A18" s="152" t="inlineStr">
        <is>
          <t>Проверил ______________________          А.В. Костянецкая</t>
        </is>
      </c>
      <c r="B18" s="152" t="n"/>
      <c r="C18" s="152" t="n"/>
    </row>
    <row r="19" ht="15.75" customFormat="1" customHeight="1" s="152">
      <c r="A19" s="98" t="inlineStr">
        <is>
          <t xml:space="preserve">                        (подпись, инициалы, фамилия)</t>
        </is>
      </c>
      <c r="B19" s="152" t="n"/>
      <c r="C19" s="152" t="n"/>
    </row>
    <row r="20" ht="15.75" customFormat="1" customHeight="1" s="15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150" min="1" max="1"/>
    <col width="29.5703125" customWidth="1" style="150" min="2" max="2"/>
    <col width="39.140625" customWidth="1" style="150" min="3" max="3"/>
    <col width="24.42578125" customWidth="1" style="150" min="4" max="4"/>
    <col width="8.85546875" customWidth="1" style="150" min="5" max="5"/>
  </cols>
  <sheetData>
    <row r="1">
      <c r="B1" s="126" t="n"/>
      <c r="C1" s="126" t="n"/>
      <c r="D1" s="123" t="inlineStr">
        <is>
          <t>Приложение №7</t>
        </is>
      </c>
    </row>
    <row r="2">
      <c r="A2" s="123" t="n"/>
      <c r="B2" s="123" t="n"/>
      <c r="C2" s="123" t="n"/>
      <c r="D2" s="123" t="n"/>
    </row>
    <row r="3" ht="24.75" customHeight="1" s="150">
      <c r="A3" s="190" t="inlineStr">
        <is>
          <t>Расчет показателя УНЦ</t>
        </is>
      </c>
    </row>
    <row r="4" ht="24.75" customHeight="1" s="150">
      <c r="A4" s="190" t="n"/>
      <c r="B4" s="190" t="n"/>
      <c r="C4" s="190" t="n"/>
      <c r="D4" s="190" t="n"/>
    </row>
    <row r="5" ht="24.6" customHeight="1" s="150">
      <c r="A5" s="191" t="inlineStr">
        <is>
          <t xml:space="preserve">Наименование разрабатываемого показателя УНЦ - </t>
        </is>
      </c>
      <c r="D5" s="191">
        <f>'Прил.5 Расчет СМР и ОБ'!D6:J6</f>
        <v/>
      </c>
    </row>
    <row r="6" ht="19.9" customHeight="1" s="150">
      <c r="A6" s="191" t="inlineStr">
        <is>
          <t>Единица измерения  — 1 м2</t>
        </is>
      </c>
      <c r="D6" s="191" t="n"/>
    </row>
    <row r="7">
      <c r="A7" s="126" t="n"/>
      <c r="B7" s="126" t="n"/>
      <c r="C7" s="126" t="n"/>
      <c r="D7" s="126" t="n"/>
    </row>
    <row r="8" ht="14.45" customHeight="1" s="150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 ht="15" customHeight="1" s="150">
      <c r="A9" s="208" t="n"/>
      <c r="B9" s="208" t="n"/>
      <c r="C9" s="208" t="n"/>
      <c r="D9" s="208" t="n"/>
    </row>
    <row r="10">
      <c r="A10" s="127" t="n">
        <v>1</v>
      </c>
      <c r="B10" s="127" t="n">
        <v>2</v>
      </c>
      <c r="C10" s="127" t="n">
        <v>3</v>
      </c>
      <c r="D10" s="127" t="n">
        <v>4</v>
      </c>
    </row>
    <row r="11" ht="41.45" customHeight="1" s="150">
      <c r="A11" s="127" t="inlineStr">
        <is>
          <t>З8-10</t>
        </is>
      </c>
      <c r="B11" s="127" t="inlineStr">
        <is>
          <t>УНЦ прочих здания и сооружений ПС</t>
        </is>
      </c>
      <c r="C11" s="128">
        <f>D5</f>
        <v/>
      </c>
      <c r="D11" s="129">
        <f>'Прил.4 РМ'!C41/1000</f>
        <v/>
      </c>
      <c r="E11" s="120" t="n"/>
    </row>
    <row r="12">
      <c r="A12" s="130" t="n"/>
      <c r="B12" s="131" t="n"/>
      <c r="C12" s="130" t="n"/>
      <c r="D12" s="130" t="n"/>
    </row>
    <row r="13">
      <c r="A13" s="126" t="inlineStr">
        <is>
          <t>Составил ______________________      М.С. Колотиевская</t>
        </is>
      </c>
      <c r="B13" s="132" t="n"/>
      <c r="C13" s="132" t="n"/>
      <c r="D13" s="130" t="n"/>
    </row>
    <row r="14">
      <c r="A14" s="133" t="inlineStr">
        <is>
          <t xml:space="preserve">                         (подпись, инициалы, фамилия)</t>
        </is>
      </c>
      <c r="B14" s="132" t="n"/>
      <c r="C14" s="132" t="n"/>
      <c r="D14" s="130" t="n"/>
    </row>
    <row r="15">
      <c r="A15" s="126" t="n"/>
      <c r="B15" s="132" t="n"/>
      <c r="C15" s="132" t="n"/>
      <c r="D15" s="130" t="n"/>
    </row>
    <row r="16" ht="15.75" customHeight="1" s="150">
      <c r="A16" s="152" t="inlineStr">
        <is>
          <t>Проверил ______________________          А.В. Костянецкая</t>
        </is>
      </c>
      <c r="B16" s="132" t="n"/>
      <c r="C16" s="132" t="n"/>
      <c r="D16" s="130" t="n"/>
    </row>
    <row r="17">
      <c r="A17" s="133" t="inlineStr">
        <is>
          <t xml:space="preserve">                        (подпись, инициалы, фамилия)</t>
        </is>
      </c>
      <c r="B17" s="132" t="n"/>
      <c r="C17" s="132" t="n"/>
      <c r="D17" s="1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Normal="100" zoomScaleSheetLayoutView="100" workbookViewId="0">
      <selection activeCell="B26" sqref="B26"/>
    </sheetView>
  </sheetViews>
  <sheetFormatPr baseColWidth="8" defaultRowHeight="15"/>
  <cols>
    <col width="9.140625" customWidth="1" style="150" min="1" max="1"/>
    <col width="40.7109375" customWidth="1" style="150" min="2" max="2"/>
    <col width="37" customWidth="1" style="150" min="3" max="3"/>
    <col width="32" customWidth="1" style="150" min="4" max="4"/>
    <col width="9.140625" customWidth="1" style="150" min="5" max="5"/>
  </cols>
  <sheetData>
    <row r="4" ht="15.75" customHeight="1" s="150">
      <c r="B4" s="156" t="inlineStr">
        <is>
          <t>Приложение № 10</t>
        </is>
      </c>
    </row>
    <row r="5" ht="18.75" customHeight="1" s="150">
      <c r="B5" s="8" t="n"/>
    </row>
    <row r="6" ht="15.75" customHeight="1" s="150">
      <c r="B6" s="157" t="inlineStr">
        <is>
          <t>Используемые индексы изменений сметной стоимости и нормы сопутствующих затрат</t>
        </is>
      </c>
    </row>
    <row r="7" ht="18.75" customHeight="1" s="150">
      <c r="B7" s="105" t="n"/>
    </row>
    <row r="8" ht="47.25" customFormat="1" customHeight="1" s="152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Format="1" customHeight="1" s="152">
      <c r="B9" s="174" t="n">
        <v>1</v>
      </c>
      <c r="C9" s="174" t="n">
        <v>2</v>
      </c>
      <c r="D9" s="174" t="n">
        <v>3</v>
      </c>
    </row>
    <row r="10" ht="31.7" customFormat="1" customHeight="1" s="152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31.7" customFormat="1" customHeight="1" s="152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13.47</v>
      </c>
    </row>
    <row r="12" ht="31.7" customFormat="1" customHeight="1" s="152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8.039999999999999</v>
      </c>
    </row>
    <row r="13" ht="31.7" customFormat="1" customHeight="1" s="152">
      <c r="B13" s="174" t="inlineStr">
        <is>
          <t>Индекс изменения сметной стоимости на 1 квартал 2023 года. ОБ</t>
        </is>
      </c>
      <c r="C13" s="143" t="inlineStr">
        <is>
          <t>Письмо Минстроя России от 23.02.2023г. №9791-ИФ/09 прил.6</t>
        </is>
      </c>
      <c r="D13" s="174" t="n">
        <v>6.26</v>
      </c>
    </row>
    <row r="14" ht="78.75" customFormat="1" customHeight="1" s="152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52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7" customFormat="1" customHeight="1" s="152">
      <c r="B16" s="174" t="inlineStr">
        <is>
          <t>Пусконаладочные работы</t>
        </is>
      </c>
      <c r="C16" s="174" t="n"/>
      <c r="D16" s="174" t="inlineStr">
        <is>
          <t>Расчёт</t>
        </is>
      </c>
    </row>
    <row r="17" ht="31.7" customFormat="1" customHeight="1" s="152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52">
      <c r="B18" s="174" t="inlineStr">
        <is>
          <t>Авторский надзор</t>
        </is>
      </c>
      <c r="C18" s="174" t="inlineStr">
        <is>
          <t>Приказ от 4.08.2020 № 421/пр п.173</t>
        </is>
      </c>
      <c r="D18" s="12" t="n">
        <v>0.002</v>
      </c>
    </row>
    <row r="19" ht="15.75" customFormat="1" customHeight="1" s="152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12" t="n">
        <v>0.03</v>
      </c>
    </row>
    <row r="20" ht="15.75" customFormat="1" customHeight="1" s="152">
      <c r="B20" s="158" t="n"/>
    </row>
    <row r="21" ht="15.75" customFormat="1" customHeight="1" s="152">
      <c r="B21" s="158" t="n"/>
    </row>
    <row r="22" ht="15.75" customFormat="1" customHeight="1" s="152">
      <c r="B22" s="158" t="n"/>
    </row>
    <row r="23" ht="15.75" customFormat="1" customHeight="1" s="152">
      <c r="B23" s="158" t="n"/>
    </row>
    <row r="24" ht="15.75" customFormat="1" customHeight="1" s="152"/>
    <row r="25" ht="15.75" customFormat="1" customHeight="1" s="152"/>
    <row r="26" ht="15.75" customFormat="1" customHeight="1" s="152">
      <c r="B26" s="152" t="inlineStr">
        <is>
          <t>Составил ______________________        М.С. Колотиевская</t>
        </is>
      </c>
      <c r="C26" s="152" t="n"/>
    </row>
    <row r="27" ht="15.75" customFormat="1" customHeight="1" s="152">
      <c r="B27" s="98" t="inlineStr">
        <is>
          <t xml:space="preserve">                         (подпись, инициалы, фамилия)</t>
        </is>
      </c>
      <c r="C27" s="152" t="n"/>
    </row>
    <row r="28" ht="15.75" customFormat="1" customHeight="1" s="152">
      <c r="B28" s="152" t="n"/>
      <c r="C28" s="152" t="n"/>
    </row>
    <row r="29" ht="15.75" customFormat="1" customHeight="1" s="152">
      <c r="B29" s="152" t="inlineStr">
        <is>
          <t>Проверил ______________________          А.В. Костянецкая</t>
        </is>
      </c>
      <c r="C29" s="152" t="n"/>
    </row>
    <row r="30" ht="15.75" customFormat="1" customHeight="1" s="152">
      <c r="B30" s="98" t="inlineStr">
        <is>
          <t xml:space="preserve">                        (подпись, инициалы, фамилия)</t>
        </is>
      </c>
      <c r="C30" s="152" t="n"/>
    </row>
    <row r="31" ht="15.75" customFormat="1" customHeight="1" s="152"/>
    <row r="32" ht="15.75" customFormat="1" customHeight="1" s="152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57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52" t="n"/>
    </row>
    <row r="6" ht="15.75" customHeight="1" s="150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52" t="n"/>
    </row>
    <row r="7" ht="110.25" customHeight="1" s="150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5" t="inlineStr">
        <is>
          <t>С1ср</t>
        </is>
      </c>
      <c r="D7" s="195" t="inlineStr">
        <is>
          <t>-</t>
        </is>
      </c>
      <c r="E7" s="196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195" t="inlineStr">
        <is>
          <t>tср</t>
        </is>
      </c>
      <c r="D8" s="195" t="inlineStr">
        <is>
          <t>1973ч/12мес.</t>
        </is>
      </c>
      <c r="E8" s="197">
        <f>1973/12</f>
        <v/>
      </c>
      <c r="F8" s="194" t="inlineStr">
        <is>
          <t>Производственный календарь 2023 год
(40-часов.неделя)</t>
        </is>
      </c>
      <c r="G8" s="154" t="n"/>
    </row>
    <row r="9" ht="15.75" customHeight="1" s="150">
      <c r="A9" s="193" t="inlineStr">
        <is>
          <t>1.3</t>
        </is>
      </c>
      <c r="B9" s="194" t="inlineStr">
        <is>
          <t>Коэффициент увеличения</t>
        </is>
      </c>
      <c r="C9" s="195" t="inlineStr">
        <is>
          <t>Кув</t>
        </is>
      </c>
      <c r="D9" s="195" t="inlineStr">
        <is>
          <t>-</t>
        </is>
      </c>
      <c r="E9" s="197" t="n">
        <v>1</v>
      </c>
      <c r="F9" s="194" t="n"/>
      <c r="G9" s="154" t="n"/>
    </row>
    <row r="10" ht="15.75" customHeight="1" s="150">
      <c r="A10" s="193" t="inlineStr">
        <is>
          <t>1.4</t>
        </is>
      </c>
      <c r="B10" s="194" t="inlineStr">
        <is>
          <t>Средний разряд работ</t>
        </is>
      </c>
      <c r="C10" s="195" t="n"/>
      <c r="D10" s="195" t="n"/>
      <c r="E10" s="213" t="n">
        <v>2.6</v>
      </c>
      <c r="F10" s="194" t="inlineStr">
        <is>
          <t>РТМ</t>
        </is>
      </c>
      <c r="G10" s="154" t="n"/>
    </row>
    <row r="11" ht="78.75" customHeight="1" s="150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195" t="inlineStr">
        <is>
          <t>КТ</t>
        </is>
      </c>
      <c r="D11" s="195" t="inlineStr">
        <is>
          <t>-</t>
        </is>
      </c>
      <c r="E11" s="214" t="n">
        <v>1.146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93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95" t="inlineStr">
        <is>
          <t>Кинф</t>
        </is>
      </c>
      <c r="D12" s="195" t="inlineStr">
        <is>
          <t>-</t>
        </is>
      </c>
      <c r="E12" s="215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4" t="n"/>
    </row>
    <row r="13" ht="63" customHeight="1" s="150">
      <c r="A13" s="193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204">
        <f>((E7*E9/E8)*E11)*E12</f>
        <v/>
      </c>
      <c r="F13" s="1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2023-08-25T11:34:42Z</dcterms:created>
  <dcterms:modified xsi:type="dcterms:W3CDTF">2025-01-24T12:00:01Z</dcterms:modified>
  <cp:lastModifiedBy>Nikolay Ivanov</cp:lastModifiedBy>
  <cp:lastPrinted>2023-11-30T09:21:25Z</cp:lastPrinted>
</cp:coreProperties>
</file>