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табл'!$A$1:$F$32</definedName>
    <definedName name="_xlnm.Print_Area" localSheetId="1">'Прил.2 Расч стоим'!$A$1:$J$23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5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4" fontId="0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49" fontId="1" fillId="0" borderId="1" pivotButton="0" quotePrefix="0" xfId="0"/>
    <xf numFmtId="165" fontId="7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43" fontId="5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2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center" vertical="center"/>
    </xf>
    <xf numFmtId="49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" fillId="0" borderId="9" applyAlignment="1" pivotButton="0" quotePrefix="0" xfId="0">
      <alignment horizontal="center" vertical="center"/>
    </xf>
    <xf numFmtId="166" fontId="1" fillId="0" borderId="9" applyAlignment="1" pivotButton="0" quotePrefix="0" xfId="0">
      <alignment horizontal="center" vertical="center"/>
    </xf>
    <xf numFmtId="167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vertical="center" wrapText="1"/>
    </xf>
    <xf numFmtId="168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wrapText="1"/>
    </xf>
    <xf numFmtId="0" fontId="5" fillId="0" borderId="9" applyAlignment="1" pivotButton="0" quotePrefix="0" xfId="0">
      <alignment vertical="center" wrapText="1"/>
    </xf>
    <xf numFmtId="4" fontId="5" fillId="0" borderId="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horizontal="right" vertical="center" wrapText="1"/>
    </xf>
    <xf numFmtId="0" fontId="0" fillId="0" borderId="14" pivotButton="0" quotePrefix="0" xfId="0"/>
    <xf numFmtId="166" fontId="1" fillId="0" borderId="9" applyAlignment="1" pivotButton="0" quotePrefix="0" xfId="0">
      <alignment horizontal="center" vertical="center"/>
    </xf>
    <xf numFmtId="167" fontId="1" fillId="0" borderId="9" applyAlignment="1" pivotButton="0" quotePrefix="0" xfId="0">
      <alignment horizontal="center" vertical="center"/>
    </xf>
    <xf numFmtId="168" fontId="1" fillId="0" borderId="9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numFmt numFmtId="170" formatCode="#,##0.0000"/>
    </dxf>
    <dxf>
      <numFmt numFmtId="170" formatCode="#,##0.0000"/>
    </dxf>
    <dxf>
      <numFmt numFmtId="170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1"/>
  <sheetViews>
    <sheetView view="pageBreakPreview" topLeftCell="A22" workbookViewId="0">
      <selection activeCell="B52" sqref="B52"/>
    </sheetView>
  </sheetViews>
  <sheetFormatPr baseColWidth="8" defaultColWidth="9.140625" defaultRowHeight="15"/>
  <cols>
    <col width="9.140625" customWidth="1" style="146" min="1" max="1"/>
    <col width="36.5703125" customWidth="1" style="146" min="2" max="2"/>
    <col width="84.5703125" customWidth="1" style="146" min="3" max="3"/>
    <col width="9.140625" customWidth="1" style="146" min="4" max="4"/>
  </cols>
  <sheetData>
    <row r="1" ht="15.6" customFormat="1" customHeight="1" s="148">
      <c r="B1" s="153" t="inlineStr">
        <is>
          <t>Приложение № 1</t>
        </is>
      </c>
    </row>
    <row r="2" ht="15.6" customFormat="1" customHeight="1" s="148">
      <c r="B2" s="154" t="inlineStr">
        <is>
          <t>Сравнительная таблица отбора объекта-представителя</t>
        </is>
      </c>
    </row>
    <row r="3" ht="15.6" customFormat="1" customHeight="1" s="148">
      <c r="B3" s="106" t="n"/>
      <c r="C3" s="106" t="n"/>
      <c r="D3" s="106" t="n"/>
      <c r="E3" s="106" t="n"/>
      <c r="F3" s="106" t="n"/>
    </row>
    <row r="4" ht="15.6" customFormat="1" customHeight="1" s="148">
      <c r="B4" s="106" t="n"/>
      <c r="C4" s="106" t="n"/>
      <c r="D4" s="106" t="n"/>
      <c r="E4" s="106" t="n"/>
      <c r="F4" s="106" t="n"/>
    </row>
    <row r="5" ht="15.6" customFormat="1" customHeight="1" s="148">
      <c r="B5" s="155" t="inlineStr">
        <is>
          <t>Наименование разрабатываемого показателя УНЦ — Накопитель электроэнергии</t>
        </is>
      </c>
      <c r="H5" s="107" t="n"/>
    </row>
    <row r="6" ht="31.7" customFormat="1" customHeight="1" s="148">
      <c r="B6" s="155" t="inlineStr">
        <is>
          <t>Сопоставимый уровень цен: базовый уровень цен</t>
        </is>
      </c>
    </row>
    <row r="7" ht="15.6" customFormat="1" customHeight="1" s="148">
      <c r="B7" s="155" t="inlineStr">
        <is>
          <t>Единица измерения  — кВт</t>
        </is>
      </c>
      <c r="H7" s="107" t="n"/>
    </row>
    <row r="8" ht="15.6" customFormat="1" customHeight="1" s="148"/>
    <row r="11" ht="15.6" customHeight="1" s="146">
      <c r="A11" s="171" t="inlineStr">
        <is>
          <t>№ п/п</t>
        </is>
      </c>
      <c r="B11" s="171" t="inlineStr">
        <is>
          <t>Параметр</t>
        </is>
      </c>
      <c r="C11" s="171" t="inlineStr">
        <is>
          <t>Объект-представитель</t>
        </is>
      </c>
    </row>
    <row r="12" ht="31.35" customHeight="1" s="146">
      <c r="A12" s="171" t="n">
        <v>1</v>
      </c>
      <c r="B12" s="121" t="inlineStr">
        <is>
          <t>Наименование объекта-представителя</t>
        </is>
      </c>
      <c r="C12" s="171" t="inlineStr">
        <is>
          <t>Модернизация ТП-1410 в части установки системы накопления энергии</t>
        </is>
      </c>
    </row>
    <row r="13" ht="31.35" customHeight="1" s="146">
      <c r="A13" s="171" t="n">
        <v>2</v>
      </c>
      <c r="B13" s="121" t="inlineStr">
        <is>
          <t>Наименование субъекта Российской Федерации</t>
        </is>
      </c>
      <c r="C13" s="171" t="inlineStr">
        <is>
          <t>Ленинградская область</t>
        </is>
      </c>
    </row>
    <row r="14" ht="15.6" customHeight="1" s="146">
      <c r="A14" s="171" t="n">
        <v>3</v>
      </c>
      <c r="B14" s="121" t="inlineStr">
        <is>
          <t>Климатический район и подрайон</t>
        </is>
      </c>
      <c r="C14" s="171" t="n"/>
    </row>
    <row r="15" ht="15.6" customHeight="1" s="146">
      <c r="A15" s="171" t="n">
        <v>4</v>
      </c>
      <c r="B15" s="121" t="inlineStr">
        <is>
          <t>Мощность объекта, кВа</t>
        </is>
      </c>
      <c r="C15" s="171" t="n">
        <v>250</v>
      </c>
    </row>
    <row r="16" ht="93.59999999999999" customHeight="1" s="146">
      <c r="A16" s="171" t="n">
        <v>5</v>
      </c>
      <c r="B16" s="12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71" t="inlineStr">
        <is>
          <t>Блочно-модульное здание СНЭ 250 кВт Тип элетрохимии LifePO4 УХЛ1 Трансформатор ТСН5 500/5А</t>
        </is>
      </c>
      <c r="H16" s="108" t="n"/>
    </row>
    <row r="17" ht="78" customHeight="1" s="146">
      <c r="A17" s="171" t="n">
        <v>6</v>
      </c>
      <c r="B17" s="12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71" t="inlineStr">
        <is>
          <t>5 735,75/32 943,87 4 квартал 2021 г.</t>
        </is>
      </c>
    </row>
    <row r="18" ht="15.6" customHeight="1" s="146">
      <c r="A18" s="123" t="inlineStr">
        <is>
          <t>6.1</t>
        </is>
      </c>
      <c r="B18" s="121" t="inlineStr">
        <is>
          <t>строительно-монтажные работы</t>
        </is>
      </c>
      <c r="C18" s="171" t="inlineStr">
        <is>
          <t>18,36/297,60</t>
        </is>
      </c>
      <c r="H18" s="108" t="n"/>
    </row>
    <row r="19" ht="15.6" customHeight="1" s="146">
      <c r="A19" s="123" t="inlineStr">
        <is>
          <t>6.2</t>
        </is>
      </c>
      <c r="B19" s="121" t="inlineStr">
        <is>
          <t>оборудование и инвентарь</t>
        </is>
      </c>
      <c r="C19" s="171" t="inlineStr">
        <is>
          <t>5 717,39/32 646,27</t>
        </is>
      </c>
    </row>
    <row r="20" ht="15.6" customHeight="1" s="146">
      <c r="A20" s="123" t="inlineStr">
        <is>
          <t>6.3</t>
        </is>
      </c>
      <c r="B20" s="121" t="inlineStr">
        <is>
          <t>пусконаладочные работы</t>
        </is>
      </c>
      <c r="C20" s="171" t="n"/>
    </row>
    <row r="21" ht="15.6" customHeight="1" s="146">
      <c r="A21" s="123" t="inlineStr">
        <is>
          <t>6.4</t>
        </is>
      </c>
      <c r="B21" s="121" t="inlineStr">
        <is>
          <t>прочие и лимитированные затраты</t>
        </is>
      </c>
      <c r="C21" s="171" t="n"/>
    </row>
    <row r="22" ht="15.6" customHeight="1" s="146">
      <c r="A22" s="124" t="n">
        <v>7</v>
      </c>
      <c r="B22" s="121" t="inlineStr">
        <is>
          <t>Сопоставимый уровень цен</t>
        </is>
      </c>
      <c r="C22" s="124" t="inlineStr">
        <is>
          <t xml:space="preserve">4 квартал 2021 г. </t>
        </is>
      </c>
    </row>
    <row r="23" ht="109.15" customHeight="1" s="146">
      <c r="A23" s="124" t="n">
        <v>8</v>
      </c>
      <c r="B23" s="12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71" t="n">
        <v>32943.87</v>
      </c>
    </row>
    <row r="24" ht="46.9" customHeight="1" s="146">
      <c r="A24" s="124" t="n">
        <v>9</v>
      </c>
      <c r="B24" s="121" t="inlineStr">
        <is>
          <t>Приведенная сметная стоимость на единицу мощности, тыс. руб. (строка 8/строку 4)</t>
        </is>
      </c>
      <c r="C24" s="125">
        <f>C23/C15</f>
        <v/>
      </c>
    </row>
    <row r="25" ht="15.6" customHeight="1" s="146">
      <c r="A25" s="124" t="n">
        <v>10</v>
      </c>
      <c r="B25" s="121" t="inlineStr">
        <is>
          <t>Примечание</t>
        </is>
      </c>
      <c r="C25" s="171" t="n"/>
    </row>
    <row r="27" ht="15.6" customFormat="1" customHeight="1" s="148">
      <c r="C27" s="148" t="inlineStr">
        <is>
          <t>Составил ______________________         М.С. Колотиевская</t>
        </is>
      </c>
    </row>
    <row r="28" ht="15.6" customFormat="1" customHeight="1" s="148">
      <c r="C28" s="104" t="inlineStr">
        <is>
          <t xml:space="preserve">                         (подпись, инициалы, фамилия)</t>
        </is>
      </c>
    </row>
    <row r="29" ht="15.6" customFormat="1" customHeight="1" s="148"/>
    <row r="30" ht="15.6" customHeight="1" s="146">
      <c r="B30" s="148" t="n"/>
      <c r="C30" s="148" t="inlineStr">
        <is>
          <t>Проверил ______________________          А.В. Костянецкая</t>
        </is>
      </c>
      <c r="D30" s="148" t="n"/>
      <c r="E30" s="148" t="n"/>
      <c r="F30" s="148" t="n"/>
      <c r="G30" s="148" t="n"/>
      <c r="H30" s="148" t="n"/>
      <c r="I30" s="148" t="n"/>
    </row>
    <row r="31" ht="15.6" customHeight="1" s="146">
      <c r="B31" s="148" t="n"/>
      <c r="C31" s="104" t="inlineStr">
        <is>
          <t xml:space="preserve">                        (подпись, инициалы, фамилия)</t>
        </is>
      </c>
      <c r="D31" s="148" t="n"/>
      <c r="E31" s="148" t="n"/>
      <c r="F31" s="148" t="n"/>
      <c r="G31" s="148" t="n"/>
      <c r="H31" s="148" t="n"/>
      <c r="I31" s="148" t="n"/>
    </row>
  </sheetData>
  <mergeCells count="5">
    <mergeCell ref="B7:F7"/>
    <mergeCell ref="B6:F6"/>
    <mergeCell ref="B2:F2"/>
    <mergeCell ref="B5:F5"/>
    <mergeCell ref="B1:F1"/>
  </mergeCells>
  <pageMargins left="0.7" right="0.7" top="0.75" bottom="0.75" header="0.3" footer="0.3"/>
  <pageSetup orientation="portrait" paperSize="9" scale="55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4"/>
  <sheetViews>
    <sheetView view="pageBreakPreview" zoomScaleNormal="85" workbookViewId="0">
      <selection activeCell="C20" sqref="C20"/>
    </sheetView>
  </sheetViews>
  <sheetFormatPr baseColWidth="8" defaultColWidth="9.140625" defaultRowHeight="15"/>
  <cols>
    <col width="5.42578125" customWidth="1" style="146" min="1" max="1"/>
    <col width="9.140625" customWidth="1" style="146" min="2" max="2"/>
    <col width="28.140625" customWidth="1" style="146" min="3" max="3"/>
    <col width="13.85546875" customWidth="1" style="146" min="4" max="4"/>
    <col width="39" customWidth="1" style="146" min="5" max="5"/>
    <col width="14.42578125" customWidth="1" style="146" min="6" max="6"/>
    <col width="21.42578125" customWidth="1" style="146" min="7" max="7"/>
    <col width="19.42578125" customWidth="1" style="146" min="8" max="8"/>
    <col width="13" customWidth="1" style="146" min="9" max="9"/>
    <col width="20.85546875" customWidth="1" style="146" min="10" max="10"/>
    <col width="18" customWidth="1" style="146" min="11" max="11"/>
    <col width="9.140625" customWidth="1" style="146" min="12" max="12"/>
  </cols>
  <sheetData>
    <row r="3" ht="15.6" customHeight="1" s="146">
      <c r="B3" s="153" t="inlineStr">
        <is>
          <t>Приложение № 2</t>
        </is>
      </c>
    </row>
    <row r="4" ht="15.6" customHeight="1" s="146">
      <c r="B4" s="154" t="inlineStr">
        <is>
          <t>Расчет стоимости основных видов работ для выбора объекта-представителя</t>
        </is>
      </c>
    </row>
    <row r="5" ht="15.6" customHeight="1" s="146"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  <c r="K5" s="106" t="n"/>
    </row>
    <row r="6" ht="15.6" customHeight="1" s="146">
      <c r="B6" s="155">
        <f>'Прил.1 Сравнит табл'!B5:F5</f>
        <v/>
      </c>
      <c r="L6" s="110" t="n"/>
    </row>
    <row r="7" ht="15.6" customHeight="1" s="146">
      <c r="B7" s="159">
        <f>'Прил.1 Сравнит табл'!B7:F7</f>
        <v/>
      </c>
      <c r="L7" s="110" t="n"/>
    </row>
    <row r="8" ht="18" customHeight="1" s="146">
      <c r="B8" s="111" t="n"/>
      <c r="K8" s="112" t="n"/>
    </row>
    <row r="9" ht="15.6" customFormat="1" customHeight="1" s="148">
      <c r="B9" s="171" t="inlineStr">
        <is>
          <t>№ п/п</t>
        </is>
      </c>
      <c r="C9" s="1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1" t="inlineStr">
        <is>
          <t>Модернизация ТП-1410 в части установки системы накопления энергии</t>
        </is>
      </c>
      <c r="E9" s="202" t="n"/>
      <c r="F9" s="202" t="n"/>
      <c r="G9" s="202" t="n"/>
      <c r="H9" s="202" t="n"/>
      <c r="I9" s="202" t="n"/>
      <c r="J9" s="203" t="n"/>
    </row>
    <row r="10" ht="15.6" customFormat="1" customHeight="1" s="148">
      <c r="B10" s="204" t="n"/>
      <c r="C10" s="204" t="n"/>
      <c r="D10" s="171" t="inlineStr">
        <is>
          <t>Номер сметы</t>
        </is>
      </c>
      <c r="E10" s="171" t="inlineStr">
        <is>
          <t>Наименование сметы</t>
        </is>
      </c>
      <c r="F10" s="171" t="inlineStr">
        <is>
          <t>Сметная стоимость в уровне цен 4 квартал 2021 г., тыс. руб.</t>
        </is>
      </c>
      <c r="G10" s="202" t="n"/>
      <c r="H10" s="202" t="n"/>
      <c r="I10" s="202" t="n"/>
      <c r="J10" s="203" t="n"/>
    </row>
    <row r="11" ht="31.35" customFormat="1" customHeight="1" s="148">
      <c r="B11" s="205" t="n"/>
      <c r="C11" s="205" t="n"/>
      <c r="D11" s="205" t="n"/>
      <c r="E11" s="205" t="n"/>
      <c r="F11" s="171" t="inlineStr">
        <is>
          <t>Строительные работы</t>
        </is>
      </c>
      <c r="G11" s="171" t="inlineStr">
        <is>
          <t>Монтажные работы</t>
        </is>
      </c>
      <c r="H11" s="171" t="inlineStr">
        <is>
          <t>Оборудование</t>
        </is>
      </c>
      <c r="I11" s="171" t="inlineStr">
        <is>
          <t>Прочее</t>
        </is>
      </c>
      <c r="J11" s="171" t="inlineStr">
        <is>
          <t>Всего</t>
        </is>
      </c>
    </row>
    <row r="12" ht="31.35" customFormat="1" customHeight="1" s="148">
      <c r="B12" s="171" t="n">
        <v>1</v>
      </c>
      <c r="C12" s="183" t="n"/>
      <c r="D12" s="113" t="inlineStr">
        <is>
          <t>05-02-01</t>
        </is>
      </c>
      <c r="E12" s="177" t="inlineStr">
        <is>
          <t>Подъездная автодорога, парковочная площадка</t>
        </is>
      </c>
      <c r="F12" s="185" t="n">
        <v>297.6</v>
      </c>
      <c r="G12" s="114" t="n"/>
      <c r="H12" s="114" t="n">
        <v>32646.27</v>
      </c>
      <c r="I12" s="184" t="n"/>
      <c r="J12" s="185" t="n">
        <v>32943.87</v>
      </c>
    </row>
    <row r="13" ht="15.6" customFormat="1" customHeight="1" s="148">
      <c r="B13" s="206" t="inlineStr">
        <is>
          <t>Всего по объекту:</t>
        </is>
      </c>
      <c r="C13" s="202" t="n"/>
      <c r="D13" s="202" t="n"/>
      <c r="E13" s="203" t="n"/>
      <c r="F13" s="115" t="n">
        <v>297.6</v>
      </c>
      <c r="G13" s="115" t="n">
        <v>0</v>
      </c>
      <c r="H13" s="115" t="n">
        <v>32646.27</v>
      </c>
      <c r="I13" s="115" t="n">
        <v>0</v>
      </c>
      <c r="J13" s="115" t="n">
        <v>32943.87</v>
      </c>
    </row>
    <row r="14" ht="15.6" customFormat="1" customHeight="1" s="148">
      <c r="B14" s="206" t="inlineStr">
        <is>
          <t>Всего по объекту в сопоставимом уровне цен 4 кв. 2021г:</t>
        </is>
      </c>
      <c r="C14" s="202" t="n"/>
      <c r="D14" s="202" t="n"/>
      <c r="E14" s="203" t="n"/>
      <c r="F14" s="207" t="n">
        <v>297.6</v>
      </c>
      <c r="G14" s="207" t="n">
        <v>0</v>
      </c>
      <c r="H14" s="207" t="n">
        <v>32646.27</v>
      </c>
      <c r="I14" s="207" t="n">
        <v>0</v>
      </c>
      <c r="J14" s="207" t="n">
        <v>32943.87</v>
      </c>
    </row>
    <row r="15" ht="15.6" customFormat="1" customHeight="1" s="148">
      <c r="B15" s="155" t="n"/>
      <c r="C15" s="148" t="n"/>
      <c r="D15" s="148" t="n"/>
      <c r="E15" s="148" t="n"/>
      <c r="F15" s="148" t="n"/>
      <c r="G15" s="148" t="n"/>
      <c r="H15" s="148" t="n"/>
      <c r="I15" s="148" t="n"/>
      <c r="J15" s="148" t="n"/>
    </row>
    <row r="16" ht="15.6" customFormat="1" customHeight="1" s="148">
      <c r="B16" s="155" t="n"/>
      <c r="C16" s="148" t="n"/>
      <c r="D16" s="148" t="n"/>
      <c r="E16" s="148" t="n"/>
      <c r="F16" s="148" t="n"/>
      <c r="G16" s="148" t="n"/>
      <c r="H16" s="148" t="n"/>
      <c r="I16" s="148" t="n"/>
      <c r="J16" s="148" t="n"/>
      <c r="K16" s="119" t="n"/>
    </row>
    <row r="17" ht="15.6" customFormat="1" customHeight="1" s="148">
      <c r="B17" s="155" t="n"/>
    </row>
    <row r="18" ht="15.6" customFormat="1" customHeight="1" s="148"/>
    <row r="19" ht="15.6" customFormat="1" customHeight="1" s="148">
      <c r="C19" s="148" t="inlineStr">
        <is>
          <t>Составил ______________________         М.С. Колотиевская</t>
        </is>
      </c>
    </row>
    <row r="20" ht="15.6" customFormat="1" customHeight="1" s="148">
      <c r="C20" s="104" t="inlineStr">
        <is>
          <t xml:space="preserve">                         (подпись, инициалы, фамилия)</t>
        </is>
      </c>
    </row>
    <row r="21" ht="15.6" customFormat="1" customHeight="1" s="148"/>
    <row r="22" ht="15.6" customHeight="1" s="146">
      <c r="B22" s="148" t="n"/>
      <c r="C22" s="148" t="inlineStr">
        <is>
          <t>Проверил ______________________          А.В. Костянецкая</t>
        </is>
      </c>
      <c r="D22" s="148" t="n"/>
      <c r="E22" s="148" t="n"/>
      <c r="F22" s="148" t="n"/>
      <c r="G22" s="148" t="n"/>
      <c r="H22" s="148" t="n"/>
      <c r="I22" s="148" t="n"/>
      <c r="J22" s="148" t="n"/>
    </row>
    <row r="23" ht="15.6" customHeight="1" s="146">
      <c r="B23" s="148" t="n"/>
      <c r="C23" s="104" t="inlineStr">
        <is>
          <t xml:space="preserve">                        (подпись, инициалы, фамилия)</t>
        </is>
      </c>
      <c r="D23" s="148" t="n"/>
      <c r="E23" s="148" t="n"/>
      <c r="F23" s="148" t="n"/>
      <c r="G23" s="148" t="n"/>
      <c r="H23" s="148" t="n"/>
      <c r="I23" s="148" t="n"/>
      <c r="J23" s="148" t="n"/>
    </row>
    <row r="24" ht="15.6" customHeight="1" s="146">
      <c r="B24" s="148" t="n"/>
      <c r="C24" s="148" t="n"/>
      <c r="D24" s="148" t="n"/>
      <c r="E24" s="148" t="n"/>
      <c r="F24" s="148" t="n"/>
      <c r="G24" s="148" t="n"/>
      <c r="H24" s="148" t="n"/>
      <c r="I24" s="148" t="n"/>
      <c r="J24" s="14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75"/>
  <sheetViews>
    <sheetView view="pageBreakPreview" topLeftCell="A46" zoomScale="60" zoomScaleNormal="100" workbookViewId="0">
      <selection activeCell="D73" sqref="D73"/>
    </sheetView>
  </sheetViews>
  <sheetFormatPr baseColWidth="8" defaultColWidth="9.140625" defaultRowHeight="15"/>
  <cols>
    <col width="9.140625" customWidth="1" style="146" min="1" max="1"/>
    <col width="12.42578125" customWidth="1" style="146" min="2" max="2"/>
    <col width="17" customWidth="1" style="146" min="3" max="3"/>
    <col width="49.5703125" customWidth="1" style="146" min="4" max="4"/>
    <col width="16.42578125" customWidth="1" style="146" min="5" max="5"/>
    <col width="20.5703125" customWidth="1" style="146" min="6" max="6"/>
    <col width="16.140625" customWidth="1" style="146" min="7" max="7"/>
    <col width="16.5703125" customWidth="1" style="146" min="8" max="8"/>
    <col width="9.140625" customWidth="1" style="146" min="9" max="9"/>
  </cols>
  <sheetData>
    <row r="2" ht="15.6" customHeight="1" s="146">
      <c r="A2" s="153" t="inlineStr">
        <is>
          <t xml:space="preserve">Приложение № 3 </t>
        </is>
      </c>
    </row>
    <row r="3" ht="17.45" customHeight="1" s="146">
      <c r="A3" s="169" t="inlineStr">
        <is>
          <t>Объектная ресурсная ведомость</t>
        </is>
      </c>
    </row>
    <row r="4" ht="18.75" customHeight="1" s="146">
      <c r="A4" s="169" t="n"/>
      <c r="B4" s="169" t="n"/>
      <c r="C4" s="1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48" t="n"/>
      <c r="J4" s="148" t="n"/>
      <c r="K4" s="148" t="n"/>
      <c r="L4" s="148" t="n"/>
    </row>
    <row r="5" ht="18.75" customHeight="1" s="146">
      <c r="A5" s="169" t="n"/>
      <c r="B5" s="169" t="n"/>
      <c r="C5" s="170" t="n"/>
      <c r="D5" s="170" t="n"/>
      <c r="E5" s="170" t="n"/>
      <c r="F5" s="170" t="n"/>
      <c r="G5" s="170" t="n"/>
      <c r="H5" s="170" t="n"/>
      <c r="I5" s="148" t="n"/>
      <c r="J5" s="148" t="n"/>
      <c r="K5" s="148" t="n"/>
      <c r="L5" s="148" t="n"/>
    </row>
    <row r="6" ht="18" customHeight="1" s="146">
      <c r="A6" s="111" t="n"/>
    </row>
    <row r="7" ht="15.6" customHeight="1" s="146">
      <c r="A7" s="159" t="inlineStr">
        <is>
          <t>Наименование разрабатываемого показателя УНЦ -  Накопитель электроэнергии</t>
        </is>
      </c>
    </row>
    <row r="8" ht="15.6" customFormat="1" customHeight="1" s="148">
      <c r="A8" s="126" t="n"/>
      <c r="B8" s="126" t="n"/>
      <c r="C8" s="126" t="n"/>
      <c r="D8" s="126" t="n"/>
      <c r="E8" s="126" t="n"/>
      <c r="F8" s="126" t="n"/>
      <c r="G8" s="126" t="n"/>
      <c r="H8" s="126" t="n"/>
    </row>
    <row r="9" ht="38.25" customFormat="1" customHeight="1" s="148">
      <c r="A9" s="162" t="inlineStr">
        <is>
          <t>п/п</t>
        </is>
      </c>
      <c r="B9" s="162" t="inlineStr">
        <is>
          <t>№ЛСР</t>
        </is>
      </c>
      <c r="C9" s="162" t="inlineStr">
        <is>
          <t>Код ресурса</t>
        </is>
      </c>
      <c r="D9" s="162" t="inlineStr">
        <is>
          <t>Наименование ресурса</t>
        </is>
      </c>
      <c r="E9" s="162" t="inlineStr">
        <is>
          <t>Ед. изм.</t>
        </is>
      </c>
      <c r="F9" s="162" t="inlineStr">
        <is>
          <t>Кол-во единиц по данным объекта-представителя</t>
        </is>
      </c>
      <c r="G9" s="162" t="inlineStr">
        <is>
          <t>Сметная стоимость в ценах на 01.01.2000 (руб.)</t>
        </is>
      </c>
      <c r="H9" s="208" t="n"/>
    </row>
    <row r="10" ht="40.7" customFormat="1" customHeight="1" s="148">
      <c r="A10" s="205" t="n"/>
      <c r="B10" s="205" t="n"/>
      <c r="C10" s="205" t="n"/>
      <c r="D10" s="205" t="n"/>
      <c r="E10" s="205" t="n"/>
      <c r="F10" s="205" t="n"/>
      <c r="G10" s="171" t="inlineStr">
        <is>
          <t>на ед.изм.</t>
        </is>
      </c>
      <c r="H10" s="171" t="inlineStr">
        <is>
          <t>общая</t>
        </is>
      </c>
    </row>
    <row r="11" ht="15.6" customFormat="1" customHeight="1" s="148">
      <c r="A11" s="171" t="n">
        <v>1</v>
      </c>
      <c r="B11" s="171" t="n"/>
      <c r="C11" s="171" t="n">
        <v>2</v>
      </c>
      <c r="D11" s="171" t="inlineStr">
        <is>
          <t>З</t>
        </is>
      </c>
      <c r="E11" s="171" t="n">
        <v>4</v>
      </c>
      <c r="F11" s="171" t="n">
        <v>5</v>
      </c>
      <c r="G11" s="17" t="n">
        <v>6</v>
      </c>
      <c r="H11" s="17" t="n">
        <v>7</v>
      </c>
    </row>
    <row r="12" ht="15.6" customFormat="1" customHeight="1" s="15">
      <c r="A12" s="166" t="inlineStr">
        <is>
          <t>Затраты труда рабочих</t>
        </is>
      </c>
      <c r="B12" s="202" t="n"/>
      <c r="C12" s="202" t="n"/>
      <c r="D12" s="202" t="n"/>
      <c r="E12" s="203" t="n"/>
      <c r="F12" s="166" t="n">
        <v>217.375565</v>
      </c>
      <c r="G12" s="19" t="n"/>
      <c r="H12" s="19">
        <f>SUM(H13:H22)</f>
        <v/>
      </c>
    </row>
    <row r="13" ht="15.6" customFormat="1" customHeight="1" s="148">
      <c r="A13" s="167" t="n">
        <v>1</v>
      </c>
      <c r="B13" s="167" t="n"/>
      <c r="C13" s="168" t="inlineStr">
        <is>
          <t>1-100-36</t>
        </is>
      </c>
      <c r="D13" s="168" t="inlineStr">
        <is>
          <t>Затраты труда рабочих (ср 3,6)</t>
        </is>
      </c>
      <c r="E13" s="167" t="inlineStr">
        <is>
          <t>чел.-ч</t>
        </is>
      </c>
      <c r="F13" s="167" t="n">
        <v>142.56</v>
      </c>
      <c r="G13" s="172" t="n">
        <v>9.18</v>
      </c>
      <c r="H13" s="172">
        <f>ROUND(F13*G13,2)</f>
        <v/>
      </c>
    </row>
    <row r="14" ht="15.6" customFormat="1" customHeight="1" s="148">
      <c r="A14" s="167" t="n">
        <v>2</v>
      </c>
      <c r="B14" s="167" t="n"/>
      <c r="C14" s="168" t="inlineStr">
        <is>
          <t>1-100-20</t>
        </is>
      </c>
      <c r="D14" s="168" t="inlineStr">
        <is>
          <t>Затраты труда рабочих (ср 2)</t>
        </is>
      </c>
      <c r="E14" s="167" t="inlineStr">
        <is>
          <t>чел.-ч</t>
        </is>
      </c>
      <c r="F14" s="167" t="n">
        <v>24.6194668</v>
      </c>
      <c r="G14" s="172" t="n">
        <v>7.8</v>
      </c>
      <c r="H14" s="172">
        <f>ROUND(F14*G14,2)</f>
        <v/>
      </c>
    </row>
    <row r="15" ht="15.6" customFormat="1" customHeight="1" s="148">
      <c r="A15" s="167" t="n">
        <v>3</v>
      </c>
      <c r="B15" s="167" t="n"/>
      <c r="C15" s="168" t="inlineStr">
        <is>
          <t>1-100-38</t>
        </is>
      </c>
      <c r="D15" s="168" t="inlineStr">
        <is>
          <t>Затраты труда рабочих (ср 3,8)</t>
        </is>
      </c>
      <c r="E15" s="167" t="inlineStr">
        <is>
          <t>чел.-ч</t>
        </is>
      </c>
      <c r="F15" s="167" t="n">
        <v>11.9094</v>
      </c>
      <c r="G15" s="172" t="n">
        <v>9.4</v>
      </c>
      <c r="H15" s="172">
        <f>ROUND(F15*G15,2)</f>
        <v/>
      </c>
    </row>
    <row r="16" ht="15.6" customFormat="1" customHeight="1" s="148">
      <c r="A16" s="167" t="n">
        <v>4</v>
      </c>
      <c r="B16" s="167" t="n"/>
      <c r="C16" s="168" t="inlineStr">
        <is>
          <t>1-100-23</t>
        </is>
      </c>
      <c r="D16" s="168" t="inlineStr">
        <is>
          <t>Затраты труда рабочих (ср 2,3)</t>
        </is>
      </c>
      <c r="E16" s="167" t="inlineStr">
        <is>
          <t>чел.-ч</t>
        </is>
      </c>
      <c r="F16" s="167" t="n">
        <v>8.379474999999999</v>
      </c>
      <c r="G16" s="172" t="n">
        <v>8.02</v>
      </c>
      <c r="H16" s="172">
        <f>ROUND(F16*G16,2)</f>
        <v/>
      </c>
    </row>
    <row r="17" ht="15.6" customFormat="1" customHeight="1" s="148">
      <c r="A17" s="167" t="n">
        <v>5</v>
      </c>
      <c r="B17" s="167" t="n"/>
      <c r="C17" s="168" t="inlineStr">
        <is>
          <t>1-100-32</t>
        </is>
      </c>
      <c r="D17" s="168" t="inlineStr">
        <is>
          <t>Затраты труда рабочих (ср 3,2)</t>
        </is>
      </c>
      <c r="E17" s="167" t="inlineStr">
        <is>
          <t>чел.-ч</t>
        </is>
      </c>
      <c r="F17" s="167" t="n">
        <v>7.498</v>
      </c>
      <c r="G17" s="172" t="n">
        <v>8.74</v>
      </c>
      <c r="H17" s="172">
        <f>ROUND(F17*G17,2)</f>
        <v/>
      </c>
    </row>
    <row r="18" ht="15.6" customFormat="1" customHeight="1" s="148">
      <c r="A18" s="167" t="n">
        <v>6</v>
      </c>
      <c r="B18" s="167" t="n"/>
      <c r="C18" s="168" t="inlineStr">
        <is>
          <t>1-100-27</t>
        </is>
      </c>
      <c r="D18" s="168" t="inlineStr">
        <is>
          <t>Затраты труда рабочих (ср 2,7)</t>
        </is>
      </c>
      <c r="E18" s="167" t="inlineStr">
        <is>
          <t>чел.-ч</t>
        </is>
      </c>
      <c r="F18" s="167" t="n">
        <v>7.464397</v>
      </c>
      <c r="G18" s="172" t="n">
        <v>8.31</v>
      </c>
      <c r="H18" s="172">
        <f>ROUND(F18*G18,2)</f>
        <v/>
      </c>
    </row>
    <row r="19" ht="15.6" customFormat="1" customHeight="1" s="148">
      <c r="A19" s="167" t="n">
        <v>7</v>
      </c>
      <c r="B19" s="167" t="n"/>
      <c r="C19" s="168" t="inlineStr">
        <is>
          <t>1-100-15</t>
        </is>
      </c>
      <c r="D19" s="168" t="inlineStr">
        <is>
          <t>Затраты труда рабочих (ср 1,5)</t>
        </is>
      </c>
      <c r="E19" s="167" t="inlineStr">
        <is>
          <t>чел.-ч</t>
        </is>
      </c>
      <c r="F19" s="167" t="n">
        <v>7.918095</v>
      </c>
      <c r="G19" s="172" t="n">
        <v>7.5</v>
      </c>
      <c r="H19" s="172">
        <f>ROUND(F19*G19,2)</f>
        <v/>
      </c>
    </row>
    <row r="20" ht="15.6" customFormat="1" customHeight="1" s="148">
      <c r="A20" s="167" t="n">
        <v>8</v>
      </c>
      <c r="B20" s="167" t="n"/>
      <c r="C20" s="168" t="inlineStr">
        <is>
          <t>1-100-30</t>
        </is>
      </c>
      <c r="D20" s="168" t="inlineStr">
        <is>
          <t>Затраты труда рабочих (ср 3)</t>
        </is>
      </c>
      <c r="E20" s="167" t="inlineStr">
        <is>
          <t>чел.-ч</t>
        </is>
      </c>
      <c r="F20" s="167" t="n">
        <v>2.6182062</v>
      </c>
      <c r="G20" s="172" t="n">
        <v>8.529999999999999</v>
      </c>
      <c r="H20" s="172">
        <f>ROUND(F20*G20,2)</f>
        <v/>
      </c>
    </row>
    <row r="21" ht="15.6" customFormat="1" customHeight="1" s="148">
      <c r="A21" s="167" t="n">
        <v>9</v>
      </c>
      <c r="B21" s="167" t="n"/>
      <c r="C21" s="168" t="inlineStr">
        <is>
          <t>1-100-25</t>
        </is>
      </c>
      <c r="D21" s="168" t="inlineStr">
        <is>
          <t>Затраты труда рабочих (ср 2,5)</t>
        </is>
      </c>
      <c r="E21" s="167" t="inlineStr">
        <is>
          <t>чел.-ч</t>
        </is>
      </c>
      <c r="F21" s="167" t="n">
        <v>2.51735</v>
      </c>
      <c r="G21" s="172" t="n">
        <v>8.17</v>
      </c>
      <c r="H21" s="172">
        <f>ROUND(F21*G21,2)</f>
        <v/>
      </c>
    </row>
    <row r="22" ht="15.6" customFormat="1" customHeight="1" s="148">
      <c r="A22" s="167" t="n">
        <v>10</v>
      </c>
      <c r="B22" s="167" t="n"/>
      <c r="C22" s="168" t="inlineStr">
        <is>
          <t>1-100-33</t>
        </is>
      </c>
      <c r="D22" s="168" t="inlineStr">
        <is>
          <t>Затраты труда рабочих (ср 3,3)</t>
        </is>
      </c>
      <c r="E22" s="167" t="inlineStr">
        <is>
          <t>чел.-ч</t>
        </is>
      </c>
      <c r="F22" s="167" t="n">
        <v>1.891175</v>
      </c>
      <c r="G22" s="172" t="n">
        <v>8.859999999999999</v>
      </c>
      <c r="H22" s="172">
        <f>ROUND(F22*G22,2)</f>
        <v/>
      </c>
    </row>
    <row r="23" ht="15.6" customFormat="1" customHeight="1" s="15">
      <c r="A23" s="166" t="inlineStr">
        <is>
          <t>Затраты труда машинистов</t>
        </is>
      </c>
      <c r="B23" s="202" t="n"/>
      <c r="C23" s="202" t="n"/>
      <c r="D23" s="202" t="n"/>
      <c r="E23" s="203" t="n"/>
      <c r="F23" s="166" t="n">
        <v>23.3416286</v>
      </c>
      <c r="G23" s="19" t="n"/>
      <c r="H23" s="19">
        <f>SUM(H24:H24)</f>
        <v/>
      </c>
    </row>
    <row r="24" ht="15.6" customFormat="1" customHeight="1" s="148">
      <c r="A24" s="167" t="n">
        <v>11</v>
      </c>
      <c r="B24" s="167" t="n"/>
      <c r="C24" s="168" t="n">
        <v>2</v>
      </c>
      <c r="D24" s="168" t="inlineStr">
        <is>
          <t>Затраты труда машинистов</t>
        </is>
      </c>
      <c r="E24" s="167" t="inlineStr">
        <is>
          <t>чел.-ч</t>
        </is>
      </c>
      <c r="F24" s="167" t="n">
        <v>23.3416286</v>
      </c>
      <c r="G24" s="172" t="n">
        <v>13.19</v>
      </c>
      <c r="H24" s="172">
        <f>ROUND(F24*G24,2)</f>
        <v/>
      </c>
    </row>
    <row r="25" ht="15.6" customFormat="1" customHeight="1" s="15">
      <c r="A25" s="166" t="inlineStr">
        <is>
          <t>Машины и механизмы</t>
        </is>
      </c>
      <c r="B25" s="202" t="n"/>
      <c r="C25" s="202" t="n"/>
      <c r="D25" s="202" t="n"/>
      <c r="E25" s="203" t="n"/>
      <c r="F25" s="166" t="n"/>
      <c r="G25" s="19" t="n"/>
      <c r="H25" s="19">
        <f>SUM(H26:H46)</f>
        <v/>
      </c>
    </row>
    <row r="26" ht="31.35" customFormat="1" customHeight="1" s="148">
      <c r="A26" s="167" t="n">
        <v>12</v>
      </c>
      <c r="B26" s="167" t="n"/>
      <c r="C26" s="24" t="inlineStr">
        <is>
          <t>91.05.08-006</t>
        </is>
      </c>
      <c r="D26" s="168" t="inlineStr">
        <is>
          <t>Краны на пневмоколесном ходу, грузоподъемность 16 т</t>
        </is>
      </c>
      <c r="E26" s="167" t="inlineStr">
        <is>
          <t>маш.час</t>
        </is>
      </c>
      <c r="F26" s="167" t="n">
        <v>7.32</v>
      </c>
      <c r="G26" s="172" t="n">
        <v>131.16</v>
      </c>
      <c r="H26" s="172">
        <f>ROUND(F26*G26,2)</f>
        <v/>
      </c>
    </row>
    <row r="27" ht="31.35" customFormat="1" customHeight="1" s="148">
      <c r="A27" s="167" t="n">
        <v>13</v>
      </c>
      <c r="B27" s="167" t="n"/>
      <c r="C27" s="24" t="inlineStr">
        <is>
          <t>91.05.06-012</t>
        </is>
      </c>
      <c r="D27" s="168" t="inlineStr">
        <is>
          <t>Краны на гусеничном ходу, грузоподъемность до 16 т</t>
        </is>
      </c>
      <c r="E27" s="167" t="inlineStr">
        <is>
          <t>маш.час</t>
        </is>
      </c>
      <c r="F27" s="167" t="n">
        <v>6.25345</v>
      </c>
      <c r="G27" s="172" t="n">
        <v>96.89</v>
      </c>
      <c r="H27" s="172">
        <f>ROUND(F27*G27,2)</f>
        <v/>
      </c>
    </row>
    <row r="28" ht="15.6" customFormat="1" customHeight="1" s="148">
      <c r="A28" s="167" t="n">
        <v>14</v>
      </c>
      <c r="B28" s="167" t="n"/>
      <c r="C28" s="24" t="inlineStr">
        <is>
          <t>91.14.02-004</t>
        </is>
      </c>
      <c r="D28" s="168" t="inlineStr">
        <is>
          <t>Автомобили бортовые, грузоподъемность до 15 т</t>
        </is>
      </c>
      <c r="E28" s="167" t="inlineStr">
        <is>
          <t>маш.час</t>
        </is>
      </c>
      <c r="F28" s="167" t="n">
        <v>3.72</v>
      </c>
      <c r="G28" s="172" t="n">
        <v>92.94</v>
      </c>
      <c r="H28" s="172">
        <f>ROUND(F28*G28,2)</f>
        <v/>
      </c>
    </row>
    <row r="29" ht="46.9" customFormat="1" customHeight="1" s="148">
      <c r="A29" s="167" t="n">
        <v>15</v>
      </c>
      <c r="B29" s="167" t="n"/>
      <c r="C29" s="24" t="inlineStr">
        <is>
          <t>91.18.01-007</t>
        </is>
      </c>
      <c r="D29" s="1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9" s="167" t="inlineStr">
        <is>
          <t>маш.час</t>
        </is>
      </c>
      <c r="F29" s="167" t="n">
        <v>2.3992933</v>
      </c>
      <c r="G29" s="172" t="n">
        <v>90</v>
      </c>
      <c r="H29" s="172">
        <f>ROUND(F29*G29,2)</f>
        <v/>
      </c>
    </row>
    <row r="30" ht="31.35" customFormat="1" customHeight="1" s="148">
      <c r="A30" s="167" t="n">
        <v>16</v>
      </c>
      <c r="B30" s="167" t="n"/>
      <c r="C30" s="24" t="inlineStr">
        <is>
          <t>91.01.05-106</t>
        </is>
      </c>
      <c r="D30" s="168" t="inlineStr">
        <is>
          <t>Экскаваторы одноковшовые дизельные на пневмоколесном ходу, емкость ковша 0,25 м3</t>
        </is>
      </c>
      <c r="E30" s="167" t="inlineStr">
        <is>
          <t>маш.час</t>
        </is>
      </c>
      <c r="F30" s="167" t="n">
        <v>1.921144</v>
      </c>
      <c r="G30" s="172" t="n">
        <v>70.01000000000001</v>
      </c>
      <c r="H30" s="172">
        <f>ROUND(F30*G30,2)</f>
        <v/>
      </c>
    </row>
    <row r="31" ht="15.6" customFormat="1" customHeight="1" s="148">
      <c r="A31" s="167" t="n">
        <v>17</v>
      </c>
      <c r="B31" s="167" t="n"/>
      <c r="C31" s="24" t="inlineStr">
        <is>
          <t>91.08.11-011</t>
        </is>
      </c>
      <c r="D31" s="168" t="inlineStr">
        <is>
          <t>Заливщики швов на базе автомобиля</t>
        </is>
      </c>
      <c r="E31" s="167" t="inlineStr">
        <is>
          <t>маш.час</t>
        </is>
      </c>
      <c r="F31" s="167" t="n">
        <v>0.37375</v>
      </c>
      <c r="G31" s="172" t="n">
        <v>175.25</v>
      </c>
      <c r="H31" s="172">
        <f>ROUND(F31*G31,2)</f>
        <v/>
      </c>
    </row>
    <row r="32" ht="31.35" customFormat="1" customHeight="1" s="148">
      <c r="A32" s="167" t="n">
        <v>18</v>
      </c>
      <c r="B32" s="167" t="n"/>
      <c r="C32" s="24" t="inlineStr">
        <is>
          <t>91.08.06-003</t>
        </is>
      </c>
      <c r="D32" s="168" t="inlineStr">
        <is>
          <t>Нарезчики швов, максимальная глубина резки 200 мм</t>
        </is>
      </c>
      <c r="E32" s="167" t="inlineStr">
        <is>
          <t>маш.час</t>
        </is>
      </c>
      <c r="F32" s="167" t="n">
        <v>0.9614</v>
      </c>
      <c r="G32" s="172" t="n">
        <v>60.89</v>
      </c>
      <c r="H32" s="172">
        <f>ROUND(F32*G32,2)</f>
        <v/>
      </c>
    </row>
    <row r="33" ht="31.35" customFormat="1" customHeight="1" s="148">
      <c r="A33" s="167" t="n">
        <v>19</v>
      </c>
      <c r="B33" s="167" t="n"/>
      <c r="C33" s="24" t="inlineStr">
        <is>
          <t>91.17.04-233</t>
        </is>
      </c>
      <c r="D33" s="168" t="inlineStr">
        <is>
          <t>Установки для сварки ручной дуговой (постоянного тока)</t>
        </is>
      </c>
      <c r="E33" s="167" t="inlineStr">
        <is>
          <t>маш.час</t>
        </is>
      </c>
      <c r="F33" s="167" t="n">
        <v>7.10235</v>
      </c>
      <c r="G33" s="172" t="n">
        <v>8.1</v>
      </c>
      <c r="H33" s="172">
        <f>ROUND(F33*G33,2)</f>
        <v/>
      </c>
    </row>
    <row r="34" ht="31.35" customFormat="1" customHeight="1" s="148">
      <c r="A34" s="167" t="n">
        <v>20</v>
      </c>
      <c r="B34" s="167" t="n"/>
      <c r="C34" s="24" t="inlineStr">
        <is>
          <t>91.05.05-015</t>
        </is>
      </c>
      <c r="D34" s="168" t="inlineStr">
        <is>
          <t>Краны на автомобильном ходу, грузоподъемность 16 т</t>
        </is>
      </c>
      <c r="E34" s="167" t="inlineStr">
        <is>
          <t>маш.час</t>
        </is>
      </c>
      <c r="F34" s="167" t="n">
        <v>0.26059</v>
      </c>
      <c r="G34" s="172" t="n">
        <v>115.4</v>
      </c>
      <c r="H34" s="172">
        <f>ROUND(F34*G34,2)</f>
        <v/>
      </c>
    </row>
    <row r="35" ht="15.6" customFormat="1" customHeight="1" s="148">
      <c r="A35" s="167" t="n">
        <v>21</v>
      </c>
      <c r="B35" s="167" t="n"/>
      <c r="C35" s="24" t="inlineStr">
        <is>
          <t>91.14.02-001</t>
        </is>
      </c>
      <c r="D35" s="168" t="inlineStr">
        <is>
          <t>Автомобили бортовые, грузоподъемность до 5 т</t>
        </is>
      </c>
      <c r="E35" s="167" t="inlineStr">
        <is>
          <t>маш.час</t>
        </is>
      </c>
      <c r="F35" s="167" t="n">
        <v>0.4536175</v>
      </c>
      <c r="G35" s="172" t="n">
        <v>65.70999999999999</v>
      </c>
      <c r="H35" s="172">
        <f>ROUND(F35*G35,2)</f>
        <v/>
      </c>
    </row>
    <row r="36" ht="31.35" customFormat="1" customHeight="1" s="148">
      <c r="A36" s="167" t="n">
        <v>22</v>
      </c>
      <c r="B36" s="167" t="n"/>
      <c r="C36" s="24" t="inlineStr">
        <is>
          <t>91.01.02-004</t>
        </is>
      </c>
      <c r="D36" s="168" t="inlineStr">
        <is>
          <t>Автогрейдеры среднего типа, мощность 99 кВт (135 л.с.)</t>
        </is>
      </c>
      <c r="E36" s="167" t="inlineStr">
        <is>
          <t>маш.час</t>
        </is>
      </c>
      <c r="F36" s="167" t="n">
        <v>0.1660819</v>
      </c>
      <c r="G36" s="172" t="n">
        <v>123</v>
      </c>
      <c r="H36" s="172">
        <f>ROUND(F36*G36,2)</f>
        <v/>
      </c>
    </row>
    <row r="37" ht="15.6" customFormat="1" customHeight="1" s="148">
      <c r="A37" s="167" t="n">
        <v>23</v>
      </c>
      <c r="B37" s="167" t="n"/>
      <c r="C37" s="24" t="inlineStr">
        <is>
          <t>91.13.01-038</t>
        </is>
      </c>
      <c r="D37" s="168" t="inlineStr">
        <is>
          <t>Машины поливомоечные 6000 л</t>
        </is>
      </c>
      <c r="E37" s="167" t="inlineStr">
        <is>
          <t>маш.час</t>
        </is>
      </c>
      <c r="F37" s="167" t="n">
        <v>0.1299224</v>
      </c>
      <c r="G37" s="172" t="n">
        <v>110</v>
      </c>
      <c r="H37" s="172">
        <f>ROUND(F37*G37,2)</f>
        <v/>
      </c>
    </row>
    <row r="38" ht="15.6" customFormat="1" customHeight="1" s="148">
      <c r="A38" s="167" t="n">
        <v>24</v>
      </c>
      <c r="B38" s="167" t="n"/>
      <c r="C38" s="24" t="inlineStr">
        <is>
          <t>91.06.05-011</t>
        </is>
      </c>
      <c r="D38" s="168" t="inlineStr">
        <is>
          <t>Погрузчики, грузоподъемность 5 т</t>
        </is>
      </c>
      <c r="E38" s="167" t="inlineStr">
        <is>
          <t>маш.час</t>
        </is>
      </c>
      <c r="F38" s="167" t="n">
        <v>0.1265</v>
      </c>
      <c r="G38" s="172" t="n">
        <v>89.98999999999999</v>
      </c>
      <c r="H38" s="172">
        <f>ROUND(F38*G38,2)</f>
        <v/>
      </c>
    </row>
    <row r="39" ht="15.6" customFormat="1" customHeight="1" s="148">
      <c r="A39" s="167" t="n">
        <v>25</v>
      </c>
      <c r="B39" s="167" t="n"/>
      <c r="C39" s="24" t="inlineStr">
        <is>
          <t>91.01.01-034</t>
        </is>
      </c>
      <c r="D39" s="168" t="inlineStr">
        <is>
          <t>Бульдозеры, мощность 59 кВт (80 л.с.)</t>
        </is>
      </c>
      <c r="E39" s="167" t="inlineStr">
        <is>
          <t>маш.час</t>
        </is>
      </c>
      <c r="F39" s="167" t="n">
        <v>0.1443879</v>
      </c>
      <c r="G39" s="172" t="n">
        <v>59.47</v>
      </c>
      <c r="H39" s="172">
        <f>ROUND(F39*G39,2)</f>
        <v/>
      </c>
    </row>
    <row r="40" ht="31.35" customFormat="1" customHeight="1" s="148">
      <c r="A40" s="167" t="n">
        <v>26</v>
      </c>
      <c r="B40" s="167" t="n"/>
      <c r="C40" s="24" t="inlineStr">
        <is>
          <t>91.18.01-508</t>
        </is>
      </c>
      <c r="D40" s="168" t="inlineStr">
        <is>
          <t>Компрессоры передвижные с электродвигателем, производительность до 5,0 м3/мин</t>
        </is>
      </c>
      <c r="E40" s="167" t="inlineStr">
        <is>
          <t>маш.час</t>
        </is>
      </c>
      <c r="F40" s="167" t="n">
        <v>0.13455</v>
      </c>
      <c r="G40" s="172" t="n">
        <v>48.81</v>
      </c>
      <c r="H40" s="172">
        <f>ROUND(F40*G40,2)</f>
        <v/>
      </c>
    </row>
    <row r="41" ht="31.35" customFormat="1" customHeight="1" s="148">
      <c r="A41" s="167" t="n">
        <v>27</v>
      </c>
      <c r="B41" s="167" t="n"/>
      <c r="C41" s="24" t="inlineStr">
        <is>
          <t>91.15.02-023</t>
        </is>
      </c>
      <c r="D41" s="168" t="inlineStr">
        <is>
          <t>Тракторы на гусеничном ходу, мощность 59 кВт (80 л.с.)</t>
        </is>
      </c>
      <c r="E41" s="167" t="inlineStr">
        <is>
          <t>маш.час</t>
        </is>
      </c>
      <c r="F41" s="167" t="n">
        <v>0.0728916</v>
      </c>
      <c r="G41" s="172" t="n">
        <v>77.2</v>
      </c>
      <c r="H41" s="172">
        <f>ROUND(F41*G41,2)</f>
        <v/>
      </c>
    </row>
    <row r="42" ht="46.9" customFormat="1" customHeight="1" s="148">
      <c r="A42" s="167" t="n">
        <v>28</v>
      </c>
      <c r="B42" s="167" t="n"/>
      <c r="C42" s="24" t="inlineStr">
        <is>
          <t>91.21.10-003</t>
        </is>
      </c>
      <c r="D42" s="168" t="inlineStr">
        <is>
          <t>Молотки при работе от передвижных компрессорных станций отбойные пневматические</t>
        </is>
      </c>
      <c r="E42" s="167" t="inlineStr">
        <is>
          <t>маш.час</t>
        </is>
      </c>
      <c r="F42" s="167" t="n">
        <v>3.6599624</v>
      </c>
      <c r="G42" s="172" t="n">
        <v>1.53</v>
      </c>
      <c r="H42" s="172">
        <f>ROUND(F42*G42,2)</f>
        <v/>
      </c>
    </row>
    <row r="43" ht="15.6" customFormat="1" customHeight="1" s="148">
      <c r="A43" s="167" t="n">
        <v>29</v>
      </c>
      <c r="B43" s="167" t="n"/>
      <c r="C43" s="24" t="inlineStr">
        <is>
          <t>91.08.04-021</t>
        </is>
      </c>
      <c r="D43" s="168" t="inlineStr">
        <is>
          <t>Котлы битумные передвижные 400 л</t>
        </is>
      </c>
      <c r="E43" s="167" t="inlineStr">
        <is>
          <t>маш.час</t>
        </is>
      </c>
      <c r="F43" s="167" t="n">
        <v>0.06900000000000001</v>
      </c>
      <c r="G43" s="172" t="n">
        <v>30</v>
      </c>
      <c r="H43" s="172">
        <f>ROUND(F43*G43,2)</f>
        <v/>
      </c>
    </row>
    <row r="44" ht="31.35" customFormat="1" customHeight="1" s="148">
      <c r="A44" s="167" t="n">
        <v>30</v>
      </c>
      <c r="B44" s="167" t="n"/>
      <c r="C44" s="24" t="inlineStr">
        <is>
          <t>91.08.09-023</t>
        </is>
      </c>
      <c r="D44" s="168" t="inlineStr">
        <is>
          <t>Трамбовки пневматические при работе от передвижных компрессорных станций</t>
        </is>
      </c>
      <c r="E44" s="167" t="inlineStr">
        <is>
          <t>маш.час</t>
        </is>
      </c>
      <c r="F44" s="167" t="n">
        <v>2.3285775</v>
      </c>
      <c r="G44" s="172" t="n">
        <v>0.55</v>
      </c>
      <c r="H44" s="172">
        <f>ROUND(F44*G44,2)</f>
        <v/>
      </c>
    </row>
    <row r="45" ht="15.6" customFormat="1" customHeight="1" s="148">
      <c r="A45" s="167" t="n">
        <v>31</v>
      </c>
      <c r="B45" s="167" t="n"/>
      <c r="C45" s="24" t="inlineStr">
        <is>
          <t>91.12.06-012</t>
        </is>
      </c>
      <c r="D45" s="168" t="inlineStr">
        <is>
          <t>Рыхлители прицепные (без трактора)</t>
        </is>
      </c>
      <c r="E45" s="167" t="inlineStr">
        <is>
          <t>маш.час</t>
        </is>
      </c>
      <c r="F45" s="167" t="n">
        <v>0.0728916</v>
      </c>
      <c r="G45" s="172" t="n">
        <v>8</v>
      </c>
      <c r="H45" s="172">
        <f>ROUND(F45*G45,2)</f>
        <v/>
      </c>
    </row>
    <row r="46" ht="15.6" customFormat="1" customHeight="1" s="148">
      <c r="A46" s="167" t="n">
        <v>32</v>
      </c>
      <c r="B46" s="167" t="n"/>
      <c r="C46" s="24" t="inlineStr">
        <is>
          <t>91.17.04-042</t>
        </is>
      </c>
      <c r="D46" s="168" t="inlineStr">
        <is>
          <t>Аппараты для газовой сварки и резки</t>
        </is>
      </c>
      <c r="E46" s="167" t="inlineStr">
        <is>
          <t>маш.час</t>
        </is>
      </c>
      <c r="F46" s="167" t="n">
        <v>0.408</v>
      </c>
      <c r="G46" s="172" t="n">
        <v>1.2</v>
      </c>
      <c r="H46" s="172">
        <f>ROUND(F46*G46,2)</f>
        <v/>
      </c>
    </row>
    <row r="47" ht="15.6" customFormat="1" customHeight="1" s="15">
      <c r="A47" s="166" t="inlineStr">
        <is>
          <t>Материалы</t>
        </is>
      </c>
      <c r="B47" s="202" t="n"/>
      <c r="C47" s="202" t="n"/>
      <c r="D47" s="202" t="n"/>
      <c r="E47" s="203" t="n"/>
      <c r="F47" s="166" t="n"/>
      <c r="G47" s="19" t="n"/>
      <c r="H47" s="19">
        <f>SUM(H48:H64)</f>
        <v/>
      </c>
    </row>
    <row r="48" ht="78" customFormat="1" customHeight="1" s="148">
      <c r="A48" s="167" t="n">
        <v>33</v>
      </c>
      <c r="B48" s="167" t="n"/>
      <c r="C48" s="24" t="inlineStr">
        <is>
          <t>08.3.05.05-0022</t>
        </is>
      </c>
      <c r="D48" s="168" t="inlineStr">
        <is>
          <t>Оцинкованный прокат холоднокатаный с одинаковой толщиной покрытия цинком на каждой стороне, в листах мерных размеров толщиной 2,5 мм, категория по способности к вытяжке: глубокая, класс 1</t>
        </is>
      </c>
      <c r="E48" s="167" t="inlineStr">
        <is>
          <t>т</t>
        </is>
      </c>
      <c r="F48" s="167" t="n">
        <v>0.13343</v>
      </c>
      <c r="G48" s="172" t="n">
        <v>12395.76</v>
      </c>
      <c r="H48" s="172">
        <f>ROUND(F48*G48,2)</f>
        <v/>
      </c>
    </row>
    <row r="49" ht="46.9" customFormat="1" customHeight="1" s="148">
      <c r="A49" s="167" t="n">
        <v>34</v>
      </c>
      <c r="B49" s="167" t="n"/>
      <c r="C49" s="24" t="inlineStr">
        <is>
          <t>02.3.01.02-0016</t>
        </is>
      </c>
      <c r="D49" s="168" t="inlineStr">
        <is>
          <t>Песок природный для строительных: работ средний с крупностью зерен размером свыше 5 мм-до 5% по массе</t>
        </is>
      </c>
      <c r="E49" s="167" t="inlineStr">
        <is>
          <t>м3</t>
        </is>
      </c>
      <c r="F49" s="167" t="n">
        <v>29.06</v>
      </c>
      <c r="G49" s="172" t="n">
        <v>55.26</v>
      </c>
      <c r="H49" s="172">
        <f>ROUND(F49*G49,2)</f>
        <v/>
      </c>
    </row>
    <row r="50" ht="46.9" customFormat="1" customHeight="1" s="148">
      <c r="A50" s="167" t="n">
        <v>35</v>
      </c>
      <c r="B50" s="167" t="n"/>
      <c r="C50" s="24" t="inlineStr">
        <is>
          <t>05.2.02.01-0035</t>
        </is>
      </c>
      <c r="D50" s="168" t="inlineStr">
        <is>
          <t>Блоки бетонные для стен подвалов полнотелые ФБС9-3-6-Т, бетон B7,5 (М100, объем 0,146 м3, расход арматуры 0,76 кг</t>
        </is>
      </c>
      <c r="E50" s="167" t="inlineStr">
        <is>
          <t>шт</t>
        </is>
      </c>
      <c r="F50" s="167" t="n">
        <v>10</v>
      </c>
      <c r="G50" s="172" t="n">
        <v>90.53</v>
      </c>
      <c r="H50" s="172">
        <f>ROUND(F50*G50,2)</f>
        <v/>
      </c>
    </row>
    <row r="51" ht="31.35" customFormat="1" customHeight="1" s="148">
      <c r="A51" s="167" t="n">
        <v>36</v>
      </c>
      <c r="B51" s="167" t="n"/>
      <c r="C51" s="24" t="inlineStr">
        <is>
          <t>25.1.01.04-0031</t>
        </is>
      </c>
      <c r="D51" s="168" t="inlineStr">
        <is>
          <t>Шпалы непропитанные для железных дорог, тип I</t>
        </is>
      </c>
      <c r="E51" s="167" t="inlineStr">
        <is>
          <t>шт</t>
        </is>
      </c>
      <c r="F51" s="167" t="n">
        <v>3.36</v>
      </c>
      <c r="G51" s="172" t="n">
        <v>266.67</v>
      </c>
      <c r="H51" s="172">
        <f>ROUND(F51*G51,2)</f>
        <v/>
      </c>
    </row>
    <row r="52" ht="31.35" customFormat="1" customHeight="1" s="148">
      <c r="A52" s="167" t="n">
        <v>37</v>
      </c>
      <c r="B52" s="167" t="n"/>
      <c r="C52" s="24" t="inlineStr">
        <is>
          <t>14.4.02.09-0301</t>
        </is>
      </c>
      <c r="D52" s="168" t="inlineStr">
        <is>
          <t>Композиция антикоррозионная цинкнаполненная</t>
        </is>
      </c>
      <c r="E52" s="167" t="inlineStr">
        <is>
          <t>кг</t>
        </is>
      </c>
      <c r="F52" s="167" t="n">
        <v>2.513</v>
      </c>
      <c r="G52" s="172" t="n">
        <v>238.48</v>
      </c>
      <c r="H52" s="172">
        <f>ROUND(F52*G52,2)</f>
        <v/>
      </c>
    </row>
    <row r="53" ht="15.6" customFormat="1" customHeight="1" s="148">
      <c r="A53" s="167" t="n">
        <v>38</v>
      </c>
      <c r="B53" s="167" t="n"/>
      <c r="C53" s="24" t="inlineStr">
        <is>
          <t>07.2.07.13-0171</t>
        </is>
      </c>
      <c r="D53" s="168" t="inlineStr">
        <is>
          <t>Подкладки металлические</t>
        </is>
      </c>
      <c r="E53" s="167" t="inlineStr">
        <is>
          <t>кг</t>
        </is>
      </c>
      <c r="F53" s="167" t="n">
        <v>36.6</v>
      </c>
      <c r="G53" s="172" t="n">
        <v>12.6</v>
      </c>
      <c r="H53" s="172">
        <f>ROUND(F53*G53,2)</f>
        <v/>
      </c>
    </row>
    <row r="54" ht="31.35" customFormat="1" customHeight="1" s="148">
      <c r="A54" s="167" t="n">
        <v>39</v>
      </c>
      <c r="B54" s="167" t="n"/>
      <c r="C54" s="24" t="inlineStr">
        <is>
          <t>08.3.08.02-0071</t>
        </is>
      </c>
      <c r="D54" s="168" t="inlineStr">
        <is>
          <t>Сталь угловая равнополочная, марка Ст3пс, ширина полок 63-63 мм</t>
        </is>
      </c>
      <c r="E54" s="167" t="inlineStr">
        <is>
          <t>т</t>
        </is>
      </c>
      <c r="F54" s="167" t="n">
        <v>0.0858</v>
      </c>
      <c r="G54" s="172" t="n">
        <v>4840.65</v>
      </c>
      <c r="H54" s="172">
        <f>ROUND(F54*G54,2)</f>
        <v/>
      </c>
    </row>
    <row r="55" ht="31.35" customFormat="1" customHeight="1" s="148">
      <c r="A55" s="167" t="n">
        <v>40</v>
      </c>
      <c r="B55" s="167" t="n"/>
      <c r="C55" s="24" t="inlineStr">
        <is>
          <t>08.3.07.01-0052</t>
        </is>
      </c>
      <c r="D55" s="168" t="inlineStr">
        <is>
          <t>Прокат полосовой, горячекатаный, марка стали Ст3сп, размер 50х5 мм</t>
        </is>
      </c>
      <c r="E55" s="167" t="inlineStr">
        <is>
          <t>т</t>
        </is>
      </c>
      <c r="F55" s="167" t="n">
        <v>0.05713</v>
      </c>
      <c r="G55" s="172" t="n">
        <v>6726.18</v>
      </c>
      <c r="H55" s="172">
        <f>ROUND(F55*G55,2)</f>
        <v/>
      </c>
    </row>
    <row r="56" ht="15.6" customFormat="1" customHeight="1" s="148">
      <c r="A56" s="167" t="n">
        <v>41</v>
      </c>
      <c r="B56" s="167" t="n"/>
      <c r="C56" s="24" t="inlineStr">
        <is>
          <t>01.7.11.07-0040</t>
        </is>
      </c>
      <c r="D56" s="168" t="inlineStr">
        <is>
          <t>Электроды сварочные Э50А, диаметр 4 мм</t>
        </is>
      </c>
      <c r="E56" s="167" t="inlineStr">
        <is>
          <t>т</t>
        </is>
      </c>
      <c r="F56" s="167" t="n">
        <v>0.00648</v>
      </c>
      <c r="G56" s="172" t="n">
        <v>11524</v>
      </c>
      <c r="H56" s="172">
        <f>ROUND(F56*G56,2)</f>
        <v/>
      </c>
    </row>
    <row r="57" ht="31.35" customFormat="1" customHeight="1" s="148">
      <c r="A57" s="167" t="n">
        <v>42</v>
      </c>
      <c r="B57" s="167" t="n"/>
      <c r="C57" s="24" t="inlineStr">
        <is>
          <t>08.1.02.11-0023</t>
        </is>
      </c>
      <c r="D57" s="168" t="inlineStr">
        <is>
          <t>Поковки простые строительные (скобы, закрепы, хомуты), масса до 1,6 кг</t>
        </is>
      </c>
      <c r="E57" s="167" t="inlineStr">
        <is>
          <t>кг</t>
        </is>
      </c>
      <c r="F57" s="167" t="n">
        <v>3.36</v>
      </c>
      <c r="G57" s="172" t="n">
        <v>15.14</v>
      </c>
      <c r="H57" s="172">
        <f>ROUND(F57*G57,2)</f>
        <v/>
      </c>
    </row>
    <row r="58" ht="31.35" customFormat="1" customHeight="1" s="148">
      <c r="A58" s="167" t="n">
        <v>43</v>
      </c>
      <c r="B58" s="167" t="n"/>
      <c r="C58" s="24" t="inlineStr">
        <is>
          <t>999-9950</t>
        </is>
      </c>
      <c r="D58" s="168" t="inlineStr">
        <is>
          <t>Вспомогательные ненормируемые ресурсы (2% от Оплаты труда рабочих)</t>
        </is>
      </c>
      <c r="E58" s="167" t="inlineStr">
        <is>
          <t>руб</t>
        </is>
      </c>
      <c r="F58" s="167" t="n">
        <v>25.7459</v>
      </c>
      <c r="G58" s="172" t="n">
        <v>1</v>
      </c>
      <c r="H58" s="172">
        <f>ROUND(F58*G58,2)</f>
        <v/>
      </c>
    </row>
    <row r="59" ht="15.6" customFormat="1" customHeight="1" s="148">
      <c r="A59" s="167" t="n">
        <v>44</v>
      </c>
      <c r="B59" s="167" t="n"/>
      <c r="C59" s="24" t="inlineStr">
        <is>
          <t>20.1.01.11-0022</t>
        </is>
      </c>
      <c r="D59" s="168" t="inlineStr">
        <is>
          <t>Зажим соединительный: плашечный ПС-2-1</t>
        </is>
      </c>
      <c r="E59" s="167" t="inlineStr">
        <is>
          <t>шт</t>
        </is>
      </c>
      <c r="F59" s="167" t="n">
        <v>2</v>
      </c>
      <c r="G59" s="172" t="n">
        <v>12.53</v>
      </c>
      <c r="H59" s="172">
        <f>ROUND(F59*G59,2)</f>
        <v/>
      </c>
    </row>
    <row r="60" ht="15.6" customFormat="1" customHeight="1" s="148">
      <c r="A60" s="167" t="n">
        <v>45</v>
      </c>
      <c r="B60" s="167" t="n"/>
      <c r="C60" s="24" t="inlineStr">
        <is>
          <t>01.3.02.08-0001</t>
        </is>
      </c>
      <c r="D60" s="168" t="inlineStr">
        <is>
          <t>Кислород газообразный технический</t>
        </is>
      </c>
      <c r="E60" s="167" t="inlineStr">
        <is>
          <t>м3</t>
        </is>
      </c>
      <c r="F60" s="167" t="n">
        <v>3.12</v>
      </c>
      <c r="G60" s="172" t="n">
        <v>6.22</v>
      </c>
      <c r="H60" s="172">
        <f>ROUND(F60*G60,2)</f>
        <v/>
      </c>
    </row>
    <row r="61" ht="15.6" customFormat="1" customHeight="1" s="148">
      <c r="A61" s="167" t="n">
        <v>46</v>
      </c>
      <c r="B61" s="167" t="n"/>
      <c r="C61" s="24" t="inlineStr">
        <is>
          <t>01.7.11.07-0034</t>
        </is>
      </c>
      <c r="D61" s="168" t="inlineStr">
        <is>
          <t>Электроды сварочные Э42А, диаметр 4 мм</t>
        </is>
      </c>
      <c r="E61" s="167" t="inlineStr">
        <is>
          <t>кг</t>
        </is>
      </c>
      <c r="F61" s="167" t="n">
        <v>0.6929999999999999</v>
      </c>
      <c r="G61" s="172" t="n">
        <v>10.57</v>
      </c>
      <c r="H61" s="172">
        <f>ROUND(F61*G61,2)</f>
        <v/>
      </c>
    </row>
    <row r="62" ht="15.6" customFormat="1" customHeight="1" s="148">
      <c r="A62" s="167" t="n">
        <v>47</v>
      </c>
      <c r="B62" s="167" t="n"/>
      <c r="C62" s="24" t="inlineStr">
        <is>
          <t>01.3.02.09-0022</t>
        </is>
      </c>
      <c r="D62" s="168" t="inlineStr">
        <is>
          <t>Пропан-бутан смесь техническая</t>
        </is>
      </c>
      <c r="E62" s="167" t="inlineStr">
        <is>
          <t>кг</t>
        </is>
      </c>
      <c r="F62" s="167" t="n">
        <v>0.48</v>
      </c>
      <c r="G62" s="172" t="n">
        <v>6.09</v>
      </c>
      <c r="H62" s="172">
        <f>ROUND(F62*G62,2)</f>
        <v/>
      </c>
    </row>
    <row r="63" ht="46.9" customFormat="1" customHeight="1" s="148">
      <c r="A63" s="167" t="n">
        <v>48</v>
      </c>
      <c r="B63" s="167" t="n"/>
      <c r="C63" s="24" t="inlineStr">
        <is>
          <t>01.7.15.04-0045</t>
        </is>
      </c>
      <c r="D63" s="168" t="inlineStr">
        <is>
          <t>Винты самонарезающие для крепления профилированного настила и панелей к несущим конструкциям</t>
        </is>
      </c>
      <c r="E63" s="167" t="inlineStr">
        <is>
          <t>т</t>
        </is>
      </c>
      <c r="F63" s="167" t="n">
        <v>1.65e-05</v>
      </c>
      <c r="G63" s="172" t="n">
        <v>35011</v>
      </c>
      <c r="H63" s="172">
        <f>ROUND(F63*G63,2)</f>
        <v/>
      </c>
    </row>
    <row r="64" ht="46.9" customFormat="1" customHeight="1" s="148">
      <c r="A64" s="167" t="n">
        <v>49</v>
      </c>
      <c r="B64" s="167" t="n"/>
      <c r="C64" s="24" t="inlineStr">
        <is>
          <t>01.7.15.08-0011</t>
        </is>
      </c>
      <c r="D64" s="168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64" s="167" t="inlineStr">
        <is>
          <t>т</t>
        </is>
      </c>
      <c r="F64" s="167" t="n">
        <v>1.65e-05</v>
      </c>
      <c r="G64" s="172" t="n">
        <v>9526</v>
      </c>
      <c r="H64" s="172">
        <f>ROUND(F64*G64,2)</f>
        <v/>
      </c>
    </row>
    <row r="65" ht="15.6" customFormat="1" customHeight="1" s="15">
      <c r="A65" s="166" t="inlineStr">
        <is>
          <t>Оборудование</t>
        </is>
      </c>
      <c r="B65" s="202" t="n"/>
      <c r="C65" s="202" t="n"/>
      <c r="D65" s="202" t="n"/>
      <c r="E65" s="203" t="n"/>
      <c r="F65" s="166" t="n"/>
      <c r="G65" s="19" t="n"/>
      <c r="H65" s="19">
        <f>SUM(H66:H66)</f>
        <v/>
      </c>
    </row>
    <row r="66" ht="62.45" customFormat="1" customHeight="1" s="148">
      <c r="A66" s="167" t="n">
        <v>50</v>
      </c>
      <c r="B66" s="167" t="n"/>
      <c r="C66" s="24" t="inlineStr">
        <is>
          <t>Прайс из  СД ОП</t>
        </is>
      </c>
      <c r="D66" s="168" t="inlineStr">
        <is>
          <t>Морской контейнер 20фт в комплекте с оборудованием системы накопления энергии мощностью 250 кВт и емкостью 313 кВт*ч (СНЭЭ 250/345LFP-0,4-М1)</t>
        </is>
      </c>
      <c r="E66" s="167" t="inlineStr">
        <is>
          <t>компл.</t>
        </is>
      </c>
      <c r="F66" s="167" t="n">
        <v>1</v>
      </c>
      <c r="G66" s="172" t="n">
        <v>6098139.8865784</v>
      </c>
      <c r="H66" s="172">
        <f>ROUND(F66*G66,2)</f>
        <v/>
      </c>
    </row>
    <row r="67" ht="15.6" customFormat="1" customHeight="1" s="148"/>
    <row r="68" ht="15.6" customFormat="1" customHeight="1" s="148"/>
    <row r="69" ht="15.6" customFormat="1" customHeight="1" s="148"/>
    <row r="70" ht="15.6" customFormat="1" customHeight="1" s="148"/>
    <row r="71" ht="15.6" customFormat="1" customHeight="1" s="148">
      <c r="B71" s="148" t="inlineStr">
        <is>
          <t>Составил ______________________        М.С. Колотиевская</t>
        </is>
      </c>
      <c r="C71" s="148" t="n"/>
    </row>
    <row r="72" ht="15.6" customFormat="1" customHeight="1" s="148">
      <c r="B72" s="104" t="inlineStr">
        <is>
          <t xml:space="preserve">                         (подпись, инициалы, фамилия)</t>
        </is>
      </c>
      <c r="C72" s="148" t="n"/>
    </row>
    <row r="73" ht="15.6" customFormat="1" customHeight="1" s="148">
      <c r="B73" s="148" t="n"/>
      <c r="C73" s="148" t="n"/>
    </row>
    <row r="74" ht="15.6" customFormat="1" customHeight="1" s="148">
      <c r="B74" s="148" t="inlineStr">
        <is>
          <t>Проверил ______________________          А.В. Костянецкая</t>
        </is>
      </c>
      <c r="C74" s="148" t="n"/>
    </row>
    <row r="75" ht="15.6" customFormat="1" customHeight="1" s="148">
      <c r="B75" s="104" t="inlineStr">
        <is>
          <t xml:space="preserve">                        (подпись, инициалы, фамилия)</t>
        </is>
      </c>
      <c r="C75" s="148" t="n"/>
    </row>
    <row r="76" ht="15.6" customFormat="1" customHeight="1" s="148"/>
  </sheetData>
  <mergeCells count="16">
    <mergeCell ref="C9:C10"/>
    <mergeCell ref="B9:B10"/>
    <mergeCell ref="A3:H3"/>
    <mergeCell ref="D9:D10"/>
    <mergeCell ref="A65:E65"/>
    <mergeCell ref="E9:E10"/>
    <mergeCell ref="F9:F10"/>
    <mergeCell ref="A7:H7"/>
    <mergeCell ref="A9:A10"/>
    <mergeCell ref="A12:E12"/>
    <mergeCell ref="A2:H2"/>
    <mergeCell ref="A25:E25"/>
    <mergeCell ref="A47:E47"/>
    <mergeCell ref="A23:E23"/>
    <mergeCell ref="C4:H4"/>
    <mergeCell ref="G9:H9"/>
  </mergeCells>
  <conditionalFormatting sqref="F11:F66">
    <cfRule type="expression" priority="1" dxfId="0" stopIfTrue="1">
      <formula>ROUND(F11*10000,0)/10000=F11</formula>
    </cfRule>
  </conditionalFormatting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11" zoomScale="60" zoomScaleNormal="100" workbookViewId="0">
      <selection activeCell="B46" sqref="B46"/>
    </sheetView>
  </sheetViews>
  <sheetFormatPr baseColWidth="8" defaultColWidth="9.140625" defaultRowHeight="15"/>
  <cols>
    <col width="4.140625" customWidth="1" style="146" min="1" max="1"/>
    <col width="36.42578125" customWidth="1" style="146" min="2" max="2"/>
    <col width="18.85546875" customWidth="1" style="146" min="3" max="3"/>
    <col width="18.42578125" customWidth="1" style="146" min="4" max="4"/>
    <col width="20.85546875" customWidth="1" style="146" min="5" max="5"/>
    <col width="9.140625" customWidth="1" style="146" min="6" max="10"/>
    <col width="13.42578125" customWidth="1" style="146" min="11" max="11"/>
    <col width="9.140625" customWidth="1" style="146" min="12" max="12"/>
  </cols>
  <sheetData>
    <row r="1" ht="15.6" customHeight="1" s="146">
      <c r="A1" s="79" t="n"/>
      <c r="B1" s="148" t="n"/>
      <c r="C1" s="148" t="n"/>
      <c r="D1" s="148" t="n"/>
      <c r="E1" s="148" t="n"/>
    </row>
    <row r="2" ht="15.6" customHeight="1" s="146">
      <c r="B2" s="148" t="n"/>
      <c r="C2" s="148" t="n"/>
      <c r="D2" s="148" t="n"/>
      <c r="E2" s="178" t="inlineStr">
        <is>
          <t>Приложение № 4</t>
        </is>
      </c>
    </row>
    <row r="3" ht="15.6" customHeight="1" s="146">
      <c r="B3" s="148" t="n"/>
      <c r="C3" s="148" t="n"/>
      <c r="D3" s="148" t="n"/>
      <c r="E3" s="148" t="n"/>
    </row>
    <row r="4" ht="15.6" customHeight="1" s="146">
      <c r="B4" s="148" t="n"/>
      <c r="C4" s="148" t="n"/>
      <c r="D4" s="148" t="n"/>
      <c r="E4" s="148" t="n"/>
    </row>
    <row r="5" ht="15.6" customHeight="1" s="146">
      <c r="B5" s="154" t="inlineStr">
        <is>
          <t>Ресурсная модель</t>
        </is>
      </c>
    </row>
    <row r="6" ht="15.6" customHeight="1" s="146">
      <c r="B6" s="155" t="n"/>
      <c r="C6" s="148" t="n"/>
      <c r="D6" s="148" t="n"/>
      <c r="E6" s="148" t="n"/>
    </row>
    <row r="7" ht="15.6" customHeight="1" s="146">
      <c r="B7" s="159" t="inlineStr">
        <is>
          <t>Наименование разрабатываемой расценки УНЦ —  Накопитель электроэнергии</t>
        </is>
      </c>
    </row>
    <row r="8" ht="15.6" customHeight="1" s="146">
      <c r="B8" s="159" t="inlineStr">
        <is>
          <t>Единица измерения  — кВт</t>
        </is>
      </c>
    </row>
    <row r="9">
      <c r="B9" s="84" t="n"/>
      <c r="C9" s="133" t="n"/>
      <c r="D9" s="133" t="n"/>
      <c r="E9" s="133" t="n"/>
    </row>
    <row r="10" ht="62.45" customFormat="1" customHeight="1" s="148">
      <c r="B10" s="171" t="inlineStr">
        <is>
          <t>Наименование</t>
        </is>
      </c>
      <c r="C10" s="171" t="inlineStr">
        <is>
          <t>Сметная стоимость в ценах на 01.01.2023
 (руб.)</t>
        </is>
      </c>
      <c r="D10" s="171" t="inlineStr">
        <is>
          <t>Удельный вес, 
(в СМР)</t>
        </is>
      </c>
      <c r="E10" s="171" t="inlineStr">
        <is>
          <t>Удельный вес, % 
(от всего по РМ)</t>
        </is>
      </c>
    </row>
    <row r="11" ht="15" customFormat="1" customHeight="1" s="148">
      <c r="B11" s="182" t="inlineStr">
        <is>
          <t>Оплата труда рабочих</t>
        </is>
      </c>
      <c r="C11" s="88">
        <f>'Прил.5 Расчет СМР и ОБ'!J14</f>
        <v/>
      </c>
      <c r="D11" s="89">
        <f>C11/C24</f>
        <v/>
      </c>
      <c r="E11" s="89">
        <f>C11/C40</f>
        <v/>
      </c>
    </row>
    <row r="12" ht="15" customFormat="1" customHeight="1" s="148">
      <c r="B12" s="182" t="inlineStr">
        <is>
          <t>Эксплуатация машин основных</t>
        </is>
      </c>
      <c r="C12" s="88">
        <f>'Прил.5 Расчет СМР и ОБ'!J24</f>
        <v/>
      </c>
      <c r="D12" s="89">
        <f>C12/C24</f>
        <v/>
      </c>
      <c r="E12" s="89">
        <f>C12/C40</f>
        <v/>
      </c>
    </row>
    <row r="13" ht="15" customFormat="1" customHeight="1" s="148">
      <c r="B13" s="182" t="inlineStr">
        <is>
          <t>Эксплуатация машин прочих</t>
        </is>
      </c>
      <c r="C13" s="88">
        <f>'Прил.5 Расчет СМР и ОБ'!J41</f>
        <v/>
      </c>
      <c r="D13" s="89">
        <f>C13/C24</f>
        <v/>
      </c>
      <c r="E13" s="89">
        <f>C13/C40</f>
        <v/>
      </c>
    </row>
    <row r="14" ht="15" customFormat="1" customHeight="1" s="148">
      <c r="B14" s="182" t="inlineStr">
        <is>
          <t>ЭКСПЛУАТАЦИЯ МАШИН, ВСЕГО:</t>
        </is>
      </c>
      <c r="C14" s="88">
        <f>C13+C12</f>
        <v/>
      </c>
      <c r="D14" s="89">
        <f>C14/C24</f>
        <v/>
      </c>
      <c r="E14" s="89">
        <f>C14/C40</f>
        <v/>
      </c>
    </row>
    <row r="15" ht="15" customFormat="1" customHeight="1" s="148">
      <c r="B15" s="182" t="inlineStr">
        <is>
          <t>в том числе зарплата машинистов</t>
        </is>
      </c>
      <c r="C15" s="88">
        <f>'Прил.5 Расчет СМР и ОБ'!J16</f>
        <v/>
      </c>
      <c r="D15" s="89">
        <f>C15/C24</f>
        <v/>
      </c>
      <c r="E15" s="89">
        <f>C15/C40</f>
        <v/>
      </c>
    </row>
    <row r="16" ht="15" customFormat="1" customHeight="1" s="148">
      <c r="B16" s="182" t="inlineStr">
        <is>
          <t>Материалы основные</t>
        </is>
      </c>
      <c r="C16" s="88">
        <f>'Прил.5 Расчет СМР и ОБ'!J57</f>
        <v/>
      </c>
      <c r="D16" s="89">
        <f>C16/C24</f>
        <v/>
      </c>
      <c r="E16" s="89">
        <f>C16/C40</f>
        <v/>
      </c>
    </row>
    <row r="17" ht="15" customFormat="1" customHeight="1" s="148">
      <c r="B17" s="182" t="inlineStr">
        <is>
          <t>Материалы прочие</t>
        </is>
      </c>
      <c r="C17" s="88">
        <f>'Прил.5 Расчет СМР и ОБ'!J69</f>
        <v/>
      </c>
      <c r="D17" s="89">
        <f>C17/C24</f>
        <v/>
      </c>
      <c r="E17" s="89">
        <f>C17/C40</f>
        <v/>
      </c>
    </row>
    <row r="18" ht="15" customFormat="1" customHeight="1" s="148">
      <c r="B18" s="182" t="inlineStr">
        <is>
          <t>МАТЕРИАЛЫ, ВСЕГО:</t>
        </is>
      </c>
      <c r="C18" s="88">
        <f>C17+C16</f>
        <v/>
      </c>
      <c r="D18" s="89">
        <f>C18/C24</f>
        <v/>
      </c>
      <c r="E18" s="89">
        <f>C18/C40</f>
        <v/>
      </c>
    </row>
    <row r="19" ht="15" customFormat="1" customHeight="1" s="148">
      <c r="B19" s="182" t="inlineStr">
        <is>
          <t>ИТОГО</t>
        </is>
      </c>
      <c r="C19" s="88">
        <f>C18+C14+C11</f>
        <v/>
      </c>
      <c r="D19" s="89">
        <f>C19/C24</f>
        <v/>
      </c>
      <c r="E19" s="90">
        <f>C19/C40</f>
        <v/>
      </c>
    </row>
    <row r="20" ht="15" customFormat="1" customHeight="1" s="148">
      <c r="B20" s="182" t="inlineStr">
        <is>
          <t>Сметная прибыль, руб.</t>
        </is>
      </c>
      <c r="C20" s="88">
        <f>'Прил.5 Расчет СМР и ОБ'!J72</f>
        <v/>
      </c>
      <c r="D20" s="89">
        <f>C20/C24</f>
        <v/>
      </c>
      <c r="E20" s="89">
        <f>C20/C40</f>
        <v/>
      </c>
    </row>
    <row r="21" ht="15" customFormat="1" customHeight="1" s="148">
      <c r="B21" s="182" t="inlineStr">
        <is>
          <t>Сметная прибыль, %</t>
        </is>
      </c>
      <c r="C21" s="91">
        <f>C20/(C11+C15)</f>
        <v/>
      </c>
      <c r="D21" s="89" t="n"/>
      <c r="E21" s="90" t="n"/>
    </row>
    <row r="22" ht="15" customFormat="1" customHeight="1" s="148">
      <c r="B22" s="182" t="inlineStr">
        <is>
          <t>Накладные расходы, руб.</t>
        </is>
      </c>
      <c r="C22" s="88">
        <f>'Прил.5 Расчет СМР и ОБ'!J73</f>
        <v/>
      </c>
      <c r="D22" s="89">
        <f>C22/C24</f>
        <v/>
      </c>
      <c r="E22" s="89">
        <f>C22/C40</f>
        <v/>
      </c>
    </row>
    <row r="23" ht="15" customFormat="1" customHeight="1" s="148">
      <c r="B23" s="182" t="inlineStr">
        <is>
          <t>Накладные расходы, %</t>
        </is>
      </c>
      <c r="C23" s="91">
        <f>C22/(C11+C15)</f>
        <v/>
      </c>
      <c r="D23" s="89" t="n"/>
      <c r="E23" s="90" t="n"/>
    </row>
    <row r="24" ht="15" customFormat="1" customHeight="1" s="148">
      <c r="B24" s="182" t="inlineStr">
        <is>
          <t>ВСЕГО СМР с НР и СП</t>
        </is>
      </c>
      <c r="C24" s="88">
        <f>C19+C20+C22</f>
        <v/>
      </c>
      <c r="D24" s="89">
        <f>C24/C24</f>
        <v/>
      </c>
      <c r="E24" s="89">
        <f>C24/C40</f>
        <v/>
      </c>
    </row>
    <row r="25" ht="31.35" customFormat="1" customHeight="1" s="148">
      <c r="B25" s="182" t="inlineStr">
        <is>
          <t>ВСЕГО стоимость оборудования, в том числе</t>
        </is>
      </c>
      <c r="C25" s="88">
        <f>'Прил.5 Расчет СМР и ОБ'!J47</f>
        <v/>
      </c>
      <c r="D25" s="89" t="n"/>
      <c r="E25" s="89">
        <f>C25/C40</f>
        <v/>
      </c>
    </row>
    <row r="26" ht="31.35" customFormat="1" customHeight="1" s="148">
      <c r="B26" s="182" t="inlineStr">
        <is>
          <t>стоимость оборудования технологического</t>
        </is>
      </c>
      <c r="C26" s="88">
        <f>C25</f>
        <v/>
      </c>
      <c r="D26" s="89" t="n"/>
      <c r="E26" s="89">
        <f>C26/C40</f>
        <v/>
      </c>
    </row>
    <row r="27" ht="15" customFormat="1" customHeight="1" s="148">
      <c r="B27" s="182" t="inlineStr">
        <is>
          <t>ИТОГО (СМР + ОБОРУДОВАНИЕ)</t>
        </is>
      </c>
      <c r="C27" s="92">
        <f>C24+C25</f>
        <v/>
      </c>
      <c r="D27" s="89" t="n"/>
      <c r="E27" s="89">
        <f>C27/C40</f>
        <v/>
      </c>
    </row>
    <row r="28" ht="33" customFormat="1" customHeight="1" s="148">
      <c r="B28" s="182" t="inlineStr">
        <is>
          <t>ПРОЧ. ЗАТР., УЧТЕННЫЕ ПОКАЗАТЕЛЕМ,  в том числе</t>
        </is>
      </c>
      <c r="C28" s="182" t="n"/>
      <c r="D28" s="90" t="n"/>
      <c r="E28" s="90" t="n"/>
    </row>
    <row r="29" ht="31.35" customFormat="1" customHeight="1" s="148">
      <c r="B29" s="182" t="inlineStr">
        <is>
          <t>Временные здания и сооружения - 3,9%</t>
        </is>
      </c>
      <c r="C29" s="92">
        <f>ROUND(C24*0.039,2)</f>
        <v/>
      </c>
      <c r="D29" s="90" t="n"/>
      <c r="E29" s="89">
        <f>C29/C40</f>
        <v/>
      </c>
    </row>
    <row r="30" ht="62.45" customFormat="1" customHeight="1" s="148">
      <c r="B30" s="182" t="inlineStr">
        <is>
          <t>Дополнительные затраты при производстве строительно-монтажных работ в зимнее время - 2,1%</t>
        </is>
      </c>
      <c r="C30" s="92">
        <f>ROUND((C24+C29)*0.021,2)</f>
        <v/>
      </c>
      <c r="D30" s="90" t="n"/>
      <c r="E30" s="89">
        <f>C30/C40</f>
        <v/>
      </c>
    </row>
    <row r="31" ht="15.6" customFormat="1" customHeight="1" s="148">
      <c r="B31" s="182" t="inlineStr">
        <is>
          <t>Пусконаладочные работы</t>
        </is>
      </c>
      <c r="C31" s="92" t="n">
        <v>2137763.92</v>
      </c>
      <c r="D31" s="90" t="n"/>
      <c r="E31" s="89">
        <f>C31/C40</f>
        <v/>
      </c>
    </row>
    <row r="32" ht="31.35" customFormat="1" customHeight="1" s="148">
      <c r="B32" s="182" t="inlineStr">
        <is>
          <t>Затраты по перевозке работников к месту работы и обратно</t>
        </is>
      </c>
      <c r="C32" s="92" t="n">
        <v>0</v>
      </c>
      <c r="D32" s="90" t="n"/>
      <c r="E32" s="89">
        <f>C32/C40</f>
        <v/>
      </c>
    </row>
    <row r="33" ht="46.9" customFormat="1" customHeight="1" s="148">
      <c r="B33" s="182" t="inlineStr">
        <is>
          <t>Затраты, связанные с осуществлением работ вахтовым методом</t>
        </is>
      </c>
      <c r="C33" s="92" t="n">
        <v>0</v>
      </c>
      <c r="D33" s="90" t="n"/>
      <c r="E33" s="89">
        <f>C33/C40</f>
        <v/>
      </c>
    </row>
    <row r="34" ht="62.45" customFormat="1" customHeight="1" s="148">
      <c r="B34" s="1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2" t="n">
        <v>0</v>
      </c>
      <c r="D34" s="90" t="n"/>
      <c r="E34" s="89">
        <f>C34/C40</f>
        <v/>
      </c>
    </row>
    <row r="35" ht="93.59999999999999" customFormat="1" customHeight="1" s="148">
      <c r="B35" s="1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2" t="n">
        <v>0</v>
      </c>
      <c r="D35" s="90" t="n"/>
      <c r="E35" s="89">
        <f>C35/C40</f>
        <v/>
      </c>
    </row>
    <row r="36" ht="46.9" customFormat="1" customHeight="1" s="148">
      <c r="B36" s="93" t="inlineStr">
        <is>
          <t>Строительный контроль и содержание службы заказчика - 2,14%</t>
        </is>
      </c>
      <c r="C36" s="94">
        <f>ROUND((C27+C29+C31+C30)*0.0214,2)</f>
        <v/>
      </c>
      <c r="D36" s="95" t="n"/>
      <c r="E36" s="96">
        <f>C36/C40</f>
        <v/>
      </c>
      <c r="K36" s="97" t="n"/>
    </row>
    <row r="37" ht="15.6" customFormat="1" customHeight="1" s="148">
      <c r="B37" s="174" t="inlineStr">
        <is>
          <t>Авторский надзор - 0,2%</t>
        </is>
      </c>
      <c r="C37" s="174">
        <f>ROUND((C27+C29+C30+C31)*0.002,2)</f>
        <v/>
      </c>
      <c r="D37" s="99" t="n"/>
      <c r="E37" s="99">
        <f>C37/C40</f>
        <v/>
      </c>
    </row>
    <row r="38" ht="62.45" customFormat="1" customHeight="1" s="148">
      <c r="B38" s="100" t="inlineStr">
        <is>
          <t>ИТОГО (СМР+ОБОРУДОВАНИЕ+ПРОЧ. ЗАТР., УЧТЕННЫЕ ПОКАЗАТЕЛЕМ)</t>
        </is>
      </c>
      <c r="C38" s="101">
        <f>C27+C29+C30+C31+C36+C37</f>
        <v/>
      </c>
      <c r="D38" s="102" t="n"/>
      <c r="E38" s="103">
        <f>C38/C40</f>
        <v/>
      </c>
    </row>
    <row r="39" ht="15.6" customFormat="1" customHeight="1" s="148">
      <c r="B39" s="182" t="inlineStr">
        <is>
          <t>Непредвиденные расходы</t>
        </is>
      </c>
      <c r="C39" s="88">
        <f>ROUND(C38*0.03,2)</f>
        <v/>
      </c>
      <c r="D39" s="90" t="n"/>
      <c r="E39" s="89">
        <f>C39/C40</f>
        <v/>
      </c>
    </row>
    <row r="40" ht="15.6" customFormat="1" customHeight="1" s="148">
      <c r="B40" s="182" t="inlineStr">
        <is>
          <t>ВСЕГО:</t>
        </is>
      </c>
      <c r="C40" s="88">
        <f>C39+C38</f>
        <v/>
      </c>
      <c r="D40" s="90" t="n"/>
      <c r="E40" s="89">
        <f>C40/C40</f>
        <v/>
      </c>
    </row>
    <row r="41" ht="31.35" customFormat="1" customHeight="1" s="148">
      <c r="B41" s="182" t="inlineStr">
        <is>
          <t>ИТОГО ПОКАЗАТЕЛЬ НА ЕД. ИЗМ.</t>
        </is>
      </c>
      <c r="C41" s="88">
        <f>C40/'Прил.5 Расчет СМР и ОБ'!E76</f>
        <v/>
      </c>
      <c r="D41" s="90" t="n"/>
      <c r="E41" s="90" t="n"/>
    </row>
    <row r="42" ht="15.6" customFormat="1" customHeight="1" s="148">
      <c r="B42" s="104" t="n"/>
    </row>
    <row r="43" ht="15.6" customFormat="1" customHeight="1" s="148">
      <c r="B43" s="104" t="inlineStr">
        <is>
          <t>Составил ____________________________ М.С. Колотиевская</t>
        </is>
      </c>
    </row>
    <row r="44" ht="15.6" customFormat="1" customHeight="1" s="148">
      <c r="B44" s="104" t="inlineStr">
        <is>
          <t xml:space="preserve">(должность, подпись, инициалы, фамилия) </t>
        </is>
      </c>
    </row>
    <row r="45" ht="15.6" customFormat="1" customHeight="1" s="148">
      <c r="B45" s="104" t="n"/>
    </row>
    <row r="46" ht="15.6" customFormat="1" customHeight="1" s="148">
      <c r="B46" s="148" t="inlineStr">
        <is>
          <t>Проверил ______________________          А.В. Костянецкая</t>
        </is>
      </c>
    </row>
    <row r="47" ht="15.6" customFormat="1" customHeight="1" s="148">
      <c r="B47" s="159" t="inlineStr">
        <is>
          <t>(должность, подпись, инициалы, фамилия)</t>
        </is>
      </c>
      <c r="C47" s="159" t="n"/>
    </row>
    <row r="48" ht="15.6" customFormat="1" customHeight="1" s="148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83"/>
  <sheetViews>
    <sheetView view="pageBreakPreview" topLeftCell="A22" zoomScale="60" zoomScaleNormal="100" workbookViewId="0">
      <selection activeCell="B81" sqref="B81"/>
    </sheetView>
  </sheetViews>
  <sheetFormatPr baseColWidth="8" defaultColWidth="9.140625" defaultRowHeight="15" outlineLevelRow="1"/>
  <cols>
    <col width="5.5703125" customWidth="1" style="139" min="1" max="1"/>
    <col width="22.42578125" customWidth="1" style="139" min="2" max="2"/>
    <col width="39.140625" customWidth="1" style="139" min="3" max="3"/>
    <col width="10.5703125" customWidth="1" style="139" min="4" max="4"/>
    <col width="12.5703125" customWidth="1" style="139" min="5" max="5"/>
    <col width="14.42578125" customWidth="1" style="139" min="6" max="6"/>
    <col width="13.42578125" customWidth="1" style="139" min="7" max="7"/>
    <col width="12.5703125" customWidth="1" style="139" min="8" max="8"/>
    <col width="14.42578125" customWidth="1" style="139" min="9" max="9"/>
    <col width="15.140625" customWidth="1" style="139" min="10" max="10"/>
    <col width="22.42578125" customWidth="1" style="139" min="11" max="11"/>
    <col width="16.42578125" customWidth="1" style="139" min="12" max="12"/>
    <col width="10.85546875" customWidth="1" style="139" min="13" max="13"/>
    <col width="9.140625" customWidth="1" style="139" min="14" max="14"/>
    <col width="9.140625" customWidth="1" style="146" min="15" max="15"/>
  </cols>
  <sheetData>
    <row r="1" ht="13.7" customFormat="1" customHeight="1" s="139">
      <c r="A1" s="133" t="n"/>
    </row>
    <row r="2" ht="15.6" customFormat="1" customHeight="1" s="139">
      <c r="A2" s="148" t="n"/>
      <c r="B2" s="148" t="n"/>
      <c r="C2" s="148" t="n"/>
      <c r="D2" s="148" t="n"/>
      <c r="E2" s="148" t="n"/>
      <c r="F2" s="148" t="n"/>
      <c r="G2" s="148" t="n"/>
      <c r="H2" s="178" t="inlineStr">
        <is>
          <t>Приложение №5</t>
        </is>
      </c>
    </row>
    <row r="3" ht="15.6" customFormat="1" customHeight="1" s="139">
      <c r="A3" s="148" t="n"/>
      <c r="B3" s="148" t="n"/>
      <c r="C3" s="148" t="n"/>
      <c r="D3" s="148" t="n"/>
      <c r="E3" s="148" t="n"/>
      <c r="F3" s="148" t="n"/>
      <c r="G3" s="148" t="n"/>
      <c r="H3" s="148" t="n"/>
      <c r="I3" s="148" t="n"/>
      <c r="J3" s="148" t="n"/>
    </row>
    <row r="4" ht="15.6" customFormat="1" customHeight="1" s="133">
      <c r="A4" s="154" t="inlineStr">
        <is>
          <t>Расчет стоимости СМР и оборудования</t>
        </is>
      </c>
      <c r="I4" s="154" t="n"/>
      <c r="J4" s="154" t="n"/>
    </row>
    <row r="5" ht="15.6" customFormat="1" customHeight="1" s="133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customFormat="1" s="133">
      <c r="A6" s="179" t="inlineStr">
        <is>
          <t xml:space="preserve">Наименование разрабатываемого показателя УНЦ — </t>
        </is>
      </c>
      <c r="D6" s="179" t="inlineStr">
        <is>
          <t xml:space="preserve"> Накопитель электроэнергии</t>
        </is>
      </c>
    </row>
    <row r="7" ht="15.6" customFormat="1" customHeight="1" s="133">
      <c r="A7" s="179" t="inlineStr">
        <is>
          <t>Единица измерения  — м2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6" customFormat="1" customHeight="1" s="133">
      <c r="A8" s="148" t="n"/>
      <c r="B8" s="148" t="n"/>
      <c r="C8" s="148" t="n"/>
      <c r="D8" s="148" t="n"/>
      <c r="E8" s="148" t="n"/>
      <c r="F8" s="148" t="n"/>
      <c r="G8" s="148" t="n"/>
      <c r="H8" s="148" t="n"/>
      <c r="I8" s="148" t="n"/>
      <c r="J8" s="148" t="n"/>
    </row>
    <row r="9" ht="27" customFormat="1" customHeight="1" s="148">
      <c r="A9" s="182" t="inlineStr">
        <is>
          <t>№ пп.</t>
        </is>
      </c>
      <c r="B9" s="171" t="inlineStr">
        <is>
          <t>Код ресурса</t>
        </is>
      </c>
      <c r="C9" s="171" t="inlineStr">
        <is>
          <t>Наименование</t>
        </is>
      </c>
      <c r="D9" s="171" t="inlineStr">
        <is>
          <t>Ед. изм.</t>
        </is>
      </c>
      <c r="E9" s="171" t="inlineStr">
        <is>
          <t>Кол-во единиц по проектным данным</t>
        </is>
      </c>
      <c r="F9" s="171" t="inlineStr">
        <is>
          <t>Сметная стоимость в ценах на 01.01.2000 (руб.)</t>
        </is>
      </c>
      <c r="G9" s="203" t="n"/>
      <c r="H9" s="171" t="inlineStr">
        <is>
          <t>Удельный вес, %</t>
        </is>
      </c>
      <c r="I9" s="171" t="inlineStr">
        <is>
          <t>Сметная стоимость в ценах на 01.01.2023 (руб.)</t>
        </is>
      </c>
      <c r="J9" s="203" t="n"/>
      <c r="K9" s="107" t="n"/>
    </row>
    <row r="10" ht="28.5" customFormat="1" customHeight="1" s="148">
      <c r="A10" s="205" t="n"/>
      <c r="B10" s="205" t="n"/>
      <c r="C10" s="205" t="n"/>
      <c r="D10" s="205" t="n"/>
      <c r="E10" s="205" t="n"/>
      <c r="F10" s="171" t="inlineStr">
        <is>
          <t>на ед. изм.</t>
        </is>
      </c>
      <c r="G10" s="171" t="inlineStr">
        <is>
          <t>общая</t>
        </is>
      </c>
      <c r="H10" s="205" t="n"/>
      <c r="I10" s="171" t="inlineStr">
        <is>
          <t>на ед. изм.</t>
        </is>
      </c>
      <c r="J10" s="171" t="inlineStr">
        <is>
          <t>общая</t>
        </is>
      </c>
    </row>
    <row r="11" ht="15.6" customFormat="1" customHeight="1" s="148">
      <c r="A11" s="182" t="n">
        <v>1</v>
      </c>
      <c r="B11" s="171" t="n">
        <v>2</v>
      </c>
      <c r="C11" s="171" t="n">
        <v>3</v>
      </c>
      <c r="D11" s="171" t="n">
        <v>4</v>
      </c>
      <c r="E11" s="171" t="n">
        <v>5</v>
      </c>
      <c r="F11" s="171" t="n">
        <v>6</v>
      </c>
      <c r="G11" s="171" t="n">
        <v>7</v>
      </c>
      <c r="H11" s="171" t="n">
        <v>8</v>
      </c>
      <c r="I11" s="171" t="n">
        <v>9</v>
      </c>
      <c r="J11" s="171" t="n">
        <v>10</v>
      </c>
    </row>
    <row r="12" ht="15.6" customFormat="1" customHeight="1" s="148">
      <c r="A12" s="174" t="n"/>
      <c r="B12" s="176" t="inlineStr">
        <is>
          <t>Затраты труда рабочих-строителей</t>
        </is>
      </c>
      <c r="C12" s="202" t="n"/>
      <c r="D12" s="202" t="n"/>
      <c r="E12" s="202" t="n"/>
      <c r="F12" s="202" t="n"/>
      <c r="G12" s="202" t="n"/>
      <c r="H12" s="203" t="n"/>
      <c r="I12" s="174" t="n"/>
      <c r="J12" s="174" t="n"/>
    </row>
    <row r="13" ht="31.35" customFormat="1" customHeight="1" s="148">
      <c r="A13" s="167" t="n">
        <v>1</v>
      </c>
      <c r="B13" s="167" t="inlineStr">
        <is>
          <t>1-100-32</t>
        </is>
      </c>
      <c r="C13" s="168" t="inlineStr">
        <is>
          <t>Затраты труда рабочих (Средний разряд работы 3,2)</t>
        </is>
      </c>
      <c r="D13" s="167" t="inlineStr">
        <is>
          <t>чел.-ч</t>
        </is>
      </c>
      <c r="E13" s="167" t="n">
        <v>220.42219679634</v>
      </c>
      <c r="F13" s="172" t="n">
        <v>8.74</v>
      </c>
      <c r="G13" s="172">
        <f>ROUND(E13*F13,2)</f>
        <v/>
      </c>
      <c r="H13" s="45">
        <f>G13/G14</f>
        <v/>
      </c>
      <c r="I13" s="172">
        <f>ФОТр.тек.!E13</f>
        <v/>
      </c>
      <c r="J13" s="172">
        <f>ROUND(E13*I13,2)</f>
        <v/>
      </c>
    </row>
    <row r="14" ht="31.35" customFormat="1" customHeight="1" s="148">
      <c r="A14" s="167" t="n"/>
      <c r="B14" s="167" t="n"/>
      <c r="C14" s="168" t="inlineStr">
        <is>
          <t>Итого по разделу "Затраты труда рабочих-строителей"</t>
        </is>
      </c>
      <c r="D14" s="167" t="inlineStr">
        <is>
          <t>чел.-ч</t>
        </is>
      </c>
      <c r="E14" s="167">
        <f>SUM(E13:E13)</f>
        <v/>
      </c>
      <c r="F14" s="172" t="n"/>
      <c r="G14" s="172">
        <f>SUM(G13:G13)</f>
        <v/>
      </c>
      <c r="H14" s="45" t="n">
        <v>1</v>
      </c>
      <c r="I14" s="172" t="n"/>
      <c r="J14" s="172">
        <f>SUM(J13:J13)</f>
        <v/>
      </c>
    </row>
    <row r="15" ht="15.6" customFormat="1" customHeight="1" s="148">
      <c r="A15" s="167" t="n"/>
      <c r="B15" s="167" t="inlineStr">
        <is>
          <t>Затраты труда машинистов</t>
        </is>
      </c>
      <c r="C15" s="202" t="n"/>
      <c r="D15" s="202" t="n"/>
      <c r="E15" s="202" t="n"/>
      <c r="F15" s="202" t="n"/>
      <c r="G15" s="202" t="n"/>
      <c r="H15" s="203" t="n"/>
      <c r="I15" s="172" t="n"/>
      <c r="J15" s="172" t="n"/>
    </row>
    <row r="16" ht="15.6" customFormat="1" customHeight="1" s="148">
      <c r="A16" s="167" t="n">
        <v>2</v>
      </c>
      <c r="B16" s="167" t="n">
        <v>2</v>
      </c>
      <c r="C16" s="168" t="inlineStr">
        <is>
          <t>Затраты труда машинистов</t>
        </is>
      </c>
      <c r="D16" s="167" t="inlineStr">
        <is>
          <t>чел.-ч</t>
        </is>
      </c>
      <c r="E16" s="167" t="n">
        <v>23.3416286</v>
      </c>
      <c r="F16" s="172" t="n">
        <v>13.19</v>
      </c>
      <c r="G16" s="172">
        <f>ROUND(E16*F16,2)</f>
        <v/>
      </c>
      <c r="H16" s="45" t="n">
        <v>1</v>
      </c>
      <c r="I16" s="172">
        <f>ROUND(F16*Прил.10!$D$10,2)</f>
        <v/>
      </c>
      <c r="J16" s="172">
        <f>ROUND(E16*I16,2)</f>
        <v/>
      </c>
    </row>
    <row r="17" ht="15.6" customFormat="1" customHeight="1" s="148">
      <c r="A17" s="167" t="n"/>
      <c r="B17" s="166" t="inlineStr">
        <is>
          <t>Машины и механизмы</t>
        </is>
      </c>
      <c r="C17" s="202" t="n"/>
      <c r="D17" s="202" t="n"/>
      <c r="E17" s="202" t="n"/>
      <c r="F17" s="202" t="n"/>
      <c r="G17" s="202" t="n"/>
      <c r="H17" s="203" t="n"/>
      <c r="I17" s="172" t="n"/>
      <c r="J17" s="172" t="n"/>
    </row>
    <row r="18" ht="15.6" customFormat="1" customHeight="1" s="148">
      <c r="A18" s="167" t="n"/>
      <c r="B18" s="167" t="inlineStr">
        <is>
          <t>Основные Машины и механизмы</t>
        </is>
      </c>
      <c r="C18" s="202" t="n"/>
      <c r="D18" s="202" t="n"/>
      <c r="E18" s="202" t="n"/>
      <c r="F18" s="202" t="n"/>
      <c r="G18" s="202" t="n"/>
      <c r="H18" s="203" t="n"/>
      <c r="I18" s="172" t="n"/>
      <c r="J18" s="172" t="n"/>
    </row>
    <row r="19" ht="31.35" customFormat="1" customHeight="1" s="148">
      <c r="A19" s="167" t="n">
        <v>3</v>
      </c>
      <c r="B19" s="173" t="inlineStr">
        <is>
          <t>91.05.08-006</t>
        </is>
      </c>
      <c r="C19" s="183" t="inlineStr">
        <is>
          <t>Краны на пневмоколесном ходу, грузоподъемность 16 т</t>
        </is>
      </c>
      <c r="D19" s="186" t="inlineStr">
        <is>
          <t>маш.час</t>
        </is>
      </c>
      <c r="E19" s="184" t="n">
        <v>7.32</v>
      </c>
      <c r="F19" s="50" t="n">
        <v>131.16</v>
      </c>
      <c r="G19" s="50">
        <f>ROUND(E19*F19,2)</f>
        <v/>
      </c>
      <c r="H19" s="45">
        <f>G19/G42</f>
        <v/>
      </c>
      <c r="I19" s="172">
        <f>ROUND(F19*Прил.10!$D$11,2)</f>
        <v/>
      </c>
      <c r="J19" s="172">
        <f>ROUND(E19*I19,2)</f>
        <v/>
      </c>
    </row>
    <row r="20" ht="31.35" customFormat="1" customHeight="1" s="148">
      <c r="A20" s="167" t="n">
        <v>4</v>
      </c>
      <c r="B20" s="173" t="inlineStr">
        <is>
          <t>91.05.06-012</t>
        </is>
      </c>
      <c r="C20" s="183" t="inlineStr">
        <is>
          <t>Краны на гусеничном ходу, грузоподъемность до 16 т</t>
        </is>
      </c>
      <c r="D20" s="186" t="inlineStr">
        <is>
          <t>маш.час</t>
        </is>
      </c>
      <c r="E20" s="184" t="n">
        <v>6.25345</v>
      </c>
      <c r="F20" s="50" t="n">
        <v>96.89</v>
      </c>
      <c r="G20" s="50">
        <f>ROUND(E20*F20,2)</f>
        <v/>
      </c>
      <c r="H20" s="45">
        <f>G20/G42</f>
        <v/>
      </c>
      <c r="I20" s="172">
        <f>ROUND(F20*Прил.10!$D$11,2)</f>
        <v/>
      </c>
      <c r="J20" s="172">
        <f>ROUND(E20*I20,2)</f>
        <v/>
      </c>
    </row>
    <row r="21" ht="31.35" customFormat="1" customHeight="1" s="148">
      <c r="A21" s="167" t="n">
        <v>5</v>
      </c>
      <c r="B21" s="173" t="inlineStr">
        <is>
          <t>91.14.02-004</t>
        </is>
      </c>
      <c r="C21" s="183" t="inlineStr">
        <is>
          <t>Автомобили бортовые, грузоподъемность до 15 т</t>
        </is>
      </c>
      <c r="D21" s="186" t="inlineStr">
        <is>
          <t>маш.час</t>
        </is>
      </c>
      <c r="E21" s="184" t="n">
        <v>3.72</v>
      </c>
      <c r="F21" s="50" t="n">
        <v>92.94</v>
      </c>
      <c r="G21" s="50">
        <f>ROUND(E21*F21,2)</f>
        <v/>
      </c>
      <c r="H21" s="45">
        <f>G21/G42</f>
        <v/>
      </c>
      <c r="I21" s="172">
        <f>ROUND(F21*Прил.10!$D$11,2)</f>
        <v/>
      </c>
      <c r="J21" s="172">
        <f>ROUND(E21*I21,2)</f>
        <v/>
      </c>
    </row>
    <row r="22" ht="62.45" customFormat="1" customHeight="1" s="148">
      <c r="A22" s="167" t="n">
        <v>6</v>
      </c>
      <c r="B22" s="173" t="inlineStr">
        <is>
          <t>91.18.01-007</t>
        </is>
      </c>
      <c r="C22" s="18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186" t="inlineStr">
        <is>
          <t>маш.час</t>
        </is>
      </c>
      <c r="E22" s="184" t="n">
        <v>2.3992933</v>
      </c>
      <c r="F22" s="50" t="n">
        <v>90</v>
      </c>
      <c r="G22" s="50">
        <f>ROUND(E22*F22,2)</f>
        <v/>
      </c>
      <c r="H22" s="45">
        <f>G22/G42</f>
        <v/>
      </c>
      <c r="I22" s="172">
        <f>ROUND(F22*Прил.10!$D$11,2)</f>
        <v/>
      </c>
      <c r="J22" s="172">
        <f>ROUND(E22*I22,2)</f>
        <v/>
      </c>
    </row>
    <row r="23" ht="46.9" customFormat="1" customHeight="1" s="148">
      <c r="A23" s="167" t="n">
        <v>7</v>
      </c>
      <c r="B23" s="173" t="inlineStr">
        <is>
          <t>91.01.05-106</t>
        </is>
      </c>
      <c r="C23" s="183" t="inlineStr">
        <is>
          <t>Экскаваторы одноковшовые дизельные на пневмоколесном ходу, емкость ковша 0,25 м3</t>
        </is>
      </c>
      <c r="D23" s="186" t="inlineStr">
        <is>
          <t>маш.час</t>
        </is>
      </c>
      <c r="E23" s="184" t="n">
        <v>1.921144</v>
      </c>
      <c r="F23" s="50" t="n">
        <v>70.01000000000001</v>
      </c>
      <c r="G23" s="50">
        <f>ROUND(E23*F23,2)</f>
        <v/>
      </c>
      <c r="H23" s="45">
        <f>G23/G42</f>
        <v/>
      </c>
      <c r="I23" s="172">
        <f>ROUND(F23*Прил.10!$D$11,2)</f>
        <v/>
      </c>
      <c r="J23" s="172">
        <f>ROUND(E23*I23,2)</f>
        <v/>
      </c>
    </row>
    <row r="24" ht="15.6" customFormat="1" customHeight="1" s="148">
      <c r="A24" s="167" t="n"/>
      <c r="B24" s="173" t="inlineStr">
        <is>
          <t>Итого основные Машины и механизмы</t>
        </is>
      </c>
      <c r="C24" s="202" t="n"/>
      <c r="D24" s="202" t="n"/>
      <c r="E24" s="202" t="n"/>
      <c r="F24" s="203" t="n"/>
      <c r="G24" s="50">
        <f>SUM(G19:G23)</f>
        <v/>
      </c>
      <c r="H24" s="45">
        <f>SUM(H19:H23)</f>
        <v/>
      </c>
      <c r="I24" s="172" t="n"/>
      <c r="J24" s="172">
        <f>SUM(J19:J23)</f>
        <v/>
      </c>
    </row>
    <row r="25" hidden="1" outlineLevel="1" ht="15.6" customFormat="1" customHeight="1" s="148">
      <c r="A25" s="167" t="n">
        <v>8</v>
      </c>
      <c r="B25" s="173" t="inlineStr">
        <is>
          <t>91.08.11-011</t>
        </is>
      </c>
      <c r="C25" s="183" t="inlineStr">
        <is>
          <t>Заливщики швов на базе автомобиля</t>
        </is>
      </c>
      <c r="D25" s="186" t="inlineStr">
        <is>
          <t>маш.час</t>
        </is>
      </c>
      <c r="E25" s="184" t="n">
        <v>0.37375</v>
      </c>
      <c r="F25" s="50" t="n">
        <v>175.25</v>
      </c>
      <c r="G25" s="50">
        <f>ROUND(E25*F25,2)</f>
        <v/>
      </c>
      <c r="H25" s="45">
        <f>G25/G42</f>
        <v/>
      </c>
      <c r="I25" s="172">
        <f>ROUND(F25*Прил.10!$D$11,2)</f>
        <v/>
      </c>
      <c r="J25" s="172">
        <f>ROUND(E25*I25,2)</f>
        <v/>
      </c>
    </row>
    <row r="26" hidden="1" outlineLevel="1" ht="31.35" customFormat="1" customHeight="1" s="148">
      <c r="A26" s="167" t="n">
        <v>9</v>
      </c>
      <c r="B26" s="173" t="inlineStr">
        <is>
          <t>91.08.06-003</t>
        </is>
      </c>
      <c r="C26" s="183" t="inlineStr">
        <is>
          <t>Нарезчики швов, максимальная глубина резки 200 мм</t>
        </is>
      </c>
      <c r="D26" s="186" t="inlineStr">
        <is>
          <t>маш.час</t>
        </is>
      </c>
      <c r="E26" s="184" t="n">
        <v>0.9614</v>
      </c>
      <c r="F26" s="50" t="n">
        <v>60.89</v>
      </c>
      <c r="G26" s="50">
        <f>ROUND(E26*F26,2)</f>
        <v/>
      </c>
      <c r="H26" s="45">
        <f>G26/G42</f>
        <v/>
      </c>
      <c r="I26" s="172">
        <f>ROUND(F26*Прил.10!$D$11,2)</f>
        <v/>
      </c>
      <c r="J26" s="172">
        <f>ROUND(E26*I26,2)</f>
        <v/>
      </c>
    </row>
    <row r="27" hidden="1" outlineLevel="1" ht="31.35" customFormat="1" customHeight="1" s="148">
      <c r="A27" s="167" t="n">
        <v>10</v>
      </c>
      <c r="B27" s="173" t="inlineStr">
        <is>
          <t>91.17.04-233</t>
        </is>
      </c>
      <c r="C27" s="183" t="inlineStr">
        <is>
          <t>Установки для сварки ручной дуговой (постоянного тока)</t>
        </is>
      </c>
      <c r="D27" s="186" t="inlineStr">
        <is>
          <t>маш.час</t>
        </is>
      </c>
      <c r="E27" s="184" t="n">
        <v>7.10235</v>
      </c>
      <c r="F27" s="50" t="n">
        <v>8.1</v>
      </c>
      <c r="G27" s="50">
        <f>ROUND(E27*F27,2)</f>
        <v/>
      </c>
      <c r="H27" s="45">
        <f>G27/G42</f>
        <v/>
      </c>
      <c r="I27" s="172">
        <f>ROUND(F27*Прил.10!$D$11,2)</f>
        <v/>
      </c>
      <c r="J27" s="172">
        <f>ROUND(E27*I27,2)</f>
        <v/>
      </c>
    </row>
    <row r="28" hidden="1" outlineLevel="1" ht="31.35" customFormat="1" customHeight="1" s="148">
      <c r="A28" s="167" t="n">
        <v>11</v>
      </c>
      <c r="B28" s="173" t="inlineStr">
        <is>
          <t>91.05.05-015</t>
        </is>
      </c>
      <c r="C28" s="183" t="inlineStr">
        <is>
          <t>Краны на автомобильном ходу, грузоподъемность 16 т</t>
        </is>
      </c>
      <c r="D28" s="186" t="inlineStr">
        <is>
          <t>маш.час</t>
        </is>
      </c>
      <c r="E28" s="184" t="n">
        <v>0.26059</v>
      </c>
      <c r="F28" s="50" t="n">
        <v>115.4</v>
      </c>
      <c r="G28" s="50">
        <f>ROUND(E28*F28,2)</f>
        <v/>
      </c>
      <c r="H28" s="45">
        <f>G28/G42</f>
        <v/>
      </c>
      <c r="I28" s="172">
        <f>ROUND(F28*Прил.10!$D$11,2)</f>
        <v/>
      </c>
      <c r="J28" s="172">
        <f>ROUND(E28*I28,2)</f>
        <v/>
      </c>
    </row>
    <row r="29" hidden="1" outlineLevel="1" ht="31.35" customFormat="1" customHeight="1" s="148">
      <c r="A29" s="167" t="n">
        <v>12</v>
      </c>
      <c r="B29" s="173" t="inlineStr">
        <is>
          <t>91.14.02-001</t>
        </is>
      </c>
      <c r="C29" s="183" t="inlineStr">
        <is>
          <t>Автомобили бортовые, грузоподъемность до 5 т</t>
        </is>
      </c>
      <c r="D29" s="186" t="inlineStr">
        <is>
          <t>маш.час</t>
        </is>
      </c>
      <c r="E29" s="184" t="n">
        <v>0.4536175</v>
      </c>
      <c r="F29" s="50" t="n">
        <v>65.70999999999999</v>
      </c>
      <c r="G29" s="50">
        <f>ROUND(E29*F29,2)</f>
        <v/>
      </c>
      <c r="H29" s="45">
        <f>G29/G42</f>
        <v/>
      </c>
      <c r="I29" s="172">
        <f>ROUND(F29*Прил.10!$D$11,2)</f>
        <v/>
      </c>
      <c r="J29" s="172">
        <f>ROUND(E29*I29,2)</f>
        <v/>
      </c>
    </row>
    <row r="30" hidden="1" outlineLevel="1" ht="31.35" customFormat="1" customHeight="1" s="148">
      <c r="A30" s="167" t="n">
        <v>13</v>
      </c>
      <c r="B30" s="173" t="inlineStr">
        <is>
          <t>91.01.02-004</t>
        </is>
      </c>
      <c r="C30" s="183" t="inlineStr">
        <is>
          <t>Автогрейдеры среднего типа, мощность 99 кВт (135 л.с.)</t>
        </is>
      </c>
      <c r="D30" s="186" t="inlineStr">
        <is>
          <t>маш.час</t>
        </is>
      </c>
      <c r="E30" s="184" t="n">
        <v>0.1660819</v>
      </c>
      <c r="F30" s="50" t="n">
        <v>123</v>
      </c>
      <c r="G30" s="50">
        <f>ROUND(E30*F30,2)</f>
        <v/>
      </c>
      <c r="H30" s="45">
        <f>G30/G42</f>
        <v/>
      </c>
      <c r="I30" s="172">
        <f>ROUND(F30*Прил.10!$D$11,2)</f>
        <v/>
      </c>
      <c r="J30" s="172">
        <f>ROUND(E30*I30,2)</f>
        <v/>
      </c>
    </row>
    <row r="31" hidden="1" outlineLevel="1" ht="15.6" customFormat="1" customHeight="1" s="148">
      <c r="A31" s="167" t="n">
        <v>14</v>
      </c>
      <c r="B31" s="173" t="inlineStr">
        <is>
          <t>91.13.01-038</t>
        </is>
      </c>
      <c r="C31" s="183" t="inlineStr">
        <is>
          <t>Машины поливомоечные 6000 л</t>
        </is>
      </c>
      <c r="D31" s="186" t="inlineStr">
        <is>
          <t>маш.час</t>
        </is>
      </c>
      <c r="E31" s="184" t="n">
        <v>0.1299224</v>
      </c>
      <c r="F31" s="50" t="n">
        <v>110</v>
      </c>
      <c r="G31" s="50">
        <f>ROUND(E31*F31,2)</f>
        <v/>
      </c>
      <c r="H31" s="45">
        <f>G31/G42</f>
        <v/>
      </c>
      <c r="I31" s="172">
        <f>ROUND(F31*Прил.10!$D$11,2)</f>
        <v/>
      </c>
      <c r="J31" s="172">
        <f>ROUND(E31*I31,2)</f>
        <v/>
      </c>
    </row>
    <row r="32" hidden="1" outlineLevel="1" ht="15.6" customFormat="1" customHeight="1" s="148">
      <c r="A32" s="167" t="n">
        <v>15</v>
      </c>
      <c r="B32" s="173" t="inlineStr">
        <is>
          <t>91.06.05-011</t>
        </is>
      </c>
      <c r="C32" s="183" t="inlineStr">
        <is>
          <t>Погрузчики, грузоподъемность 5 т</t>
        </is>
      </c>
      <c r="D32" s="186" t="inlineStr">
        <is>
          <t>маш.час</t>
        </is>
      </c>
      <c r="E32" s="184" t="n">
        <v>0.1265</v>
      </c>
      <c r="F32" s="50" t="n">
        <v>89.98999999999999</v>
      </c>
      <c r="G32" s="50">
        <f>ROUND(E32*F32,2)</f>
        <v/>
      </c>
      <c r="H32" s="45">
        <f>G32/G42</f>
        <v/>
      </c>
      <c r="I32" s="172">
        <f>ROUND(F32*Прил.10!$D$11,2)</f>
        <v/>
      </c>
      <c r="J32" s="172">
        <f>ROUND(E32*I32,2)</f>
        <v/>
      </c>
    </row>
    <row r="33" hidden="1" outlineLevel="1" ht="15.6" customFormat="1" customHeight="1" s="148">
      <c r="A33" s="167" t="n">
        <v>16</v>
      </c>
      <c r="B33" s="173" t="inlineStr">
        <is>
          <t>91.01.01-034</t>
        </is>
      </c>
      <c r="C33" s="183" t="inlineStr">
        <is>
          <t>Бульдозеры, мощность 59 кВт (80 л.с.)</t>
        </is>
      </c>
      <c r="D33" s="186" t="inlineStr">
        <is>
          <t>маш.час</t>
        </is>
      </c>
      <c r="E33" s="184" t="n">
        <v>0.1443879</v>
      </c>
      <c r="F33" s="50" t="n">
        <v>59.47</v>
      </c>
      <c r="G33" s="50">
        <f>ROUND(E33*F33,2)</f>
        <v/>
      </c>
      <c r="H33" s="45">
        <f>G33/G42</f>
        <v/>
      </c>
      <c r="I33" s="172">
        <f>ROUND(F33*Прил.10!$D$11,2)</f>
        <v/>
      </c>
      <c r="J33" s="172">
        <f>ROUND(E33*I33,2)</f>
        <v/>
      </c>
    </row>
    <row r="34" hidden="1" outlineLevel="1" ht="46.9" customFormat="1" customHeight="1" s="148">
      <c r="A34" s="167" t="n">
        <v>17</v>
      </c>
      <c r="B34" s="173" t="inlineStr">
        <is>
          <t>91.18.01-508</t>
        </is>
      </c>
      <c r="C34" s="183" t="inlineStr">
        <is>
          <t>Компрессоры передвижные с электродвигателем, производительность до 5,0 м3/мин</t>
        </is>
      </c>
      <c r="D34" s="186" t="inlineStr">
        <is>
          <t>маш.час</t>
        </is>
      </c>
      <c r="E34" s="184" t="n">
        <v>0.13455</v>
      </c>
      <c r="F34" s="50" t="n">
        <v>48.81</v>
      </c>
      <c r="G34" s="50">
        <f>ROUND(E34*F34,2)</f>
        <v/>
      </c>
      <c r="H34" s="45">
        <f>G34/G42</f>
        <v/>
      </c>
      <c r="I34" s="172">
        <f>ROUND(F34*Прил.10!$D$11,2)</f>
        <v/>
      </c>
      <c r="J34" s="172">
        <f>ROUND(E34*I34,2)</f>
        <v/>
      </c>
    </row>
    <row r="35" hidden="1" outlineLevel="1" ht="31.35" customFormat="1" customHeight="1" s="148">
      <c r="A35" s="167" t="n">
        <v>18</v>
      </c>
      <c r="B35" s="173" t="inlineStr">
        <is>
          <t>91.15.02-023</t>
        </is>
      </c>
      <c r="C35" s="183" t="inlineStr">
        <is>
          <t>Тракторы на гусеничном ходу, мощность 59 кВт (80 л.с.)</t>
        </is>
      </c>
      <c r="D35" s="186" t="inlineStr">
        <is>
          <t>маш.час</t>
        </is>
      </c>
      <c r="E35" s="184" t="n">
        <v>0.0728916</v>
      </c>
      <c r="F35" s="50" t="n">
        <v>77.2</v>
      </c>
      <c r="G35" s="50">
        <f>ROUND(E35*F35,2)</f>
        <v/>
      </c>
      <c r="H35" s="45">
        <f>G35/G42</f>
        <v/>
      </c>
      <c r="I35" s="172">
        <f>ROUND(F35*Прил.10!$D$11,2)</f>
        <v/>
      </c>
      <c r="J35" s="172">
        <f>ROUND(E35*I35,2)</f>
        <v/>
      </c>
    </row>
    <row r="36" hidden="1" outlineLevel="1" ht="46.9" customFormat="1" customHeight="1" s="148">
      <c r="A36" s="167" t="n">
        <v>19</v>
      </c>
      <c r="B36" s="173" t="inlineStr">
        <is>
          <t>91.21.10-003</t>
        </is>
      </c>
      <c r="C36" s="183" t="inlineStr">
        <is>
          <t>Молотки при работе от передвижных компрессорных станций отбойные пневматические</t>
        </is>
      </c>
      <c r="D36" s="186" t="inlineStr">
        <is>
          <t>маш.час</t>
        </is>
      </c>
      <c r="E36" s="184" t="n">
        <v>3.6599624</v>
      </c>
      <c r="F36" s="50" t="n">
        <v>1.53</v>
      </c>
      <c r="G36" s="50">
        <f>ROUND(E36*F36,2)</f>
        <v/>
      </c>
      <c r="H36" s="45">
        <f>G36/G42</f>
        <v/>
      </c>
      <c r="I36" s="172">
        <f>ROUND(F36*Прил.10!$D$11,2)</f>
        <v/>
      </c>
      <c r="J36" s="172">
        <f>ROUND(E36*I36,2)</f>
        <v/>
      </c>
    </row>
    <row r="37" hidden="1" outlineLevel="1" ht="15.6" customFormat="1" customHeight="1" s="148">
      <c r="A37" s="167" t="n">
        <v>20</v>
      </c>
      <c r="B37" s="173" t="inlineStr">
        <is>
          <t>91.08.04-021</t>
        </is>
      </c>
      <c r="C37" s="183" t="inlineStr">
        <is>
          <t>Котлы битумные передвижные 400 л</t>
        </is>
      </c>
      <c r="D37" s="186" t="inlineStr">
        <is>
          <t>маш.час</t>
        </is>
      </c>
      <c r="E37" s="184" t="n">
        <v>0.06900000000000001</v>
      </c>
      <c r="F37" s="50" t="n">
        <v>30</v>
      </c>
      <c r="G37" s="50">
        <f>ROUND(E37*F37,2)</f>
        <v/>
      </c>
      <c r="H37" s="45">
        <f>G37/G42</f>
        <v/>
      </c>
      <c r="I37" s="172">
        <f>ROUND(F37*Прил.10!$D$11,2)</f>
        <v/>
      </c>
      <c r="J37" s="172">
        <f>ROUND(E37*I37,2)</f>
        <v/>
      </c>
    </row>
    <row r="38" hidden="1" outlineLevel="1" ht="46.9" customFormat="1" customHeight="1" s="148">
      <c r="A38" s="167" t="n">
        <v>21</v>
      </c>
      <c r="B38" s="173" t="inlineStr">
        <is>
          <t>91.08.09-023</t>
        </is>
      </c>
      <c r="C38" s="183" t="inlineStr">
        <is>
          <t>Трамбовки пневматические при работе от передвижных компрессорных станций</t>
        </is>
      </c>
      <c r="D38" s="186" t="inlineStr">
        <is>
          <t>маш.час</t>
        </is>
      </c>
      <c r="E38" s="184" t="n">
        <v>2.3285775</v>
      </c>
      <c r="F38" s="50" t="n">
        <v>0.55</v>
      </c>
      <c r="G38" s="50">
        <f>ROUND(E38*F38,2)</f>
        <v/>
      </c>
      <c r="H38" s="45">
        <f>G38/G42</f>
        <v/>
      </c>
      <c r="I38" s="172">
        <f>ROUND(F38*Прил.10!$D$11,2)</f>
        <v/>
      </c>
      <c r="J38" s="172">
        <f>ROUND(E38*I38,2)</f>
        <v/>
      </c>
    </row>
    <row r="39" hidden="1" outlineLevel="1" ht="15.6" customFormat="1" customHeight="1" s="148">
      <c r="A39" s="167" t="n">
        <v>22</v>
      </c>
      <c r="B39" s="173" t="inlineStr">
        <is>
          <t>91.12.06-012</t>
        </is>
      </c>
      <c r="C39" s="183" t="inlineStr">
        <is>
          <t>Рыхлители прицепные (без трактора)</t>
        </is>
      </c>
      <c r="D39" s="186" t="inlineStr">
        <is>
          <t>маш.час</t>
        </is>
      </c>
      <c r="E39" s="184" t="n">
        <v>0.0728916</v>
      </c>
      <c r="F39" s="50" t="n">
        <v>8</v>
      </c>
      <c r="G39" s="50">
        <f>ROUND(E39*F39,2)</f>
        <v/>
      </c>
      <c r="H39" s="45">
        <f>G39/G42</f>
        <v/>
      </c>
      <c r="I39" s="172">
        <f>ROUND(F39*Прил.10!$D$11,2)</f>
        <v/>
      </c>
      <c r="J39" s="172">
        <f>ROUND(E39*I39,2)</f>
        <v/>
      </c>
    </row>
    <row r="40" hidden="1" outlineLevel="1" ht="15.6" customFormat="1" customHeight="1" s="148">
      <c r="A40" s="167" t="n">
        <v>23</v>
      </c>
      <c r="B40" s="173" t="inlineStr">
        <is>
          <t>91.17.04-042</t>
        </is>
      </c>
      <c r="C40" s="183" t="inlineStr">
        <is>
          <t>Аппараты для газовой сварки и резки</t>
        </is>
      </c>
      <c r="D40" s="186" t="inlineStr">
        <is>
          <t>маш.час</t>
        </is>
      </c>
      <c r="E40" s="184" t="n">
        <v>0.408</v>
      </c>
      <c r="F40" s="50" t="n">
        <v>1.2</v>
      </c>
      <c r="G40" s="50">
        <f>ROUND(E40*F40,2)</f>
        <v/>
      </c>
      <c r="H40" s="45">
        <f>G40/G42</f>
        <v/>
      </c>
      <c r="I40" s="172">
        <f>ROUND(F40*Прил.10!$D$11,2)</f>
        <v/>
      </c>
      <c r="J40" s="172">
        <f>ROUND(E40*I40,2)</f>
        <v/>
      </c>
    </row>
    <row r="41" collapsed="1" ht="15.6" customFormat="1" customHeight="1" s="148">
      <c r="A41" s="167" t="n"/>
      <c r="B41" s="167" t="inlineStr">
        <is>
          <t>Итого прочие Машины и механизмы</t>
        </is>
      </c>
      <c r="C41" s="202" t="n"/>
      <c r="D41" s="202" t="n"/>
      <c r="E41" s="202" t="n"/>
      <c r="F41" s="203" t="n"/>
      <c r="G41" s="172">
        <f>SUM(G25:G40)</f>
        <v/>
      </c>
      <c r="H41" s="45">
        <f>SUM(H25:H40)</f>
        <v/>
      </c>
      <c r="I41" s="172" t="n"/>
      <c r="J41" s="172">
        <f>SUM(J25:J40)</f>
        <v/>
      </c>
    </row>
    <row r="42" ht="15.6" customFormat="1" customHeight="1" s="148">
      <c r="A42" s="167" t="n"/>
      <c r="B42" s="167" t="inlineStr">
        <is>
          <t>Итого по разделу "Машины и механизмы"</t>
        </is>
      </c>
      <c r="C42" s="202" t="n"/>
      <c r="D42" s="202" t="n"/>
      <c r="E42" s="202" t="n"/>
      <c r="F42" s="203" t="n"/>
      <c r="G42" s="172">
        <f>G24+G41</f>
        <v/>
      </c>
      <c r="H42" s="45">
        <f>H24+H41</f>
        <v/>
      </c>
      <c r="I42" s="172" t="n"/>
      <c r="J42" s="172">
        <f>J24+J41</f>
        <v/>
      </c>
    </row>
    <row r="43" ht="15.6" customFormat="1" customHeight="1" s="148">
      <c r="A43" s="174" t="n"/>
      <c r="B43" s="176" t="inlineStr">
        <is>
          <t>Оборудование</t>
        </is>
      </c>
      <c r="C43" s="202" t="n"/>
      <c r="D43" s="202" t="n"/>
      <c r="E43" s="202" t="n"/>
      <c r="F43" s="202" t="n"/>
      <c r="G43" s="202" t="n"/>
      <c r="H43" s="202" t="n"/>
      <c r="I43" s="202" t="n"/>
      <c r="J43" s="203" t="n"/>
    </row>
    <row r="44" ht="15.6" customFormat="1" customHeight="1" s="148">
      <c r="A44" s="174" t="n"/>
      <c r="B44" s="174" t="inlineStr">
        <is>
          <t>Основное оборудование</t>
        </is>
      </c>
      <c r="C44" s="202" t="n"/>
      <c r="D44" s="202" t="n"/>
      <c r="E44" s="202" t="n"/>
      <c r="F44" s="202" t="n"/>
      <c r="G44" s="202" t="n"/>
      <c r="H44" s="202" t="n"/>
      <c r="I44" s="202" t="n"/>
      <c r="J44" s="203" t="n"/>
    </row>
    <row r="45" ht="78" customFormat="1" customHeight="1" s="148">
      <c r="A45" s="168" t="n">
        <v>24</v>
      </c>
      <c r="B45" s="173" t="inlineStr">
        <is>
          <t>Прайс из  СД ОП</t>
        </is>
      </c>
      <c r="C45" s="183" t="inlineStr">
        <is>
          <t>Морской контейнер 20фт в комплекте с оборудованием системы накопления энергии мощностью 250 кВт и емкостью 313 кВт*ч (СНЭЭ 250/345LFP-0,4-М1)</t>
        </is>
      </c>
      <c r="D45" s="186" t="inlineStr">
        <is>
          <t>компл.</t>
        </is>
      </c>
      <c r="E45" s="184" t="n">
        <v>1</v>
      </c>
      <c r="F45" s="50">
        <f>ROUND(I45/Прил.10!$D$13,2)</f>
        <v/>
      </c>
      <c r="G45" s="185">
        <f>ROUND(E45*F45,2)</f>
        <v/>
      </c>
      <c r="H45" s="45" t="n">
        <v>1</v>
      </c>
      <c r="I45" s="172" t="n">
        <v>38174355.689981</v>
      </c>
      <c r="J45" s="172" t="n">
        <v>38174355.689981</v>
      </c>
    </row>
    <row r="46" ht="15.6" customFormat="1" customHeight="1" s="148">
      <c r="A46" s="168" t="n"/>
      <c r="B46" s="173" t="n"/>
      <c r="C46" s="183" t="inlineStr">
        <is>
          <t>Итого основное оборудование</t>
        </is>
      </c>
      <c r="D46" s="186" t="n"/>
      <c r="E46" s="184" t="n"/>
      <c r="F46" s="50" t="n"/>
      <c r="G46" s="185">
        <f>SUM(G45:G45)</f>
        <v/>
      </c>
      <c r="H46" s="45">
        <f>SUM(H45:H45)</f>
        <v/>
      </c>
      <c r="I46" s="172" t="n"/>
      <c r="J46" s="172" t="n">
        <v>38174355.689981</v>
      </c>
    </row>
    <row r="47" ht="15.6" customFormat="1" customHeight="1" s="148">
      <c r="A47" s="174" t="n"/>
      <c r="B47" s="174" t="n"/>
      <c r="C47" s="174" t="inlineStr">
        <is>
          <t>Итого по разделу «Оборудование»</t>
        </is>
      </c>
      <c r="D47" s="174" t="n"/>
      <c r="E47" s="174" t="n"/>
      <c r="F47" s="175" t="n"/>
      <c r="G47" s="175">
        <f>G46</f>
        <v/>
      </c>
      <c r="H47" s="57">
        <f>H46</f>
        <v/>
      </c>
      <c r="I47" s="175" t="n"/>
      <c r="J47" s="175">
        <f>J46</f>
        <v/>
      </c>
    </row>
    <row r="48" ht="15.6" customFormat="1" customHeight="1" s="148">
      <c r="A48" s="174" t="n"/>
      <c r="B48" s="174" t="n"/>
      <c r="C48" s="174" t="inlineStr">
        <is>
          <t>в том числе технологическое оборудование</t>
        </is>
      </c>
      <c r="D48" s="174" t="n"/>
      <c r="E48" s="174" t="n"/>
      <c r="F48" s="175" t="n"/>
      <c r="G48" s="175">
        <f>G47</f>
        <v/>
      </c>
      <c r="H48" s="57">
        <f>H47</f>
        <v/>
      </c>
      <c r="I48" s="175" t="n"/>
      <c r="J48" s="175">
        <f>J47</f>
        <v/>
      </c>
    </row>
    <row r="49" ht="15.6" customFormat="1" customHeight="1" s="148">
      <c r="A49" s="167" t="n"/>
      <c r="B49" s="166" t="inlineStr">
        <is>
          <t>Материалы</t>
        </is>
      </c>
      <c r="C49" s="202" t="n"/>
      <c r="D49" s="202" t="n"/>
      <c r="E49" s="202" t="n"/>
      <c r="F49" s="202" t="n"/>
      <c r="G49" s="202" t="n"/>
      <c r="H49" s="203" t="n"/>
      <c r="I49" s="172" t="n"/>
      <c r="J49" s="172" t="n"/>
    </row>
    <row r="50" ht="15.6" customFormat="1" customHeight="1" s="148">
      <c r="A50" s="167" t="n"/>
      <c r="B50" s="167" t="inlineStr">
        <is>
          <t>Основные Материалы</t>
        </is>
      </c>
      <c r="C50" s="202" t="n"/>
      <c r="D50" s="202" t="n"/>
      <c r="E50" s="202" t="n"/>
      <c r="F50" s="202" t="n"/>
      <c r="G50" s="202" t="n"/>
      <c r="H50" s="203" t="n"/>
      <c r="I50" s="172" t="n"/>
      <c r="J50" s="172" t="n"/>
    </row>
    <row r="51" ht="109.15" customFormat="1" customHeight="1" s="148">
      <c r="A51" s="167" t="n">
        <v>25</v>
      </c>
      <c r="B51" s="173" t="inlineStr">
        <is>
          <t>08.3.05.05-0022</t>
        </is>
      </c>
      <c r="C51" s="183" t="inlineStr">
        <is>
          <t>Оцинкованный прокат холоднокатаный с одинаковой толщиной покрытия цинком на каждой стороне, в листах мерных размеров толщиной 2,5 мм, категория по способности к вытяжке: глубокая, класс 1</t>
        </is>
      </c>
      <c r="D51" s="186" t="inlineStr">
        <is>
          <t>т</t>
        </is>
      </c>
      <c r="E51" s="184" t="n">
        <v>0.13343</v>
      </c>
      <c r="F51" s="50" t="n">
        <v>12395.76</v>
      </c>
      <c r="G51" s="50">
        <f>ROUND(E51*F51,2)</f>
        <v/>
      </c>
      <c r="H51" s="45">
        <f>G51/G70</f>
        <v/>
      </c>
      <c r="I51" s="172">
        <f>ROUND(F51*Прил.10!$D$12,2)</f>
        <v/>
      </c>
      <c r="J51" s="172">
        <f>ROUND(E51*I51,2)</f>
        <v/>
      </c>
    </row>
    <row r="52" ht="46.9" customFormat="1" customHeight="1" s="148">
      <c r="A52" s="167" t="n">
        <v>26</v>
      </c>
      <c r="B52" s="173" t="inlineStr">
        <is>
          <t>02.3.01.02-0016</t>
        </is>
      </c>
      <c r="C52" s="183" t="inlineStr">
        <is>
          <t>Песок природный для строительных: работ средний с крупностью зерен размером свыше 5 мм-до 5% по массе</t>
        </is>
      </c>
      <c r="D52" s="186" t="inlineStr">
        <is>
          <t>м3</t>
        </is>
      </c>
      <c r="E52" s="184" t="n">
        <v>29.06</v>
      </c>
      <c r="F52" s="50" t="n">
        <v>55.26</v>
      </c>
      <c r="G52" s="50">
        <f>ROUND(E52*F52,2)</f>
        <v/>
      </c>
      <c r="H52" s="45">
        <f>G52/G70</f>
        <v/>
      </c>
      <c r="I52" s="172">
        <f>ROUND(F52*Прил.10!$D$12,2)</f>
        <v/>
      </c>
      <c r="J52" s="172">
        <f>ROUND(E52*I52,2)</f>
        <v/>
      </c>
    </row>
    <row r="53" ht="62.45" customFormat="1" customHeight="1" s="148">
      <c r="A53" s="167" t="n">
        <v>27</v>
      </c>
      <c r="B53" s="173" t="inlineStr">
        <is>
          <t>05.2.02.01-0035</t>
        </is>
      </c>
      <c r="C53" s="183" t="inlineStr">
        <is>
          <t>Блоки бетонные для стен подвалов полнотелые ФБС9-3-6-Т, бетон B7,5 (М100, объем 0,146 м3, расход арматуры 0,76 кг</t>
        </is>
      </c>
      <c r="D53" s="186" t="inlineStr">
        <is>
          <t>шт</t>
        </is>
      </c>
      <c r="E53" s="184" t="n">
        <v>10</v>
      </c>
      <c r="F53" s="50" t="n">
        <v>90.53</v>
      </c>
      <c r="G53" s="50">
        <f>ROUND(E53*F53,2)</f>
        <v/>
      </c>
      <c r="H53" s="45">
        <f>G53/G70</f>
        <v/>
      </c>
      <c r="I53" s="172">
        <f>ROUND(F53*Прил.10!$D$12,2)</f>
        <v/>
      </c>
      <c r="J53" s="172">
        <f>ROUND(E53*I53,2)</f>
        <v/>
      </c>
    </row>
    <row r="54" ht="31.35" customFormat="1" customHeight="1" s="148">
      <c r="A54" s="167" t="n">
        <v>28</v>
      </c>
      <c r="B54" s="173" t="inlineStr">
        <is>
          <t>25.1.01.04-0031</t>
        </is>
      </c>
      <c r="C54" s="183" t="inlineStr">
        <is>
          <t>Шпалы непропитанные для железных дорог, тип I</t>
        </is>
      </c>
      <c r="D54" s="186" t="inlineStr">
        <is>
          <t>шт</t>
        </is>
      </c>
      <c r="E54" s="184" t="n">
        <v>3.36</v>
      </c>
      <c r="F54" s="50" t="n">
        <v>266.67</v>
      </c>
      <c r="G54" s="50">
        <f>ROUND(E54*F54,2)</f>
        <v/>
      </c>
      <c r="H54" s="45">
        <f>G54/G70</f>
        <v/>
      </c>
      <c r="I54" s="172">
        <f>ROUND(F54*Прил.10!$D$12,2)</f>
        <v/>
      </c>
      <c r="J54" s="172">
        <f>ROUND(E54*I54,2)</f>
        <v/>
      </c>
    </row>
    <row r="55" ht="31.35" customFormat="1" customHeight="1" s="148">
      <c r="A55" s="167" t="n">
        <v>29</v>
      </c>
      <c r="B55" s="173" t="inlineStr">
        <is>
          <t>14.4.02.09-0301</t>
        </is>
      </c>
      <c r="C55" s="183" t="inlineStr">
        <is>
          <t>Композиция антикоррозионная цинкнаполненная</t>
        </is>
      </c>
      <c r="D55" s="186" t="inlineStr">
        <is>
          <t>кг</t>
        </is>
      </c>
      <c r="E55" s="184" t="n">
        <v>2.513</v>
      </c>
      <c r="F55" s="50" t="n">
        <v>238.48</v>
      </c>
      <c r="G55" s="50">
        <f>ROUND(E55*F55,2)</f>
        <v/>
      </c>
      <c r="H55" s="45">
        <f>G55/G70</f>
        <v/>
      </c>
      <c r="I55" s="172">
        <f>ROUND(F55*Прил.10!$D$12,2)</f>
        <v/>
      </c>
      <c r="J55" s="172">
        <f>ROUND(E55*I55,2)</f>
        <v/>
      </c>
    </row>
    <row r="56" ht="15.6" customFormat="1" customHeight="1" s="148">
      <c r="A56" s="167" t="n">
        <v>30</v>
      </c>
      <c r="B56" s="173" t="inlineStr">
        <is>
          <t>07.2.07.13-0171</t>
        </is>
      </c>
      <c r="C56" s="183" t="inlineStr">
        <is>
          <t>Подкладки металлические</t>
        </is>
      </c>
      <c r="D56" s="186" t="inlineStr">
        <is>
          <t>кг</t>
        </is>
      </c>
      <c r="E56" s="184" t="n">
        <v>36.6</v>
      </c>
      <c r="F56" s="50" t="n">
        <v>12.6</v>
      </c>
      <c r="G56" s="50">
        <f>ROUND(E56*F56,2)</f>
        <v/>
      </c>
      <c r="H56" s="45">
        <f>G56/G70</f>
        <v/>
      </c>
      <c r="I56" s="172">
        <f>ROUND(F56*Прил.10!$D$12,2)</f>
        <v/>
      </c>
      <c r="J56" s="172">
        <f>ROUND(E56*I56,2)</f>
        <v/>
      </c>
    </row>
    <row r="57" ht="15.6" customFormat="1" customHeight="1" s="148">
      <c r="A57" s="167" t="n"/>
      <c r="B57" s="173" t="inlineStr">
        <is>
          <t>Итого основные Материалы</t>
        </is>
      </c>
      <c r="C57" s="202" t="n"/>
      <c r="D57" s="202" t="n"/>
      <c r="E57" s="202" t="n"/>
      <c r="F57" s="203" t="n"/>
      <c r="G57" s="50">
        <f>SUM(G51:G56)</f>
        <v/>
      </c>
      <c r="H57" s="45">
        <f>SUM(H51:H56)</f>
        <v/>
      </c>
      <c r="I57" s="172" t="n"/>
      <c r="J57" s="172">
        <f>SUM(J51:J56)</f>
        <v/>
      </c>
    </row>
    <row r="58" hidden="1" outlineLevel="1" ht="31.35" customFormat="1" customHeight="1" s="148">
      <c r="A58" s="167" t="n">
        <v>31</v>
      </c>
      <c r="B58" s="173" t="inlineStr">
        <is>
          <t>08.3.08.02-0071</t>
        </is>
      </c>
      <c r="C58" s="183" t="inlineStr">
        <is>
          <t>Сталь угловая равнополочная, марка Ст3пс, ширина полок 63-63 мм</t>
        </is>
      </c>
      <c r="D58" s="186" t="inlineStr">
        <is>
          <t>т</t>
        </is>
      </c>
      <c r="E58" s="184" t="n">
        <v>0.0858</v>
      </c>
      <c r="F58" s="50" t="n">
        <v>4840.65</v>
      </c>
      <c r="G58" s="50">
        <f>ROUND(E58*F58,2)</f>
        <v/>
      </c>
      <c r="H58" s="45">
        <f>G58/G70</f>
        <v/>
      </c>
      <c r="I58" s="172">
        <f>ROUND(F58*Прил.10!$D$12,2)</f>
        <v/>
      </c>
      <c r="J58" s="172">
        <f>ROUND(E58*I58,2)</f>
        <v/>
      </c>
    </row>
    <row r="59" hidden="1" outlineLevel="1" ht="31.35" customFormat="1" customHeight="1" s="148">
      <c r="A59" s="167" t="n">
        <v>32</v>
      </c>
      <c r="B59" s="173" t="inlineStr">
        <is>
          <t>08.3.07.01-0052</t>
        </is>
      </c>
      <c r="C59" s="183" t="inlineStr">
        <is>
          <t>Прокат полосовой, горячекатаный, марка стали Ст3сп, размер 50х5 мм</t>
        </is>
      </c>
      <c r="D59" s="186" t="inlineStr">
        <is>
          <t>т</t>
        </is>
      </c>
      <c r="E59" s="184" t="n">
        <v>0.05713</v>
      </c>
      <c r="F59" s="50" t="n">
        <v>6726.18</v>
      </c>
      <c r="G59" s="50">
        <f>ROUND(E59*F59,2)</f>
        <v/>
      </c>
      <c r="H59" s="45">
        <f>G59/G70</f>
        <v/>
      </c>
      <c r="I59" s="172">
        <f>ROUND(F59*Прил.10!$D$12,2)</f>
        <v/>
      </c>
      <c r="J59" s="172">
        <f>ROUND(E59*I59,2)</f>
        <v/>
      </c>
    </row>
    <row r="60" hidden="1" outlineLevel="1" ht="31.35" customFormat="1" customHeight="1" s="148">
      <c r="A60" s="167" t="n">
        <v>33</v>
      </c>
      <c r="B60" s="173" t="inlineStr">
        <is>
          <t>01.7.11.07-0040</t>
        </is>
      </c>
      <c r="C60" s="183" t="inlineStr">
        <is>
          <t>Электроды сварочные Э50А, диаметр 4 мм</t>
        </is>
      </c>
      <c r="D60" s="186" t="inlineStr">
        <is>
          <t>т</t>
        </is>
      </c>
      <c r="E60" s="184" t="n">
        <v>0.00648</v>
      </c>
      <c r="F60" s="50" t="n">
        <v>11524</v>
      </c>
      <c r="G60" s="50">
        <f>ROUND(E60*F60,2)</f>
        <v/>
      </c>
      <c r="H60" s="45">
        <f>G60/G70</f>
        <v/>
      </c>
      <c r="I60" s="172">
        <f>ROUND(F60*Прил.10!$D$12,2)</f>
        <v/>
      </c>
      <c r="J60" s="172">
        <f>ROUND(E60*I60,2)</f>
        <v/>
      </c>
    </row>
    <row r="61" hidden="1" outlineLevel="1" ht="46.9" customFormat="1" customHeight="1" s="148">
      <c r="A61" s="167" t="n">
        <v>34</v>
      </c>
      <c r="B61" s="173" t="inlineStr">
        <is>
          <t>08.1.02.11-0023</t>
        </is>
      </c>
      <c r="C61" s="183" t="inlineStr">
        <is>
          <t>Поковки простые строительные (скобы, закрепы, хомуты), масса до 1,6 кг</t>
        </is>
      </c>
      <c r="D61" s="186" t="inlineStr">
        <is>
          <t>кг</t>
        </is>
      </c>
      <c r="E61" s="184" t="n">
        <v>3.36</v>
      </c>
      <c r="F61" s="50" t="n">
        <v>15.14</v>
      </c>
      <c r="G61" s="50">
        <f>ROUND(E61*F61,2)</f>
        <v/>
      </c>
      <c r="H61" s="45">
        <f>G61/G70</f>
        <v/>
      </c>
      <c r="I61" s="172">
        <f>ROUND(F61*Прил.10!$D$12,2)</f>
        <v/>
      </c>
      <c r="J61" s="172">
        <f>ROUND(E61*I61,2)</f>
        <v/>
      </c>
    </row>
    <row r="62" hidden="1" outlineLevel="1" ht="31.35" customFormat="1" customHeight="1" s="148">
      <c r="A62" s="167" t="n">
        <v>35</v>
      </c>
      <c r="B62" s="173" t="inlineStr">
        <is>
          <t>999-9950</t>
        </is>
      </c>
      <c r="C62" s="183" t="inlineStr">
        <is>
          <t>Вспомогательные ненормируемые ресурсы (2% от Оплаты труда рабочих)</t>
        </is>
      </c>
      <c r="D62" s="186" t="inlineStr">
        <is>
          <t>руб</t>
        </is>
      </c>
      <c r="E62" s="184" t="n">
        <v>25.7459</v>
      </c>
      <c r="F62" s="50" t="n">
        <v>1</v>
      </c>
      <c r="G62" s="50">
        <f>ROUND(E62*F62,2)</f>
        <v/>
      </c>
      <c r="H62" s="45">
        <f>G62/G70</f>
        <v/>
      </c>
      <c r="I62" s="172">
        <f>ROUND(F62*Прил.10!$D$12,2)</f>
        <v/>
      </c>
      <c r="J62" s="172">
        <f>ROUND(E62*I62,2)</f>
        <v/>
      </c>
    </row>
    <row r="63" hidden="1" outlineLevel="1" ht="31.35" customFormat="1" customHeight="1" s="148">
      <c r="A63" s="167" t="n">
        <v>36</v>
      </c>
      <c r="B63" s="173" t="inlineStr">
        <is>
          <t>20.1.01.11-0022</t>
        </is>
      </c>
      <c r="C63" s="183" t="inlineStr">
        <is>
          <t>Зажим соединительный: плашечный ПС-2-1</t>
        </is>
      </c>
      <c r="D63" s="186" t="inlineStr">
        <is>
          <t>шт</t>
        </is>
      </c>
      <c r="E63" s="184" t="n">
        <v>2</v>
      </c>
      <c r="F63" s="50" t="n">
        <v>12.53</v>
      </c>
      <c r="G63" s="50">
        <f>ROUND(E63*F63,2)</f>
        <v/>
      </c>
      <c r="H63" s="45">
        <f>G63/G70</f>
        <v/>
      </c>
      <c r="I63" s="172">
        <f>ROUND(F63*Прил.10!$D$12,2)</f>
        <v/>
      </c>
      <c r="J63" s="172">
        <f>ROUND(E63*I63,2)</f>
        <v/>
      </c>
    </row>
    <row r="64" hidden="1" outlineLevel="1" ht="15.6" customFormat="1" customHeight="1" s="148">
      <c r="A64" s="167" t="n">
        <v>37</v>
      </c>
      <c r="B64" s="173" t="inlineStr">
        <is>
          <t>01.3.02.08-0001</t>
        </is>
      </c>
      <c r="C64" s="183" t="inlineStr">
        <is>
          <t>Кислород газообразный технический</t>
        </is>
      </c>
      <c r="D64" s="186" t="inlineStr">
        <is>
          <t>м3</t>
        </is>
      </c>
      <c r="E64" s="184" t="n">
        <v>3.12</v>
      </c>
      <c r="F64" s="50" t="n">
        <v>6.22</v>
      </c>
      <c r="G64" s="50">
        <f>ROUND(E64*F64,2)</f>
        <v/>
      </c>
      <c r="H64" s="45">
        <f>G64/G70</f>
        <v/>
      </c>
      <c r="I64" s="172">
        <f>ROUND(F64*Прил.10!$D$12,2)</f>
        <v/>
      </c>
      <c r="J64" s="172">
        <f>ROUND(E64*I64,2)</f>
        <v/>
      </c>
    </row>
    <row r="65" hidden="1" outlineLevel="1" ht="31.35" customFormat="1" customHeight="1" s="148">
      <c r="A65" s="167" t="n">
        <v>38</v>
      </c>
      <c r="B65" s="173" t="inlineStr">
        <is>
          <t>01.7.11.07-0034</t>
        </is>
      </c>
      <c r="C65" s="183" t="inlineStr">
        <is>
          <t>Электроды сварочные Э42А, диаметр 4 мм</t>
        </is>
      </c>
      <c r="D65" s="186" t="inlineStr">
        <is>
          <t>кг</t>
        </is>
      </c>
      <c r="E65" s="184" t="n">
        <v>0.6929999999999999</v>
      </c>
      <c r="F65" s="50" t="n">
        <v>10.57</v>
      </c>
      <c r="G65" s="50">
        <f>ROUND(E65*F65,2)</f>
        <v/>
      </c>
      <c r="H65" s="45">
        <f>G65/G70</f>
        <v/>
      </c>
      <c r="I65" s="172">
        <f>ROUND(F65*Прил.10!$D$12,2)</f>
        <v/>
      </c>
      <c r="J65" s="172">
        <f>ROUND(E65*I65,2)</f>
        <v/>
      </c>
    </row>
    <row r="66" hidden="1" outlineLevel="1" ht="15.6" customFormat="1" customHeight="1" s="148">
      <c r="A66" s="167" t="n">
        <v>39</v>
      </c>
      <c r="B66" s="173" t="inlineStr">
        <is>
          <t>01.3.02.09-0022</t>
        </is>
      </c>
      <c r="C66" s="183" t="inlineStr">
        <is>
          <t>Пропан-бутан смесь техническая</t>
        </is>
      </c>
      <c r="D66" s="186" t="inlineStr">
        <is>
          <t>кг</t>
        </is>
      </c>
      <c r="E66" s="184" t="n">
        <v>0.48</v>
      </c>
      <c r="F66" s="50" t="n">
        <v>6.09</v>
      </c>
      <c r="G66" s="50">
        <f>ROUND(E66*F66,2)</f>
        <v/>
      </c>
      <c r="H66" s="45">
        <f>G66/G70</f>
        <v/>
      </c>
      <c r="I66" s="172">
        <f>ROUND(F66*Прил.10!$D$12,2)</f>
        <v/>
      </c>
      <c r="J66" s="172">
        <f>ROUND(E66*I66,2)</f>
        <v/>
      </c>
    </row>
    <row r="67" hidden="1" outlineLevel="1" ht="46.9" customFormat="1" customHeight="1" s="148">
      <c r="A67" s="167" t="n">
        <v>40</v>
      </c>
      <c r="B67" s="173" t="inlineStr">
        <is>
          <t>01.7.15.04-0045</t>
        </is>
      </c>
      <c r="C67" s="183" t="inlineStr">
        <is>
          <t>Винты самонарезающие для крепления профилированного настила и панелей к несущим конструкциям</t>
        </is>
      </c>
      <c r="D67" s="186" t="inlineStr">
        <is>
          <t>т</t>
        </is>
      </c>
      <c r="E67" s="184" t="n">
        <v>1.65e-05</v>
      </c>
      <c r="F67" s="50" t="n">
        <v>35011</v>
      </c>
      <c r="G67" s="50">
        <f>ROUND(E67*F67,2)</f>
        <v/>
      </c>
      <c r="H67" s="45">
        <f>G67/G70</f>
        <v/>
      </c>
      <c r="I67" s="172">
        <f>ROUND(F67*Прил.10!$D$12,2)</f>
        <v/>
      </c>
      <c r="J67" s="172">
        <f>ROUND(E67*I67,2)</f>
        <v/>
      </c>
    </row>
    <row r="68" hidden="1" outlineLevel="1" ht="62.45" customFormat="1" customHeight="1" s="148">
      <c r="A68" s="167" t="n">
        <v>41</v>
      </c>
      <c r="B68" s="173" t="inlineStr">
        <is>
          <t>01.7.15.08-0011</t>
        </is>
      </c>
      <c r="C68" s="183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68" s="186" t="inlineStr">
        <is>
          <t>т</t>
        </is>
      </c>
      <c r="E68" s="184" t="n">
        <v>1.65e-05</v>
      </c>
      <c r="F68" s="50" t="n">
        <v>9526</v>
      </c>
      <c r="G68" s="50">
        <f>ROUND(E68*F68,2)</f>
        <v/>
      </c>
      <c r="H68" s="45">
        <f>G68/G70</f>
        <v/>
      </c>
      <c r="I68" s="172">
        <f>ROUND(F68*Прил.10!$D$12,2)</f>
        <v/>
      </c>
      <c r="J68" s="172">
        <f>ROUND(E68*I68,2)</f>
        <v/>
      </c>
    </row>
    <row r="69" collapsed="1" ht="15.6" customFormat="1" customHeight="1" s="148">
      <c r="A69" s="167" t="n"/>
      <c r="B69" s="167" t="inlineStr">
        <is>
          <t>Итого прочие Материалы</t>
        </is>
      </c>
      <c r="C69" s="202" t="n"/>
      <c r="D69" s="202" t="n"/>
      <c r="E69" s="202" t="n"/>
      <c r="F69" s="203" t="n"/>
      <c r="G69" s="172">
        <f>SUM(G58:G68)</f>
        <v/>
      </c>
      <c r="H69" s="45">
        <f>SUM(H58:H68)</f>
        <v/>
      </c>
      <c r="I69" s="172" t="n"/>
      <c r="J69" s="172">
        <f>SUM(J58:J68)</f>
        <v/>
      </c>
    </row>
    <row r="70" ht="15.6" customFormat="1" customHeight="1" s="148">
      <c r="A70" s="167" t="n"/>
      <c r="B70" s="167" t="inlineStr">
        <is>
          <t>Итого по разделу "Материалы"</t>
        </is>
      </c>
      <c r="C70" s="202" t="n"/>
      <c r="D70" s="202" t="n"/>
      <c r="E70" s="202" t="n"/>
      <c r="F70" s="203" t="n"/>
      <c r="G70" s="172">
        <f>G57+G69</f>
        <v/>
      </c>
      <c r="H70" s="45">
        <f>H57+H69</f>
        <v/>
      </c>
      <c r="I70" s="172" t="n"/>
      <c r="J70" s="172">
        <f>J57+J69</f>
        <v/>
      </c>
    </row>
    <row r="71" ht="15.6" customFormat="1" customHeight="1" s="148">
      <c r="A71" s="168" t="n"/>
      <c r="B71" s="186" t="n"/>
      <c r="C71" s="183" t="inlineStr">
        <is>
          <t>ИТОГО ПО РМ</t>
        </is>
      </c>
      <c r="D71" s="186" t="n"/>
      <c r="E71" s="186" t="n"/>
      <c r="F71" s="185" t="n"/>
      <c r="G71" s="185">
        <f>+G14+G42+G70</f>
        <v/>
      </c>
      <c r="H71" s="63" t="n"/>
      <c r="I71" s="172" t="n"/>
      <c r="J71" s="185">
        <f>+J14+J42+J70</f>
        <v/>
      </c>
    </row>
    <row r="72" ht="15.6" customFormat="1" customHeight="1" s="148">
      <c r="A72" s="168" t="n"/>
      <c r="B72" s="186" t="n"/>
      <c r="C72" s="183" t="inlineStr">
        <is>
          <t>Накладные расходы</t>
        </is>
      </c>
      <c r="D72" s="65">
        <f>G72/($G$14+$G$16)</f>
        <v/>
      </c>
      <c r="E72" s="186" t="n"/>
      <c r="F72" s="185" t="n"/>
      <c r="G72" s="185" t="n">
        <v>2156.85</v>
      </c>
      <c r="H72" s="63" t="n"/>
      <c r="I72" s="172" t="n"/>
      <c r="J72" s="185">
        <f>D72*($J$14+$J$16)</f>
        <v/>
      </c>
    </row>
    <row r="73" ht="15.6" customFormat="1" customHeight="1" s="148">
      <c r="A73" s="168" t="n"/>
      <c r="B73" s="186" t="n"/>
      <c r="C73" s="183" t="inlineStr">
        <is>
          <t>Сметная прибыль</t>
        </is>
      </c>
      <c r="D73" s="65">
        <f>G73/($G$14+$G$16)</f>
        <v/>
      </c>
      <c r="E73" s="186" t="n"/>
      <c r="F73" s="185" t="n"/>
      <c r="G73" s="185" t="n">
        <v>1174.61</v>
      </c>
      <c r="H73" s="63" t="n"/>
      <c r="I73" s="172" t="n"/>
      <c r="J73" s="185">
        <f>D73*($J$14+$J$16)</f>
        <v/>
      </c>
    </row>
    <row r="74" ht="15.6" customFormat="1" customHeight="1" s="148">
      <c r="A74" s="168" t="n"/>
      <c r="B74" s="186" t="n"/>
      <c r="C74" s="183" t="inlineStr">
        <is>
          <t>Итого СМР (с НР и СП)</t>
        </is>
      </c>
      <c r="D74" s="186" t="n"/>
      <c r="E74" s="186" t="n"/>
      <c r="F74" s="185" t="n"/>
      <c r="G74" s="185">
        <f>G71+G72+G73</f>
        <v/>
      </c>
      <c r="H74" s="63" t="n"/>
      <c r="I74" s="172" t="n"/>
      <c r="J74" s="185">
        <f>J71+J72+J73</f>
        <v/>
      </c>
    </row>
    <row r="75" ht="15.6" customFormat="1" customHeight="1" s="148">
      <c r="A75" s="168" t="n"/>
      <c r="B75" s="186" t="n"/>
      <c r="C75" s="183" t="inlineStr">
        <is>
          <t>ВСЕГО СМР + ОБОРУДОВАНИЕ</t>
        </is>
      </c>
      <c r="D75" s="186" t="n"/>
      <c r="E75" s="186" t="n"/>
      <c r="F75" s="185" t="n"/>
      <c r="G75" s="185">
        <f>G47+G74</f>
        <v/>
      </c>
      <c r="H75" s="63" t="n"/>
      <c r="I75" s="172" t="n"/>
      <c r="J75" s="172">
        <f>J47+J74</f>
        <v/>
      </c>
    </row>
    <row r="76" ht="15.6" customFormat="1" customHeight="1" s="148">
      <c r="A76" s="168" t="n"/>
      <c r="B76" s="186" t="n"/>
      <c r="C76" s="183" t="inlineStr">
        <is>
          <t>ИТОГО ПОКАЗАТЕЛЬ НА ЕД. ИЗМ.</t>
        </is>
      </c>
      <c r="D76" s="186" t="inlineStr">
        <is>
          <t>кВт</t>
        </is>
      </c>
      <c r="E76" s="186" t="n">
        <v>250</v>
      </c>
      <c r="F76" s="185" t="n"/>
      <c r="G76" s="185">
        <f>G75/E76</f>
        <v/>
      </c>
      <c r="H76" s="63" t="n"/>
      <c r="I76" s="172" t="n"/>
      <c r="J76" s="185">
        <f>J75/E76</f>
        <v/>
      </c>
    </row>
    <row r="77" ht="15.6" customFormat="1" customHeight="1" s="148">
      <c r="E77" s="148" t="n"/>
      <c r="F77" s="97" t="n"/>
      <c r="G77" s="97" t="n"/>
      <c r="I77" s="97" t="n"/>
      <c r="J77" s="97" t="n"/>
    </row>
    <row r="78" ht="15.6" customFormat="1" customHeight="1" s="148">
      <c r="B78" s="148" t="inlineStr">
        <is>
          <t>Составил ______________________        М.С. Колотиевская</t>
        </is>
      </c>
    </row>
    <row r="79" ht="15.6" customFormat="1" customHeight="1" s="148">
      <c r="B79" s="104" t="inlineStr">
        <is>
          <t xml:space="preserve">                         (подпись, инициалы, фамилия)</t>
        </is>
      </c>
    </row>
    <row r="80" ht="15.6" customFormat="1" customHeight="1" s="148"/>
    <row r="81" ht="15.6" customFormat="1" customHeight="1" s="148">
      <c r="B81" s="148" t="inlineStr">
        <is>
          <t>Проверил ______________________          А.В. Костянецкая</t>
        </is>
      </c>
    </row>
    <row r="82" ht="15.6" customFormat="1" customHeight="1" s="148">
      <c r="B82" s="104" t="inlineStr">
        <is>
          <t xml:space="preserve">                        (подпись, инициалы, фамилия)</t>
        </is>
      </c>
    </row>
    <row r="83" ht="15.6" customFormat="1" customHeight="1" s="148">
      <c r="E83" s="148" t="n"/>
      <c r="F83" s="97" t="n"/>
      <c r="G83" s="97" t="n"/>
      <c r="I83" s="97" t="n"/>
      <c r="J83" s="97" t="n"/>
    </row>
  </sheetData>
  <mergeCells count="27">
    <mergeCell ref="H9:H10"/>
    <mergeCell ref="B49:H49"/>
    <mergeCell ref="B15:H15"/>
    <mergeCell ref="H2:J2"/>
    <mergeCell ref="B44:J44"/>
    <mergeCell ref="B70:F70"/>
    <mergeCell ref="C9:C10"/>
    <mergeCell ref="E9:E10"/>
    <mergeCell ref="B50:H50"/>
    <mergeCell ref="B42:F42"/>
    <mergeCell ref="B57:F57"/>
    <mergeCell ref="B9:B10"/>
    <mergeCell ref="D9:D10"/>
    <mergeCell ref="B69:F69"/>
    <mergeCell ref="B18:H18"/>
    <mergeCell ref="B12:H12"/>
    <mergeCell ref="D6:J6"/>
    <mergeCell ref="F9:G9"/>
    <mergeCell ref="A4:H4"/>
    <mergeCell ref="B17:H17"/>
    <mergeCell ref="B24:F24"/>
    <mergeCell ref="A9:A10"/>
    <mergeCell ref="A6:C6"/>
    <mergeCell ref="I9:J9"/>
    <mergeCell ref="B43:J43"/>
    <mergeCell ref="A7:C7"/>
    <mergeCell ref="B41:F41"/>
  </mergeCells>
  <conditionalFormatting sqref="E13:E77 E83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topLeftCell="A8" zoomScale="145" zoomScaleNormal="100" zoomScaleSheetLayoutView="145" workbookViewId="0">
      <selection activeCell="C15" sqref="C15"/>
    </sheetView>
  </sheetViews>
  <sheetFormatPr baseColWidth="8" defaultColWidth="9.140625" defaultRowHeight="15"/>
  <cols>
    <col width="5.5703125" customWidth="1" style="146" min="1" max="1"/>
    <col width="14.85546875" customWidth="1" style="146" min="2" max="2"/>
    <col width="39.140625" customWidth="1" style="146" min="3" max="3"/>
    <col width="8.42578125" customWidth="1" style="146" min="4" max="4"/>
    <col width="13.42578125" customWidth="1" style="146" min="5" max="5"/>
    <col width="13.7109375" customWidth="1" style="146" min="6" max="6"/>
    <col width="14.140625" customWidth="1" style="146" min="7" max="7"/>
    <col width="9.140625" customWidth="1" style="146" min="8" max="8"/>
  </cols>
  <sheetData>
    <row r="1" ht="15.6" customHeight="1" s="146">
      <c r="A1" s="178" t="inlineStr">
        <is>
          <t>Приложение №6</t>
        </is>
      </c>
    </row>
    <row r="2" ht="21.75" customHeight="1" s="146">
      <c r="A2" s="178" t="n"/>
      <c r="B2" s="178" t="n"/>
      <c r="C2" s="178" t="n"/>
      <c r="D2" s="178" t="n"/>
      <c r="E2" s="178" t="n"/>
      <c r="F2" s="178" t="n"/>
      <c r="G2" s="178" t="n"/>
    </row>
    <row r="3" ht="15.6" customHeight="1" s="146">
      <c r="A3" s="154" t="inlineStr">
        <is>
          <t>Расчет стоимости оборудования</t>
        </is>
      </c>
    </row>
    <row r="4" ht="25.5" customHeight="1" s="146">
      <c r="A4" s="179" t="inlineStr">
        <is>
          <t>Наименование разрабатываемого показателя УНЦ —   Накопитель электроэнергии</t>
        </is>
      </c>
    </row>
    <row r="5" ht="15.6" customHeight="1" s="146">
      <c r="A5" s="148" t="n"/>
      <c r="B5" s="148" t="n"/>
      <c r="C5" s="148" t="n"/>
      <c r="D5" s="148" t="n"/>
      <c r="E5" s="148" t="n"/>
      <c r="F5" s="148" t="n"/>
      <c r="G5" s="148" t="n"/>
    </row>
    <row r="6" ht="30.2" customFormat="1" customHeight="1" s="148">
      <c r="A6" s="186" t="inlineStr">
        <is>
          <t>№ пп.</t>
        </is>
      </c>
      <c r="B6" s="186" t="inlineStr">
        <is>
          <t>Код ресурса</t>
        </is>
      </c>
      <c r="C6" s="186" t="inlineStr">
        <is>
          <t>Наименование</t>
        </is>
      </c>
      <c r="D6" s="186" t="inlineStr">
        <is>
          <t>Ед. изм.</t>
        </is>
      </c>
      <c r="E6" s="171" t="inlineStr">
        <is>
          <t>Кол-во единиц по проектным данным</t>
        </is>
      </c>
      <c r="F6" s="186" t="inlineStr">
        <is>
          <t>Сметная стоимость в ценах на 01.01.2000 (руб.)</t>
        </is>
      </c>
      <c r="G6" s="203" t="n"/>
    </row>
    <row r="7" ht="15.6" customFormat="1" customHeight="1" s="148">
      <c r="A7" s="205" t="n"/>
      <c r="B7" s="205" t="n"/>
      <c r="C7" s="205" t="n"/>
      <c r="D7" s="205" t="n"/>
      <c r="E7" s="205" t="n"/>
      <c r="F7" s="171" t="inlineStr">
        <is>
          <t>на ед. изм.</t>
        </is>
      </c>
      <c r="G7" s="171" t="inlineStr">
        <is>
          <t>общая</t>
        </is>
      </c>
    </row>
    <row r="8" ht="15.6" customFormat="1" customHeight="1" s="148">
      <c r="A8" s="171" t="n">
        <v>1</v>
      </c>
      <c r="B8" s="171" t="n">
        <v>2</v>
      </c>
      <c r="C8" s="171" t="n">
        <v>3</v>
      </c>
      <c r="D8" s="171" t="n">
        <v>4</v>
      </c>
      <c r="E8" s="171" t="n">
        <v>5</v>
      </c>
      <c r="F8" s="171" t="n">
        <v>6</v>
      </c>
      <c r="G8" s="171" t="n">
        <v>7</v>
      </c>
    </row>
    <row r="9" ht="15.6" customFormat="1" customHeight="1" s="148">
      <c r="A9" s="168" t="n"/>
      <c r="B9" s="183" t="inlineStr">
        <is>
          <t>ИНЖЕНЕРНОЕ ОБОРУДОВАНИЕ</t>
        </is>
      </c>
      <c r="C9" s="202" t="n"/>
      <c r="D9" s="202" t="n"/>
      <c r="E9" s="202" t="n"/>
      <c r="F9" s="202" t="n"/>
      <c r="G9" s="203" t="n"/>
    </row>
    <row r="10" ht="31.35" customFormat="1" customHeight="1" s="148">
      <c r="A10" s="186" t="n"/>
      <c r="B10" s="73" t="n"/>
      <c r="C10" s="183" t="inlineStr">
        <is>
          <t>ИТОГО ИНЖЕНЕРНОЕ ОБОРУДОВАНИЕ</t>
        </is>
      </c>
      <c r="D10" s="73" t="n"/>
      <c r="E10" s="77" t="n"/>
      <c r="F10" s="185" t="n"/>
      <c r="G10" s="185" t="n">
        <v>0</v>
      </c>
    </row>
    <row r="11" ht="15.6" customFormat="1" customHeight="1" s="148">
      <c r="A11" s="186" t="n"/>
      <c r="B11" s="183" t="inlineStr">
        <is>
          <t>ТЕХНОЛОГИЧЕСКОЕ ОБОРУДОВАНИЕ</t>
        </is>
      </c>
      <c r="C11" s="202" t="n"/>
      <c r="D11" s="202" t="n"/>
      <c r="E11" s="202" t="n"/>
      <c r="F11" s="202" t="n"/>
      <c r="G11" s="203" t="n"/>
    </row>
    <row r="12" ht="78" customFormat="1" customHeight="1" s="148">
      <c r="A12" s="186" t="n">
        <v>1</v>
      </c>
      <c r="B12" s="173">
        <f>'Прил.5 Расчет СМР и ОБ'!$B45</f>
        <v/>
      </c>
      <c r="C12" s="183">
        <f>'Прил.5 Расчет СМР и ОБ'!$C45</f>
        <v/>
      </c>
      <c r="D12" s="186">
        <f>'Прил.5 Расчет СМР и ОБ'!$D45</f>
        <v/>
      </c>
      <c r="E12" s="184">
        <f>'Прил.5 Расчет СМР и ОБ'!$E45</f>
        <v/>
      </c>
      <c r="F12" s="50">
        <f>'Прил.5 Расчет СМР и ОБ'!$F45</f>
        <v/>
      </c>
      <c r="G12" s="185">
        <f>E12*F12</f>
        <v/>
      </c>
    </row>
    <row r="13" ht="31.35" customFormat="1" customHeight="1" s="148">
      <c r="A13" s="186" t="n"/>
      <c r="B13" s="183" t="n"/>
      <c r="C13" s="183" t="inlineStr">
        <is>
          <t>ИТОГО ТЕХНОЛОГИЧЕСКОЕ ОБОРУДОВАНИЕ</t>
        </is>
      </c>
      <c r="D13" s="183" t="n"/>
      <c r="E13" s="184" t="n"/>
      <c r="F13" s="185" t="n"/>
      <c r="G13" s="185">
        <f>SUM(G12:G12)</f>
        <v/>
      </c>
    </row>
    <row r="14" ht="15.6" customFormat="1" customHeight="1" s="148">
      <c r="A14" s="186" t="n"/>
      <c r="B14" s="183" t="n"/>
      <c r="C14" s="183" t="inlineStr">
        <is>
          <t>Итого по разделу "Оборудование"</t>
        </is>
      </c>
      <c r="D14" s="183" t="n"/>
      <c r="E14" s="184" t="n"/>
      <c r="F14" s="185" t="n"/>
      <c r="G14" s="185">
        <f>G13</f>
        <v/>
      </c>
    </row>
    <row r="15" ht="15.6" customFormat="1" customHeight="1" s="148"/>
    <row r="16" ht="15.6" customFormat="1" customHeight="1" s="148">
      <c r="A16" s="148" t="inlineStr">
        <is>
          <t>Составил ______________________        М.С. Колотиевская</t>
        </is>
      </c>
      <c r="B16" s="148" t="n"/>
      <c r="C16" s="148" t="n"/>
    </row>
    <row r="17" ht="15.6" customFormat="1" customHeight="1" s="148">
      <c r="A17" s="104" t="inlineStr">
        <is>
          <t xml:space="preserve">                         (подпись, инициалы, фамилия)</t>
        </is>
      </c>
      <c r="B17" s="148" t="n"/>
      <c r="C17" s="148" t="n"/>
    </row>
    <row r="18" ht="15.6" customFormat="1" customHeight="1" s="148">
      <c r="A18" s="148" t="n"/>
      <c r="B18" s="148" t="n"/>
      <c r="C18" s="148" t="n"/>
    </row>
    <row r="19" ht="15.6" customFormat="1" customHeight="1" s="148">
      <c r="A19" s="148" t="inlineStr">
        <is>
          <t>Проверил ______________________          А.В. Костянецкая</t>
        </is>
      </c>
      <c r="B19" s="148" t="n"/>
      <c r="C19" s="148" t="n"/>
    </row>
    <row r="20" ht="15.6" customFormat="1" customHeight="1" s="148">
      <c r="A20" s="104" t="inlineStr">
        <is>
          <t xml:space="preserve">                        (подпись, инициалы, фамилия)</t>
        </is>
      </c>
      <c r="B20" s="148" t="n"/>
      <c r="C20" s="148" t="n"/>
    </row>
    <row r="21" ht="15.6" customFormat="1" customHeight="1" s="148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4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46" min="1" max="1"/>
    <col width="29.5703125" customWidth="1" style="146" min="2" max="2"/>
    <col width="39.140625" customWidth="1" style="146" min="3" max="3"/>
    <col width="24.42578125" customWidth="1" style="146" min="4" max="4"/>
    <col width="8.85546875" customWidth="1" style="146" min="5" max="5"/>
  </cols>
  <sheetData>
    <row r="1">
      <c r="B1" s="133" t="n"/>
      <c r="C1" s="133" t="n"/>
      <c r="D1" s="130" t="inlineStr">
        <is>
          <t>Приложение №7</t>
        </is>
      </c>
    </row>
    <row r="2">
      <c r="A2" s="130" t="n"/>
      <c r="B2" s="130" t="n"/>
      <c r="C2" s="130" t="n"/>
      <c r="D2" s="130" t="n"/>
    </row>
    <row r="3" ht="24.75" customHeight="1" s="146">
      <c r="A3" s="187" t="inlineStr">
        <is>
          <t>Расчет показателя УНЦ</t>
        </is>
      </c>
    </row>
    <row r="4" ht="24.75" customHeight="1" s="146">
      <c r="A4" s="187" t="n"/>
      <c r="B4" s="187" t="n"/>
      <c r="C4" s="187" t="n"/>
      <c r="D4" s="187" t="n"/>
    </row>
    <row r="5" ht="24.6" customHeight="1" s="146">
      <c r="A5" s="188" t="inlineStr">
        <is>
          <t xml:space="preserve">Наименование разрабатываемого показателя УНЦ - </t>
        </is>
      </c>
      <c r="D5" s="188">
        <f>'Прил.5 Расчет СМР и ОБ'!D6:J6</f>
        <v/>
      </c>
    </row>
    <row r="6" ht="19.9" customHeight="1" s="146">
      <c r="A6" s="188" t="inlineStr">
        <is>
          <t>Единица измерения  — 1 кВТ</t>
        </is>
      </c>
      <c r="D6" s="188" t="n"/>
    </row>
    <row r="7">
      <c r="A7" s="133" t="n"/>
      <c r="B7" s="133" t="n"/>
      <c r="C7" s="133" t="n"/>
      <c r="D7" s="133" t="n"/>
    </row>
    <row r="8" ht="14.45" customHeight="1" s="146">
      <c r="A8" s="171" t="inlineStr">
        <is>
          <t>Код показателя</t>
        </is>
      </c>
      <c r="B8" s="171" t="inlineStr">
        <is>
          <t>Наименование показателя</t>
        </is>
      </c>
      <c r="C8" s="171" t="inlineStr">
        <is>
          <t>Наименование РМ, входящих в состав показателя</t>
        </is>
      </c>
      <c r="D8" s="171" t="inlineStr">
        <is>
          <t>Норматив цены на 01.01.2023, тыс.руб.</t>
        </is>
      </c>
    </row>
    <row r="9" ht="15" customHeight="1" s="146">
      <c r="A9" s="205" t="n"/>
      <c r="B9" s="205" t="n"/>
      <c r="C9" s="205" t="n"/>
      <c r="D9" s="205" t="n"/>
    </row>
    <row r="10">
      <c r="A10" s="134" t="n">
        <v>1</v>
      </c>
      <c r="B10" s="134" t="n">
        <v>2</v>
      </c>
      <c r="C10" s="134" t="n">
        <v>3</v>
      </c>
      <c r="D10" s="134" t="n">
        <v>4</v>
      </c>
    </row>
    <row r="11" ht="41.45" customHeight="1" s="146">
      <c r="A11" s="134" t="inlineStr">
        <is>
          <t>З8-12</t>
        </is>
      </c>
      <c r="B11" s="134" t="inlineStr">
        <is>
          <t>УНЦ прочих здания и сооружений ПС</t>
        </is>
      </c>
      <c r="C11" s="135">
        <f>D5</f>
        <v/>
      </c>
      <c r="D11" s="136">
        <f>'Прил.4 РМ'!C41/1000</f>
        <v/>
      </c>
      <c r="E11" s="127" t="n"/>
    </row>
    <row r="12">
      <c r="A12" s="137" t="n"/>
      <c r="B12" s="138" t="n"/>
      <c r="C12" s="137" t="n"/>
      <c r="D12" s="137" t="n"/>
    </row>
    <row r="13">
      <c r="A13" s="133" t="inlineStr">
        <is>
          <t>Составил ______________________      М.С. Колотиевская</t>
        </is>
      </c>
      <c r="B13" s="139" t="n"/>
      <c r="C13" s="139" t="n"/>
      <c r="D13" s="137" t="n"/>
    </row>
    <row r="14">
      <c r="A14" s="140" t="inlineStr">
        <is>
          <t xml:space="preserve">                         (подпись, инициалы, фамилия)</t>
        </is>
      </c>
      <c r="B14" s="139" t="n"/>
      <c r="C14" s="139" t="n"/>
      <c r="D14" s="137" t="n"/>
    </row>
    <row r="15">
      <c r="A15" s="133" t="n"/>
      <c r="B15" s="139" t="n"/>
      <c r="C15" s="139" t="n"/>
      <c r="D15" s="137" t="n"/>
    </row>
    <row r="16" ht="15.75" customHeight="1" s="146">
      <c r="A16" s="148" t="inlineStr">
        <is>
          <t>Проверил ______________________          А.В. Костянецкая</t>
        </is>
      </c>
      <c r="B16" s="139" t="n"/>
      <c r="C16" s="139" t="n"/>
      <c r="D16" s="137" t="n"/>
    </row>
    <row r="17">
      <c r="A17" s="140" t="inlineStr">
        <is>
          <t xml:space="preserve">                        (подпись, инициалы, фамилия)</t>
        </is>
      </c>
      <c r="B17" s="139" t="n"/>
      <c r="C17" s="139" t="n"/>
      <c r="D17" s="1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6" zoomScale="60" zoomScaleNormal="100" workbookViewId="0">
      <selection activeCell="B26" sqref="B26"/>
    </sheetView>
  </sheetViews>
  <sheetFormatPr baseColWidth="8" defaultColWidth="9.140625" defaultRowHeight="15"/>
  <cols>
    <col width="9.140625" customWidth="1" style="146" min="1" max="1"/>
    <col width="40.5703125" customWidth="1" style="146" min="2" max="2"/>
    <col width="37" customWidth="1" style="146" min="3" max="3"/>
    <col width="32" customWidth="1" style="146" min="4" max="4"/>
    <col width="9.140625" customWidth="1" style="146" min="5" max="5"/>
  </cols>
  <sheetData>
    <row r="4" ht="15.6" customHeight="1" s="146">
      <c r="B4" s="153" t="inlineStr">
        <is>
          <t>Приложение № 10</t>
        </is>
      </c>
    </row>
    <row r="5" ht="18" customHeight="1" s="146">
      <c r="B5" s="8" t="n"/>
    </row>
    <row r="6" ht="15.6" customHeight="1" s="146">
      <c r="B6" s="154" t="inlineStr">
        <is>
          <t>Используемые индексы изменений сметной стоимости и нормы сопутствующих затрат</t>
        </is>
      </c>
    </row>
    <row r="7" ht="18" customHeight="1" s="146">
      <c r="B7" s="111" t="n"/>
    </row>
    <row r="8" ht="46.9" customFormat="1" customHeight="1" s="148">
      <c r="B8" s="171" t="inlineStr">
        <is>
          <t>Наименование индекса / норм сопутствующих затрат</t>
        </is>
      </c>
      <c r="C8" s="171" t="inlineStr">
        <is>
          <t>Дата применения и обоснование индекса / норм сопутствующих затрат</t>
        </is>
      </c>
      <c r="D8" s="171" t="inlineStr">
        <is>
          <t>Размер индекса / норма сопутствующих затрат</t>
        </is>
      </c>
    </row>
    <row r="9" ht="15.6" customFormat="1" customHeight="1" s="148">
      <c r="B9" s="171" t="n">
        <v>1</v>
      </c>
      <c r="C9" s="171" t="n">
        <v>2</v>
      </c>
      <c r="D9" s="171" t="n">
        <v>3</v>
      </c>
    </row>
    <row r="10" ht="31.35" customFormat="1" customHeight="1" s="148">
      <c r="B10" s="171" t="inlineStr">
        <is>
          <t xml:space="preserve">Индекс изменения сметной стоимости на 1 квартал 2023 года. ОЗП </t>
        </is>
      </c>
      <c r="C10" s="171" t="inlineStr">
        <is>
          <t>Письмо Минстроя России от 30.03.2023г. №17106-ИФ/09  прил.1</t>
        </is>
      </c>
      <c r="D10" s="171" t="n">
        <v>44.29</v>
      </c>
    </row>
    <row r="11" ht="31.35" customFormat="1" customHeight="1" s="148">
      <c r="B11" s="171" t="inlineStr">
        <is>
          <t>Индекс изменения сметной стоимости на 1 квартал 2023 года. ЭМ</t>
        </is>
      </c>
      <c r="C11" s="171" t="inlineStr">
        <is>
          <t>Письмо Минстроя России от 30.03.2023г. №17106-ИФ/09  прил.1</t>
        </is>
      </c>
      <c r="D11" s="171" t="n">
        <v>13.47</v>
      </c>
    </row>
    <row r="12" ht="31.35" customFormat="1" customHeight="1" s="148">
      <c r="B12" s="171" t="inlineStr">
        <is>
          <t>Индекс изменения сметной стоимости на 1 квартал 2023 года. МАТ</t>
        </is>
      </c>
      <c r="C12" s="171" t="inlineStr">
        <is>
          <t>Письмо Минстроя России от 30.03.2023г. №17106-ИФ/09  прил.1</t>
        </is>
      </c>
      <c r="D12" s="171" t="n">
        <v>8.039999999999999</v>
      </c>
    </row>
    <row r="13" ht="31.35" customFormat="1" customHeight="1" s="148">
      <c r="B13" s="171" t="inlineStr">
        <is>
          <t>Индекс изменения сметной стоимости на 1 квартал 2023 года. ОБ</t>
        </is>
      </c>
      <c r="C13" s="121" t="inlineStr">
        <is>
          <t>Письмо Минстроя России от 23.02.2023г. №9791-ИФ/09 прил.6</t>
        </is>
      </c>
      <c r="D13" s="171" t="n">
        <v>6.26</v>
      </c>
    </row>
    <row r="14" ht="78" customFormat="1" customHeight="1" s="148">
      <c r="B14" s="171" t="inlineStr">
        <is>
          <t>Временные здания и сооружения</t>
        </is>
      </c>
      <c r="C14" s="17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" customFormat="1" customHeight="1" s="148">
      <c r="B15" s="171" t="inlineStr">
        <is>
          <t>Дополнительные затраты при производстве строительно-монтажных работ в зимнее время</t>
        </is>
      </c>
      <c r="C15" s="1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7" t="n"/>
    </row>
    <row r="16" ht="31.35" customFormat="1" customHeight="1" s="148">
      <c r="B16" s="171" t="inlineStr">
        <is>
          <t>Пусконаладочные работы</t>
        </is>
      </c>
      <c r="C16" s="171" t="n"/>
      <c r="D16" s="171" t="inlineStr">
        <is>
          <t>Расчёт</t>
        </is>
      </c>
    </row>
    <row r="17" ht="31.35" customFormat="1" customHeight="1" s="148">
      <c r="B17" s="171" t="inlineStr">
        <is>
          <t>Строительный контроль</t>
        </is>
      </c>
      <c r="C17" s="171" t="inlineStr">
        <is>
          <t>Постановление Правительства РФ от 21.06.10 г. № 468</t>
        </is>
      </c>
      <c r="D17" s="12" t="n">
        <v>0.0214</v>
      </c>
    </row>
    <row r="18" ht="15.6" customFormat="1" customHeight="1" s="148">
      <c r="B18" s="171" t="inlineStr">
        <is>
          <t>Авторский надзор</t>
        </is>
      </c>
      <c r="C18" s="171" t="inlineStr">
        <is>
          <t>Приказ от 4.08.2020 № 421/пр п.173</t>
        </is>
      </c>
      <c r="D18" s="12" t="n">
        <v>0.002</v>
      </c>
    </row>
    <row r="19" ht="15.6" customFormat="1" customHeight="1" s="148">
      <c r="B19" s="171" t="inlineStr">
        <is>
          <t>Непредвиденные расходы</t>
        </is>
      </c>
      <c r="C19" s="171" t="inlineStr">
        <is>
          <t>Приказ от 4.08.2020 № 421/пр п.179</t>
        </is>
      </c>
      <c r="D19" s="12" t="n">
        <v>0.03</v>
      </c>
    </row>
    <row r="20" ht="15.6" customFormat="1" customHeight="1" s="148">
      <c r="B20" s="155" t="n"/>
    </row>
    <row r="21" ht="15.6" customFormat="1" customHeight="1" s="148">
      <c r="B21" s="155" t="n"/>
    </row>
    <row r="22" ht="15.6" customFormat="1" customHeight="1" s="148">
      <c r="B22" s="155" t="n"/>
    </row>
    <row r="23" ht="15.6" customFormat="1" customHeight="1" s="148">
      <c r="B23" s="155" t="n"/>
    </row>
    <row r="24" ht="15.6" customFormat="1" customHeight="1" s="148"/>
    <row r="25" ht="15.6" customFormat="1" customHeight="1" s="148"/>
    <row r="26" ht="15.6" customFormat="1" customHeight="1" s="148">
      <c r="B26" s="148" t="inlineStr">
        <is>
          <t>Составил ______________________        М.С. Колотиевская</t>
        </is>
      </c>
      <c r="C26" s="148" t="n"/>
    </row>
    <row r="27" ht="15.6" customFormat="1" customHeight="1" s="148">
      <c r="B27" s="104" t="inlineStr">
        <is>
          <t xml:space="preserve">                         (подпись, инициалы, фамилия)</t>
        </is>
      </c>
      <c r="C27" s="148" t="n"/>
    </row>
    <row r="28" ht="15.6" customFormat="1" customHeight="1" s="148">
      <c r="B28" s="148" t="n"/>
      <c r="C28" s="148" t="n"/>
    </row>
    <row r="29" ht="15.6" customFormat="1" customHeight="1" s="148">
      <c r="B29" s="148" t="inlineStr">
        <is>
          <t>Проверил ______________________          А.В. Костянецкая</t>
        </is>
      </c>
      <c r="C29" s="148" t="n"/>
    </row>
    <row r="30" ht="15.6" customFormat="1" customHeight="1" s="148">
      <c r="B30" s="104" t="inlineStr">
        <is>
          <t xml:space="preserve">                        (подпись, инициалы, фамилия)</t>
        </is>
      </c>
      <c r="C30" s="148" t="n"/>
    </row>
    <row r="31" ht="15.6" customFormat="1" customHeight="1" s="148"/>
    <row r="32" ht="15.6" customFormat="1" customHeight="1" s="148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style="146" min="2" max="2"/>
    <col width="13" customWidth="1" style="146" min="3" max="3"/>
    <col width="22.85546875" customWidth="1" style="146" min="4" max="4"/>
    <col width="21.5703125" customWidth="1" style="146" min="5" max="5"/>
    <col width="43.85546875" customWidth="1" style="146" min="6" max="6"/>
  </cols>
  <sheetData>
    <row r="1" s="146"/>
    <row r="2" ht="17.25" customHeight="1" s="146">
      <c r="A2" s="154" t="inlineStr">
        <is>
          <t>Расчет размера средств на оплату труда рабочих-строителей в текущем уровне цен (ФОТр.тек.)</t>
        </is>
      </c>
    </row>
    <row r="3" s="146"/>
    <row r="4" ht="18" customHeight="1" s="146">
      <c r="A4" s="147" t="inlineStr">
        <is>
          <t>Составлен в уровне цен на 01.01.2023 г.</t>
        </is>
      </c>
      <c r="B4" s="148" t="n"/>
      <c r="C4" s="148" t="n"/>
      <c r="D4" s="148" t="n"/>
      <c r="E4" s="148" t="n"/>
      <c r="F4" s="148" t="n"/>
      <c r="G4" s="148" t="n"/>
    </row>
    <row r="5" ht="15.75" customHeight="1" s="14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48" t="n"/>
    </row>
    <row r="6" ht="15.75" customHeight="1" s="14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48" t="n"/>
    </row>
    <row r="7" ht="110.25" customHeight="1" s="146">
      <c r="A7" s="190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2" t="inlineStr">
        <is>
          <t>С1ср</t>
        </is>
      </c>
      <c r="D7" s="192" t="inlineStr">
        <is>
          <t>-</t>
        </is>
      </c>
      <c r="E7" s="193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8" t="n"/>
    </row>
    <row r="8" ht="31.5" customHeight="1" s="146">
      <c r="A8" s="190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192" t="inlineStr">
        <is>
          <t>tср</t>
        </is>
      </c>
      <c r="D8" s="192" t="inlineStr">
        <is>
          <t>1973ч/12мес.</t>
        </is>
      </c>
      <c r="E8" s="194">
        <f>1973/12</f>
        <v/>
      </c>
      <c r="F8" s="191" t="inlineStr">
        <is>
          <t>Производственный календарь 2023 год
(40-часов.неделя)</t>
        </is>
      </c>
      <c r="G8" s="150" t="n"/>
    </row>
    <row r="9" ht="15.75" customHeight="1" s="146">
      <c r="A9" s="190" t="inlineStr">
        <is>
          <t>1.3</t>
        </is>
      </c>
      <c r="B9" s="191" t="inlineStr">
        <is>
          <t>Коэффициент увеличения</t>
        </is>
      </c>
      <c r="C9" s="192" t="inlineStr">
        <is>
          <t>Кув</t>
        </is>
      </c>
      <c r="D9" s="192" t="inlineStr">
        <is>
          <t>-</t>
        </is>
      </c>
      <c r="E9" s="194" t="n">
        <v>1</v>
      </c>
      <c r="F9" s="191" t="n"/>
      <c r="G9" s="150" t="n"/>
    </row>
    <row r="10" ht="15.75" customHeight="1" s="146">
      <c r="A10" s="190" t="inlineStr">
        <is>
          <t>1.4</t>
        </is>
      </c>
      <c r="B10" s="191" t="inlineStr">
        <is>
          <t>Средний разряд работ</t>
        </is>
      </c>
      <c r="C10" s="192" t="n"/>
      <c r="D10" s="192" t="n"/>
      <c r="E10" s="209" t="n">
        <v>3.2</v>
      </c>
      <c r="F10" s="191" t="inlineStr">
        <is>
          <t>РТМ</t>
        </is>
      </c>
      <c r="G10" s="150" t="n"/>
    </row>
    <row r="11" ht="78.75" customHeight="1" s="146">
      <c r="A11" s="190" t="inlineStr">
        <is>
          <t>1.5</t>
        </is>
      </c>
      <c r="B11" s="191" t="inlineStr">
        <is>
          <t>Тарифный коэффициент среднего разряда работ</t>
        </is>
      </c>
      <c r="C11" s="192" t="inlineStr">
        <is>
          <t>КТ</t>
        </is>
      </c>
      <c r="D11" s="192" t="inlineStr">
        <is>
          <t>-</t>
        </is>
      </c>
      <c r="E11" s="210" t="n">
        <v>1.217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8" t="n"/>
    </row>
    <row r="12" ht="78.75" customHeight="1" s="146">
      <c r="A12" s="190" t="inlineStr">
        <is>
          <t>1.6</t>
        </is>
      </c>
      <c r="B12" s="197" t="inlineStr">
        <is>
          <t>Коэффициент инфляции, определяемый поквартально</t>
        </is>
      </c>
      <c r="C12" s="192" t="inlineStr">
        <is>
          <t>Кинф</t>
        </is>
      </c>
      <c r="D12" s="192" t="inlineStr">
        <is>
          <t>-</t>
        </is>
      </c>
      <c r="E12" s="211" t="n">
        <v>1.139</v>
      </c>
      <c r="F12" s="1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0" t="n"/>
    </row>
    <row r="13" ht="63" customHeight="1" s="146">
      <c r="A13" s="190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192" t="inlineStr">
        <is>
          <t>ФОТр.тек.</t>
        </is>
      </c>
      <c r="D13" s="192" t="inlineStr">
        <is>
          <t>(С1ср/tср*КТ*Т*Кув)*Кинф</t>
        </is>
      </c>
      <c r="E13" s="201">
        <f>((E7*E9/E8)*E11)*E12</f>
        <v/>
      </c>
      <c r="F13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2023-08-25T11:34:45Z</dcterms:created>
  <dcterms:modified xsi:type="dcterms:W3CDTF">2025-01-24T12:00:01Z</dcterms:modified>
  <cp:lastModifiedBy>Nikolay Ivanov</cp:lastModifiedBy>
  <cp:lastPrinted>2023-11-30T09:25:33Z</cp:lastPrinted>
</cp:coreProperties>
</file>