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600" firstSheet="1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Area" localSheetId="0">'Прил.1 Сравнит табл'!$A$1:$G$32</definedName>
    <definedName name="_xlnm.Print_Area" localSheetId="1">'Прил.2 Расч стоим'!$A$1:$J$54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0.0%"/>
    <numFmt numFmtId="165" formatCode="#,##0.00;[Red]\-\ #,##0.00"/>
    <numFmt numFmtId="166" formatCode="#,##0.0"/>
    <numFmt numFmtId="167" formatCode="#,##0.000"/>
    <numFmt numFmtId="168" formatCode="0.0000"/>
  </numFmts>
  <fonts count="15">
    <font>
      <name val="Calibri"/>
      <color rgb="FF000000"/>
      <sz val="11"/>
    </font>
    <font>
      <name val="Times New Roman"/>
      <color rgb="FF000000"/>
      <sz val="12"/>
    </font>
    <font>
      <name val="Times New Roman"/>
      <color rgb="FFFF0000"/>
      <sz val="12"/>
    </font>
    <font>
      <name val="Times New Roman"/>
      <color rgb="FF000000"/>
      <sz val="14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Arial"/>
      <color rgb="FF000000"/>
      <sz val="10"/>
    </font>
    <font>
      <name val="Arial"/>
      <color rgb="FF000000"/>
      <sz val="11"/>
    </font>
    <font>
      <name val="Calibri"/>
      <color rgb="FFFF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Arial"/>
      <color rgb="FF000000"/>
      <sz val="8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00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09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justify" vertical="center" wrapText="1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5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vertical="top"/>
    </xf>
    <xf numFmtId="4" fontId="5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vertical="top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pivotButton="0" quotePrefix="0" xfId="0"/>
    <xf numFmtId="0" fontId="1" fillId="0" borderId="1" pivotButton="0" quotePrefix="0" xfId="0"/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vertical="top"/>
    </xf>
    <xf numFmtId="4" fontId="1" fillId="0" borderId="1" applyAlignment="1" pivotButton="0" quotePrefix="0" xfId="0">
      <alignment vertical="top"/>
    </xf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0" fontId="1" fillId="0" borderId="1" pivotButton="0" quotePrefix="0" xfId="0"/>
    <xf numFmtId="0" fontId="1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0" fontId="5" fillId="0" borderId="1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vertical="top"/>
    </xf>
    <xf numFmtId="9" fontId="1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4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vertical="top" wrapText="1"/>
    </xf>
    <xf numFmtId="0" fontId="5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center"/>
    </xf>
    <xf numFmtId="10" fontId="1" fillId="0" borderId="2" applyAlignment="1" pivotButton="0" quotePrefix="0" xfId="0">
      <alignment vertical="center" wrapText="1"/>
    </xf>
    <xf numFmtId="10" fontId="1" fillId="0" borderId="2" applyAlignment="1" pivotButton="0" quotePrefix="0" xfId="0">
      <alignment vertical="center"/>
    </xf>
    <xf numFmtId="4" fontId="1" fillId="0" borderId="0" pivotButton="0" quotePrefix="0" xfId="0"/>
    <xf numFmtId="0" fontId="1" fillId="0" borderId="1" pivotButton="0" quotePrefix="0" xfId="0"/>
    <xf numFmtId="10" fontId="1" fillId="0" borderId="1" pivotButton="0" quotePrefix="0" xfId="0"/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justify" vertical="center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justify" vertical="center"/>
    </xf>
    <xf numFmtId="0" fontId="0" fillId="2" borderId="0" pivotButton="0" quotePrefix="0" xfId="0"/>
    <xf numFmtId="165" fontId="7" fillId="0" borderId="1" pivotButton="0" quotePrefix="0" xfId="0"/>
    <xf numFmtId="43" fontId="5" fillId="0" borderId="1" applyAlignment="1" pivotButton="0" quotePrefix="0" xfId="0">
      <alignment vertical="center" wrapText="1"/>
    </xf>
    <xf numFmtId="0" fontId="1" fillId="0" borderId="0" pivotButton="0" quotePrefix="0" xfId="0"/>
    <xf numFmtId="0" fontId="1" fillId="2" borderId="0" pivotButton="0" quotePrefix="0" xfId="0"/>
    <xf numFmtId="165" fontId="1" fillId="0" borderId="1" pivotButton="0" quotePrefix="0" xfId="0"/>
    <xf numFmtId="49" fontId="1" fillId="0" borderId="1" pivotButton="0" quotePrefix="0" xfId="0"/>
    <xf numFmtId="0" fontId="5" fillId="0" borderId="0" applyAlignment="1" pivotButton="0" quotePrefix="0" xfId="0">
      <alignment horizontal="right" vertical="center" wrapText="1"/>
    </xf>
    <xf numFmtId="43" fontId="5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9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10" fillId="0" borderId="0" pivotButton="0" quotePrefix="0" xfId="0"/>
    <xf numFmtId="0" fontId="10" fillId="0" borderId="0" applyAlignment="1" pivotButton="0" quotePrefix="0" xfId="0">
      <alignment horizontal="right"/>
    </xf>
    <xf numFmtId="0" fontId="7" fillId="0" borderId="0" pivotButton="0" quotePrefix="0" xfId="0"/>
    <xf numFmtId="0" fontId="1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right" vertical="center" wrapText="1"/>
    </xf>
    <xf numFmtId="0" fontId="5" fillId="0" borderId="5" applyAlignment="1" pivotButton="0" quotePrefix="0" xfId="0">
      <alignment horizontal="right" vertical="center" wrapText="1"/>
    </xf>
    <xf numFmtId="0" fontId="5" fillId="0" borderId="6" applyAlignment="1" pivotButton="0" quotePrefix="0" xfId="0">
      <alignment horizontal="right" vertical="center" wrapText="1"/>
    </xf>
    <xf numFmtId="0" fontId="5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5" fillId="0" borderId="1" pivotButton="0" quotePrefix="0" xfId="0"/>
    <xf numFmtId="0" fontId="1" fillId="0" borderId="1" applyAlignment="1" pivotButton="0" quotePrefix="0" xfId="0">
      <alignment wrapText="1"/>
    </xf>
    <xf numFmtId="0" fontId="1" fillId="0" borderId="1" pivotButton="0" quotePrefix="0" xfId="0"/>
    <xf numFmtId="49" fontId="1" fillId="0" borderId="1" applyAlignment="1" pivotButton="0" quotePrefix="0" xfId="0">
      <alignment horizontal="left" vertical="top" wrapText="1"/>
    </xf>
    <xf numFmtId="4" fontId="1" fillId="0" borderId="1" pivotButton="0" quotePrefix="0" xfId="0"/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center" vertical="center"/>
    </xf>
    <xf numFmtId="49" fontId="1" fillId="0" borderId="8" applyAlignment="1" pivotButton="0" quotePrefix="0" xfId="0">
      <alignment horizontal="center" vertical="center"/>
    </xf>
    <xf numFmtId="0" fontId="1" fillId="0" borderId="8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center" vertical="center" wrapText="1"/>
    </xf>
    <xf numFmtId="4" fontId="0" fillId="0" borderId="8" applyAlignment="1" pivotButton="0" quotePrefix="0" xfId="0">
      <alignment horizontal="center" vertical="center"/>
    </xf>
    <xf numFmtId="4" fontId="1" fillId="0" borderId="8" applyAlignment="1" pivotButton="0" quotePrefix="0" xfId="0">
      <alignment horizontal="center" vertical="center"/>
    </xf>
    <xf numFmtId="166" fontId="1" fillId="0" borderId="8" applyAlignment="1" pivotButton="0" quotePrefix="0" xfId="0">
      <alignment horizontal="center" vertical="center"/>
    </xf>
    <xf numFmtId="167" fontId="1" fillId="0" borderId="8" applyAlignment="1" pivotButton="0" quotePrefix="0" xfId="0">
      <alignment horizontal="center" vertical="center"/>
    </xf>
    <xf numFmtId="0" fontId="1" fillId="0" borderId="8" applyAlignment="1" pivotButton="0" quotePrefix="0" xfId="0">
      <alignment vertical="center" wrapText="1"/>
    </xf>
    <xf numFmtId="168" fontId="1" fillId="0" borderId="8" applyAlignment="1" pivotButton="0" quotePrefix="0" xfId="0">
      <alignment horizontal="center" vertical="center"/>
    </xf>
    <xf numFmtId="0" fontId="1" fillId="0" borderId="8" applyAlignment="1" pivotButton="0" quotePrefix="0" xfId="0">
      <alignment wrapText="1"/>
    </xf>
    <xf numFmtId="0" fontId="5" fillId="0" borderId="8" applyAlignment="1" pivotButton="0" quotePrefix="0" xfId="0">
      <alignment vertical="center" wrapText="1"/>
    </xf>
    <xf numFmtId="4" fontId="5" fillId="0" borderId="8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right" vertical="center" wrapText="1"/>
    </xf>
    <xf numFmtId="43" fontId="5" fillId="0" borderId="1" applyAlignment="1" pivotButton="0" quotePrefix="0" xfId="0">
      <alignment vertical="center" wrapText="1"/>
    </xf>
    <xf numFmtId="43" fontId="5" fillId="0" borderId="0" applyAlignment="1" pivotButton="0" quotePrefix="0" xfId="0">
      <alignment vertical="center" wrapText="1"/>
    </xf>
    <xf numFmtId="166" fontId="1" fillId="0" borderId="8" applyAlignment="1" pivotButton="0" quotePrefix="0" xfId="0">
      <alignment horizontal="center" vertical="center"/>
    </xf>
    <xf numFmtId="167" fontId="1" fillId="0" borderId="8" applyAlignment="1" pivotButton="0" quotePrefix="0" xfId="0">
      <alignment horizontal="center" vertical="center"/>
    </xf>
    <xf numFmtId="168" fontId="1" fillId="0" borderId="8" applyAlignment="1" pivotButton="0" quotePrefix="0" xfId="0">
      <alignment horizontal="center" vertical="center"/>
    </xf>
  </cellXfs>
  <cellStyles count="1">
    <cellStyle name="Обычный" xfId="0" builtinId="0"/>
  </cellStyles>
  <dxfs count="2">
    <dxf>
      <numFmt numFmtId="170" formatCode="#,##0.0000"/>
    </dxf>
    <dxf>
      <numFmt numFmtId="170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O31"/>
  <sheetViews>
    <sheetView view="pageBreakPreview" topLeftCell="A19" zoomScale="80" zoomScaleNormal="85" workbookViewId="0">
      <selection activeCell="C30" sqref="C30"/>
    </sheetView>
  </sheetViews>
  <sheetFormatPr baseColWidth="8" defaultRowHeight="15.75"/>
  <cols>
    <col width="9.140625" customWidth="1" style="145" min="1" max="1"/>
    <col width="36.140625" customWidth="1" style="145" min="2" max="2"/>
    <col width="36.85546875" customWidth="1" style="145" min="3" max="3"/>
    <col width="31" customWidth="1" style="145" min="4" max="4"/>
    <col width="27.42578125" customWidth="1" style="145" min="5" max="5"/>
    <col width="35.140625" customWidth="1" style="145" min="6" max="6"/>
    <col width="41.140625" customWidth="1" style="145" min="7" max="7"/>
    <col width="9.140625" customWidth="1" style="145" min="8" max="12"/>
    <col width="13.28515625" customWidth="1" style="145" min="13" max="13"/>
    <col width="9.140625" customWidth="1" style="145" min="14" max="14"/>
  </cols>
  <sheetData>
    <row r="1" customFormat="1" s="145">
      <c r="B1" s="150" t="inlineStr">
        <is>
          <t>Приложение № 1</t>
        </is>
      </c>
    </row>
    <row r="2" customFormat="1" s="145">
      <c r="B2" s="151" t="inlineStr">
        <is>
          <t>Сравнительная таблица отбора объекта-представителя</t>
        </is>
      </c>
    </row>
    <row r="3" customFormat="1" s="145">
      <c r="B3" s="100" t="n"/>
      <c r="C3" s="100" t="n"/>
      <c r="D3" s="100" t="n"/>
      <c r="E3" s="100" t="n"/>
      <c r="F3" s="100" t="n"/>
      <c r="G3" s="100" t="n"/>
    </row>
    <row r="4" customFormat="1" s="145">
      <c r="B4" s="100" t="n"/>
      <c r="C4" s="100" t="n"/>
      <c r="D4" s="100" t="n"/>
      <c r="E4" s="100" t="n"/>
      <c r="F4" s="100" t="n"/>
      <c r="G4" s="100" t="n"/>
    </row>
    <row r="5" customFormat="1" s="145">
      <c r="B5" s="152" t="inlineStr">
        <is>
          <t>Наименование разрабатываемого показателя УНЦ — Маслосборник</t>
        </is>
      </c>
      <c r="I5" s="101" t="n"/>
    </row>
    <row r="6" ht="31.7" customFormat="1" customHeight="1" s="145">
      <c r="B6" s="152" t="inlineStr">
        <is>
          <t>Сопоставимый уровень цен: базовый уровень цен</t>
        </is>
      </c>
    </row>
    <row r="7" ht="15.75" customFormat="1" customHeight="1" s="145">
      <c r="B7" s="152" t="inlineStr">
        <is>
          <t>Единица измерения  — м3</t>
        </is>
      </c>
      <c r="I7" s="101" t="n"/>
    </row>
    <row r="11">
      <c r="A11" s="168" t="inlineStr">
        <is>
          <t>№ п/п</t>
        </is>
      </c>
      <c r="B11" s="168" t="inlineStr">
        <is>
          <t>Параметр</t>
        </is>
      </c>
      <c r="C11" s="168" t="inlineStr">
        <is>
          <t>Объект-представитель 1</t>
        </is>
      </c>
      <c r="D11" s="168" t="inlineStr">
        <is>
          <t>Объект-представитель 2</t>
        </is>
      </c>
      <c r="E11" s="168" t="inlineStr">
        <is>
          <t>Объект-представитель 3</t>
        </is>
      </c>
      <c r="F11" s="168" t="inlineStr">
        <is>
          <t>Объект-представитель 4</t>
        </is>
      </c>
      <c r="G11" s="168" t="inlineStr">
        <is>
          <t>Объект-представитель 5</t>
        </is>
      </c>
    </row>
    <row r="12" ht="75.2" customHeight="1" s="143">
      <c r="A12" s="168" t="n">
        <v>1</v>
      </c>
      <c r="B12" s="104" t="inlineStr">
        <is>
          <t>Наименование объекта-представителя</t>
        </is>
      </c>
      <c r="C12" s="168" t="inlineStr">
        <is>
          <t>Строительство ПС 110/10 кВ «Прибрежная»</t>
        </is>
      </c>
      <c r="D12" s="168" t="inlineStr">
        <is>
          <t>Реконструкция ПС №38 110/6 кВ «Угольная»</t>
        </is>
      </c>
      <c r="E12" s="168" t="inlineStr">
        <is>
          <t>Подстанция «Верещагинская» (110кВ) с заходами линий электропередачи</t>
        </is>
      </c>
      <c r="F12" s="168" t="inlineStr">
        <is>
          <t>Реконструкция ПС 110/6 кВ "Пасечная" с заменой трансформаторов</t>
        </is>
      </c>
      <c r="G12" s="168" t="inlineStr">
        <is>
          <t>ВЛ 220 кВ Означенное-Степная (участок от опоры 64 до ПС 220 кВ Степная и ПС 220 кВ Степная с заходами ВЛ 220 кВ. Корректировка</t>
        </is>
      </c>
    </row>
    <row r="13" ht="31.7" customHeight="1" s="143">
      <c r="A13" s="168" t="n">
        <v>2</v>
      </c>
      <c r="B13" s="104" t="inlineStr">
        <is>
          <t>Наименование субъекта Российской Федерации</t>
        </is>
      </c>
      <c r="C13" s="168" t="inlineStr">
        <is>
          <t>г. Омск</t>
        </is>
      </c>
      <c r="D13" s="168" t="inlineStr">
        <is>
          <t>Респ. Якутия</t>
        </is>
      </c>
      <c r="E13" s="168" t="inlineStr">
        <is>
          <t>г.Сочи</t>
        </is>
      </c>
      <c r="F13" s="168" t="inlineStr">
        <is>
          <t>г.Сочи</t>
        </is>
      </c>
      <c r="G13" s="168" t="inlineStr">
        <is>
          <t>Республика Хакасия</t>
        </is>
      </c>
    </row>
    <row r="14">
      <c r="A14" s="168" t="n">
        <v>3</v>
      </c>
      <c r="B14" s="104" t="inlineStr">
        <is>
          <t>Климатический район и подрайон</t>
        </is>
      </c>
      <c r="C14" s="168" t="inlineStr">
        <is>
          <t>IВ</t>
        </is>
      </c>
      <c r="D14" s="168" t="inlineStr">
        <is>
          <t>-</t>
        </is>
      </c>
      <c r="E14" s="168" t="inlineStr">
        <is>
          <t>IIIБ</t>
        </is>
      </c>
      <c r="F14" s="168" t="inlineStr">
        <is>
          <t>IIIБ</t>
        </is>
      </c>
      <c r="G14" s="168" t="inlineStr">
        <is>
          <t>IД</t>
        </is>
      </c>
    </row>
    <row r="15">
      <c r="A15" s="168" t="n">
        <v>4</v>
      </c>
      <c r="B15" s="104" t="inlineStr">
        <is>
          <t>Мощность объекта м3</t>
        </is>
      </c>
      <c r="C15" s="168" t="n">
        <v>50</v>
      </c>
      <c r="D15" s="168" t="n">
        <v>50</v>
      </c>
      <c r="E15" s="168" t="n">
        <v>70</v>
      </c>
      <c r="F15" s="168" t="n">
        <v>50</v>
      </c>
      <c r="G15" s="168" t="n">
        <v>140</v>
      </c>
    </row>
    <row r="16" ht="236.25" customHeight="1" s="143">
      <c r="A16" s="168" t="n">
        <v>5</v>
      </c>
      <c r="B16" s="10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C16" s="104" t="inlineStr">
        <is>
          <t>Маслосборник емкостью 50(м3), подземный (заглублен на 100мм от поверхности, оборудуется сигнализацией о наличии воды. Конструкции днища и стен предусматриваются из монолитного ж/б, покрытие из сборных плит по серии 3.006.1-8.3-1-7. В днище оборудуется приямок, в покрытии обустраиваются люки доступа из сборных ж/б колец и вентиляционная колонка. Территория вокруг маслосборника огораживается забором из элементов по серии 3.017-3.1</t>
        </is>
      </c>
      <c r="D16" s="104" t="inlineStr">
        <is>
          <t>Маслосборник – заглубленный, из стальных конструкций заводского изготовления, массой до 5т, емкостью 50(м3). Устанавливается на основание из грунтовой подушки. Для надземной части (люка доступа) устраивается отмостка</t>
        </is>
      </c>
      <c r="E16" s="104" t="inlineStr">
        <is>
          <t>Маслосборник объемом 70 (м3), подземный (заглублен ниже ур. грунтовых вод), из монолитных ж/б конструкций с устройством горловины с люком. Маслосборник оборудуется сигнализацией о наличии воды, изнутри наносится торкрет-цемент</t>
        </is>
      </c>
      <c r="F16" s="104" t="inlineStr">
        <is>
          <t>Маслосборник емкостью 50 (м3) – из сборно-монолитных конструкций: днище монолитное, стены и перекрытия из сборных элементов. Размеры в плане 6х4,5(м)</t>
        </is>
      </c>
      <c r="G16" s="104" t="inlineStr">
        <is>
          <t>Маслосборник принят подземной установки из монолитного ж/б</t>
        </is>
      </c>
    </row>
    <row r="17" ht="78.75" customHeight="1" s="143">
      <c r="A17" s="168" t="n">
        <v>6</v>
      </c>
      <c r="B17" s="10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C17" s="168" t="inlineStr">
        <is>
          <t>108,001/502,21 ТЕР 1 квартал 2008 г.</t>
        </is>
      </c>
      <c r="D17" s="168" t="inlineStr">
        <is>
          <t>91,079/895,31 3 квартал 2012 г.</t>
        </is>
      </c>
      <c r="E17" s="168" t="inlineStr">
        <is>
          <t>155,655/818,75ТЕР 4 квартал 2011 г.</t>
        </is>
      </c>
      <c r="F17" s="168" t="inlineStr">
        <is>
          <t>103,72/803,62 1 квартал 2021 г.</t>
        </is>
      </c>
      <c r="G17" s="168" t="inlineStr">
        <is>
          <t>944,85/6 339,91 ТЕР 3 квартал 2019 г.</t>
        </is>
      </c>
      <c r="M17" s="91" t="n"/>
      <c r="O17" s="145" t="n"/>
    </row>
    <row r="18">
      <c r="A18" s="105" t="inlineStr">
        <is>
          <t>6.1</t>
        </is>
      </c>
      <c r="B18" s="104" t="inlineStr">
        <is>
          <t>строительно-монтажные работы</t>
        </is>
      </c>
      <c r="C18" s="168" t="inlineStr">
        <is>
          <t>108,001/502,21</t>
        </is>
      </c>
      <c r="D18" s="168" t="inlineStr">
        <is>
          <t>91,079/895,31</t>
        </is>
      </c>
      <c r="E18" s="168" t="inlineStr">
        <is>
          <t>155,655/818,75</t>
        </is>
      </c>
      <c r="F18" s="168" t="inlineStr">
        <is>
          <t>103,72/803,62</t>
        </is>
      </c>
      <c r="G18" s="168" t="inlineStr">
        <is>
          <t>944,85/6 339,91</t>
        </is>
      </c>
      <c r="M18" s="91" t="n"/>
      <c r="O18" s="145" t="n"/>
    </row>
    <row r="19">
      <c r="A19" s="105" t="inlineStr">
        <is>
          <t>6.2</t>
        </is>
      </c>
      <c r="B19" s="104" t="inlineStr">
        <is>
          <t>оборудование и инвентарь</t>
        </is>
      </c>
      <c r="C19" s="168" t="n"/>
      <c r="D19" s="168" t="n"/>
      <c r="E19" s="168" t="n"/>
      <c r="F19" s="168" t="n"/>
      <c r="G19" s="168" t="n"/>
    </row>
    <row r="20">
      <c r="A20" s="105" t="inlineStr">
        <is>
          <t>6.3</t>
        </is>
      </c>
      <c r="B20" s="104" t="inlineStr">
        <is>
          <t>пусконаладочные работы</t>
        </is>
      </c>
      <c r="C20" s="168" t="n"/>
      <c r="D20" s="168" t="n"/>
      <c r="E20" s="168" t="n"/>
      <c r="F20" s="168" t="n"/>
      <c r="G20" s="168" t="n"/>
    </row>
    <row r="21" ht="31.7" customHeight="1" s="143">
      <c r="A21" s="105" t="inlineStr">
        <is>
          <t>6.4</t>
        </is>
      </c>
      <c r="B21" s="104" t="inlineStr">
        <is>
          <t>прочие и лимитированные затраты</t>
        </is>
      </c>
      <c r="C21" s="168" t="n"/>
      <c r="D21" s="168" t="n"/>
      <c r="E21" s="168" t="n"/>
      <c r="F21" s="168" t="n"/>
      <c r="G21" s="168" t="n"/>
    </row>
    <row r="22">
      <c r="A22" s="106" t="n">
        <v>7</v>
      </c>
      <c r="B22" s="104" t="inlineStr">
        <is>
          <t>Сопоставимый уровень цен</t>
        </is>
      </c>
      <c r="C22" s="168" t="inlineStr">
        <is>
          <t>1 квартал 2021 г.</t>
        </is>
      </c>
      <c r="D22" s="168" t="inlineStr">
        <is>
          <t>1 квартал 2021 г.</t>
        </is>
      </c>
      <c r="E22" s="168" t="inlineStr">
        <is>
          <t>1 квартал 2021 г.</t>
        </is>
      </c>
      <c r="F22" s="168" t="inlineStr">
        <is>
          <t>1 квартал 2021 г.</t>
        </is>
      </c>
      <c r="G22" s="168" t="inlineStr">
        <is>
          <t>1 квартал 2021 г.</t>
        </is>
      </c>
      <c r="O22" s="145" t="n"/>
    </row>
    <row r="23" ht="110.25" customHeight="1" s="143">
      <c r="A23" s="106" t="n">
        <v>8</v>
      </c>
      <c r="B23" s="10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C23" s="108" t="n">
        <v>1303.9274261247</v>
      </c>
      <c r="D23" s="108" t="n">
        <v>1523.0829440748</v>
      </c>
      <c r="E23" s="108" t="n">
        <v>1463.844837173</v>
      </c>
      <c r="F23" s="108" t="n">
        <v>803.62</v>
      </c>
      <c r="G23" s="108" t="n">
        <v>6949.2161486539</v>
      </c>
    </row>
    <row r="24" ht="47.25" customHeight="1" s="143">
      <c r="A24" s="106" t="n">
        <v>9</v>
      </c>
      <c r="B24" s="104" t="inlineStr">
        <is>
          <t>Приведенная сметная стоимость на единицу мощности, тыс. руб. (строка 8/строку 4)</t>
        </is>
      </c>
      <c r="C24" s="108">
        <f>C23/C15</f>
        <v/>
      </c>
      <c r="D24" s="108">
        <f>D23/D15</f>
        <v/>
      </c>
      <c r="E24" s="108">
        <f>E23/E15</f>
        <v/>
      </c>
      <c r="F24" s="108">
        <f>F23/F15</f>
        <v/>
      </c>
      <c r="G24" s="108">
        <f>G23/G15</f>
        <v/>
      </c>
    </row>
    <row r="25">
      <c r="A25" s="106" t="n">
        <v>10</v>
      </c>
      <c r="B25" s="104" t="inlineStr">
        <is>
          <t>Примечание</t>
        </is>
      </c>
      <c r="C25" s="168" t="n"/>
      <c r="D25" s="168" t="inlineStr">
        <is>
          <t>Объект -представитель</t>
        </is>
      </c>
      <c r="E25" s="168" t="n"/>
      <c r="F25" s="168" t="n"/>
      <c r="G25" s="168" t="n"/>
    </row>
    <row r="27" customFormat="1" s="145">
      <c r="C27" s="145" t="inlineStr">
        <is>
          <t>Составил ______________________         М.С. Колотиевская</t>
        </is>
      </c>
    </row>
    <row r="28" customFormat="1" s="145">
      <c r="C28" s="98" t="inlineStr">
        <is>
          <t xml:space="preserve">                         (подпись, инициалы, фамилия)</t>
        </is>
      </c>
    </row>
    <row r="29" customFormat="1" s="145"/>
    <row r="30" s="143">
      <c r="B30" s="145" t="n"/>
      <c r="C30" s="145" t="inlineStr">
        <is>
          <t>Проверил ______________________          А.В. Костянецкая</t>
        </is>
      </c>
      <c r="D30" s="145" t="n"/>
      <c r="E30" s="145" t="n"/>
      <c r="F30" s="145" t="n"/>
      <c r="G30" s="145" t="n"/>
      <c r="H30" s="145" t="n"/>
      <c r="I30" s="145" t="n"/>
      <c r="J30" s="145" t="n"/>
    </row>
    <row r="31" s="143">
      <c r="B31" s="145" t="n"/>
      <c r="C31" s="98" t="inlineStr">
        <is>
          <t xml:space="preserve">                        (подпись, инициалы, фамилия)</t>
        </is>
      </c>
      <c r="D31" s="145" t="n"/>
      <c r="E31" s="145" t="n"/>
      <c r="F31" s="145" t="n"/>
      <c r="G31" s="145" t="n"/>
      <c r="H31" s="145" t="n"/>
      <c r="I31" s="145" t="n"/>
      <c r="J31" s="145" t="n"/>
    </row>
  </sheetData>
  <mergeCells count="5">
    <mergeCell ref="B2:G2"/>
    <mergeCell ref="B5:G5"/>
    <mergeCell ref="B1:G1"/>
    <mergeCell ref="B7:G7"/>
    <mergeCell ref="B6:G6"/>
  </mergeCells>
  <pageMargins left="0.7" right="0.7" top="0.75" bottom="0.75" header="0.3" footer="0.3"/>
  <pageSetup orientation="portrait" paperSize="9" scale="40" fitToHeight="0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O55"/>
  <sheetViews>
    <sheetView view="pageBreakPreview" topLeftCell="A22" zoomScale="85" zoomScaleNormal="85" workbookViewId="0">
      <selection activeCell="C53" sqref="C53"/>
    </sheetView>
  </sheetViews>
  <sheetFormatPr baseColWidth="8" defaultColWidth="9.140625" defaultRowHeight="15"/>
  <cols>
    <col width="5.5703125" customWidth="1" style="143" min="1" max="1"/>
    <col width="9.140625" customWidth="1" style="143" min="2" max="2"/>
    <col width="28.140625" customWidth="1" style="143" min="3" max="3"/>
    <col width="15.5703125" customWidth="1" style="143" min="4" max="4"/>
    <col width="39" customWidth="1" style="143" min="5" max="5"/>
    <col width="14.5703125" customWidth="1" style="143" min="6" max="6"/>
    <col width="21.42578125" customWidth="1" style="143" min="7" max="7"/>
    <col width="19.5703125" customWidth="1" style="143" min="8" max="8"/>
    <col width="13" customWidth="1" style="143" min="9" max="9"/>
    <col width="20.85546875" customWidth="1" style="143" min="10" max="10"/>
    <col width="18" customWidth="1" style="143" min="11" max="11"/>
    <col width="9.140625" customWidth="1" style="143" min="12" max="12"/>
  </cols>
  <sheetData>
    <row r="3" ht="15.75" customHeight="1" s="143">
      <c r="B3" s="150" t="inlineStr">
        <is>
          <t>Приложение № 2</t>
        </is>
      </c>
    </row>
    <row r="4" ht="15.75" customHeight="1" s="143">
      <c r="B4" s="151" t="inlineStr">
        <is>
          <t>Расчет стоимости основных видов работ для выбора объекта-представителя</t>
        </is>
      </c>
    </row>
    <row r="5" ht="15.75" customHeight="1" s="143">
      <c r="B5" s="100" t="n"/>
      <c r="C5" s="100" t="n"/>
      <c r="D5" s="100" t="n"/>
      <c r="E5" s="100" t="n"/>
      <c r="F5" s="100" t="n"/>
      <c r="G5" s="100" t="n"/>
      <c r="H5" s="100" t="n"/>
      <c r="I5" s="100" t="n"/>
      <c r="J5" s="100" t="n"/>
      <c r="K5" s="100" t="n"/>
    </row>
    <row r="6" ht="15.75" customHeight="1" s="143">
      <c r="B6" s="152">
        <f>'Прил.1 Сравнит табл'!B5:G5</f>
        <v/>
      </c>
      <c r="L6" s="110" t="n"/>
    </row>
    <row r="7" ht="15.75" customHeight="1" s="143">
      <c r="B7" s="153">
        <f>'Прил.1 Сравнит табл'!B7:G7</f>
        <v/>
      </c>
      <c r="L7" s="110" t="n"/>
    </row>
    <row r="8" ht="18.75" customHeight="1" s="143">
      <c r="B8" s="111" t="n"/>
      <c r="O8" s="112" t="n"/>
    </row>
    <row r="9" ht="15.75" customFormat="1" customHeight="1" s="145">
      <c r="B9" s="168" t="inlineStr">
        <is>
          <t>№ п/п</t>
        </is>
      </c>
      <c r="C9" s="16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68" t="inlineStr">
        <is>
          <t>Строительство ПС 110/10 кВ «Прибрежная»</t>
        </is>
      </c>
      <c r="E9" s="199" t="n"/>
      <c r="F9" s="199" t="n"/>
      <c r="G9" s="199" t="n"/>
      <c r="H9" s="199" t="n"/>
      <c r="I9" s="199" t="n"/>
      <c r="J9" s="200" t="n"/>
    </row>
    <row r="10" ht="15.75" customFormat="1" customHeight="1" s="145">
      <c r="B10" s="201" t="n"/>
      <c r="C10" s="201" t="n"/>
      <c r="D10" s="168" t="inlineStr">
        <is>
          <t>Номер сметы</t>
        </is>
      </c>
      <c r="E10" s="168" t="inlineStr">
        <is>
          <t>Наименование сметы</t>
        </is>
      </c>
      <c r="F10" s="168" t="inlineStr">
        <is>
          <t>Сметная стоимость в уровне цен 1 квартал 2008 г., тыс. руб.</t>
        </is>
      </c>
      <c r="G10" s="199" t="n"/>
      <c r="H10" s="199" t="n"/>
      <c r="I10" s="199" t="n"/>
      <c r="J10" s="200" t="n"/>
    </row>
    <row r="11" ht="31.7" customFormat="1" customHeight="1" s="145">
      <c r="B11" s="202" t="n"/>
      <c r="C11" s="202" t="n"/>
      <c r="D11" s="202" t="n"/>
      <c r="E11" s="202" t="n"/>
      <c r="F11" s="168" t="inlineStr">
        <is>
          <t>Строительные работы</t>
        </is>
      </c>
      <c r="G11" s="168" t="inlineStr">
        <is>
          <t>Монтажные работы</t>
        </is>
      </c>
      <c r="H11" s="168" t="inlineStr">
        <is>
          <t>Оборудование</t>
        </is>
      </c>
      <c r="I11" s="168" t="inlineStr">
        <is>
          <t>Прочее</t>
        </is>
      </c>
      <c r="J11" s="168" t="inlineStr">
        <is>
          <t>Всего</t>
        </is>
      </c>
    </row>
    <row r="12" ht="31.7" customFormat="1" customHeight="1" s="145">
      <c r="B12" s="168" t="n">
        <v>1</v>
      </c>
      <c r="C12" s="180" t="n"/>
      <c r="D12" s="118" t="inlineStr">
        <is>
          <t>02-01-27</t>
        </is>
      </c>
      <c r="E12" s="176" t="inlineStr">
        <is>
          <t xml:space="preserve"> Общестроительные работы. Маслосборник</t>
        </is>
      </c>
      <c r="F12" s="182" t="n">
        <v>502.21</v>
      </c>
      <c r="G12" s="113" t="n"/>
      <c r="H12" s="113" t="n"/>
      <c r="I12" s="181" t="n"/>
      <c r="J12" s="182" t="n">
        <v>502.21</v>
      </c>
    </row>
    <row r="13" ht="15.75" customFormat="1" customHeight="1" s="145">
      <c r="B13" s="203" t="inlineStr">
        <is>
          <t>Всего по объекту:</t>
        </is>
      </c>
      <c r="C13" s="199" t="n"/>
      <c r="D13" s="199" t="n"/>
      <c r="E13" s="200" t="n"/>
      <c r="F13" s="117" t="n">
        <v>502.21</v>
      </c>
      <c r="G13" s="117" t="n">
        <v>0</v>
      </c>
      <c r="H13" s="117" t="n">
        <v>0</v>
      </c>
      <c r="I13" s="117" t="n">
        <v>0</v>
      </c>
      <c r="J13" s="117" t="n">
        <v>502.21</v>
      </c>
    </row>
    <row r="14" ht="15.75" customFormat="1" customHeight="1" s="145">
      <c r="B14" s="203" t="inlineStr">
        <is>
          <t>Всего по объекту в сопоставимом уровне цен 1 кв. 2021г:</t>
        </is>
      </c>
      <c r="C14" s="199" t="n"/>
      <c r="D14" s="199" t="n"/>
      <c r="E14" s="200" t="n"/>
      <c r="F14" s="204" t="n">
        <v>1303.9274261247</v>
      </c>
      <c r="G14" s="204" t="n">
        <v>0</v>
      </c>
      <c r="H14" s="204" t="n">
        <v>0</v>
      </c>
      <c r="I14" s="204" t="n">
        <v>0</v>
      </c>
      <c r="J14" s="204" t="n">
        <v>1303.9274261247</v>
      </c>
    </row>
    <row r="15" ht="15.75" customFormat="1" customHeight="1" s="145">
      <c r="B15" s="152" t="n"/>
      <c r="C15" s="145" t="n"/>
      <c r="D15" s="145" t="n"/>
      <c r="E15" s="145" t="n"/>
      <c r="F15" s="145" t="n"/>
      <c r="G15" s="145" t="n"/>
      <c r="H15" s="145" t="n"/>
      <c r="I15" s="145" t="n"/>
      <c r="J15" s="145" t="n"/>
    </row>
    <row r="16" ht="15.75" customFormat="1" customHeight="1" s="145">
      <c r="B16" s="152" t="n"/>
      <c r="C16" s="145" t="n"/>
      <c r="D16" s="145" t="n"/>
      <c r="E16" s="145" t="n"/>
      <c r="F16" s="145" t="n"/>
      <c r="G16" s="145" t="n"/>
      <c r="H16" s="145" t="n"/>
      <c r="I16" s="145" t="n"/>
      <c r="J16" s="145" t="n"/>
      <c r="O16" s="116" t="n"/>
    </row>
    <row r="17" ht="25.5" customFormat="1" customHeight="1" s="145">
      <c r="B17" s="168" t="inlineStr">
        <is>
          <t>№ п/п</t>
        </is>
      </c>
      <c r="C17" s="16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17" s="168" t="inlineStr">
        <is>
          <t>Реконструкция ПС №38 110/6 кВ «Угольная»</t>
        </is>
      </c>
      <c r="E17" s="199" t="n"/>
      <c r="F17" s="199" t="n"/>
      <c r="G17" s="199" t="n"/>
      <c r="H17" s="199" t="n"/>
      <c r="I17" s="199" t="n"/>
      <c r="J17" s="200" t="n"/>
    </row>
    <row r="18" ht="15.75" customFormat="1" customHeight="1" s="145">
      <c r="B18" s="201" t="n"/>
      <c r="C18" s="201" t="n"/>
      <c r="D18" s="168" t="inlineStr">
        <is>
          <t>Номер сметы</t>
        </is>
      </c>
      <c r="E18" s="168" t="inlineStr">
        <is>
          <t>Наименование сметы</t>
        </is>
      </c>
      <c r="F18" s="168" t="inlineStr">
        <is>
          <t>Сметная стоимость в уровне цен 3 кв. 2012г., тыс. руб.</t>
        </is>
      </c>
      <c r="G18" s="199" t="n"/>
      <c r="H18" s="199" t="n"/>
      <c r="I18" s="199" t="n"/>
      <c r="J18" s="200" t="n"/>
    </row>
    <row r="19" ht="45" customFormat="1" customHeight="1" s="145">
      <c r="B19" s="202" t="n"/>
      <c r="C19" s="202" t="n"/>
      <c r="D19" s="202" t="n"/>
      <c r="E19" s="202" t="n"/>
      <c r="F19" s="168" t="inlineStr">
        <is>
          <t>Строительные работы</t>
        </is>
      </c>
      <c r="G19" s="168" t="inlineStr">
        <is>
          <t>Монтажные работы</t>
        </is>
      </c>
      <c r="H19" s="168" t="inlineStr">
        <is>
          <t>Оборудование</t>
        </is>
      </c>
      <c r="I19" s="168" t="inlineStr">
        <is>
          <t>Прочее</t>
        </is>
      </c>
      <c r="J19" s="168" t="inlineStr">
        <is>
          <t>Всего</t>
        </is>
      </c>
    </row>
    <row r="20" ht="15.75" customFormat="1" customHeight="1" s="145">
      <c r="B20" s="168" t="n">
        <v>1</v>
      </c>
      <c r="C20" s="180" t="n"/>
      <c r="D20" s="118" t="inlineStr">
        <is>
          <t>06-01-01 изм.1</t>
        </is>
      </c>
      <c r="E20" s="176" t="inlineStr">
        <is>
          <t>Стальной маслосборник V=50 м3</t>
        </is>
      </c>
      <c r="F20" s="182" t="n">
        <v>895.3099999999999</v>
      </c>
      <c r="G20" s="113" t="n"/>
      <c r="H20" s="113" t="n"/>
      <c r="I20" s="181" t="n"/>
      <c r="J20" s="182" t="n">
        <v>895.3099999999999</v>
      </c>
    </row>
    <row r="21" ht="15.75" customFormat="1" customHeight="1" s="145">
      <c r="B21" s="203" t="inlineStr">
        <is>
          <t>Всего по объекту:</t>
        </is>
      </c>
      <c r="C21" s="199" t="n"/>
      <c r="D21" s="199" t="n"/>
      <c r="E21" s="200" t="n"/>
      <c r="F21" s="117" t="n">
        <v>895.3099999999999</v>
      </c>
      <c r="G21" s="117" t="n">
        <v>0</v>
      </c>
      <c r="H21" s="117" t="n">
        <v>0</v>
      </c>
      <c r="I21" s="117" t="n">
        <v>0</v>
      </c>
      <c r="J21" s="117" t="n">
        <v>895.3099999999999</v>
      </c>
    </row>
    <row r="22" ht="15.75" customFormat="1" customHeight="1" s="145">
      <c r="B22" s="203" t="inlineStr">
        <is>
          <t>Всего по объекту в сопоставимом уровне цен 1 кв. 2021г:</t>
        </is>
      </c>
      <c r="C22" s="199" t="n"/>
      <c r="D22" s="199" t="n"/>
      <c r="E22" s="200" t="n"/>
      <c r="F22" s="204" t="n">
        <v>1523.0829440748</v>
      </c>
      <c r="G22" s="204" t="n">
        <v>0</v>
      </c>
      <c r="H22" s="204" t="n">
        <v>0</v>
      </c>
      <c r="I22" s="204" t="n">
        <v>0</v>
      </c>
      <c r="J22" s="204" t="n">
        <v>1523.0829440748</v>
      </c>
    </row>
    <row r="23" ht="15.75" customFormat="1" customHeight="1" s="145">
      <c r="B23" s="152" t="n"/>
      <c r="C23" s="145" t="n"/>
      <c r="D23" s="145" t="n"/>
      <c r="E23" s="145" t="n"/>
      <c r="F23" s="145" t="n"/>
      <c r="G23" s="145" t="n"/>
      <c r="H23" s="145" t="n"/>
      <c r="I23" s="145" t="n"/>
      <c r="J23" s="145" t="n"/>
    </row>
    <row r="24" ht="15.75" customFormat="1" customHeight="1" s="145">
      <c r="B24" s="152" t="n"/>
      <c r="C24" s="145" t="n"/>
      <c r="D24" s="145" t="n"/>
      <c r="E24" s="145" t="n"/>
      <c r="F24" s="145" t="n"/>
      <c r="G24" s="145" t="n"/>
      <c r="H24" s="145" t="n"/>
      <c r="I24" s="145" t="n"/>
      <c r="J24" s="145" t="n"/>
      <c r="O24" s="116" t="n"/>
    </row>
    <row r="25" ht="15.75" customFormat="1" customHeight="1" s="145">
      <c r="B25" s="168" t="inlineStr">
        <is>
          <t>№ п/п</t>
        </is>
      </c>
      <c r="C25" s="16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25" s="168" t="inlineStr">
        <is>
          <t>Подстанция «Верещагинская» (110кВ) с заходами линий электропередачи</t>
        </is>
      </c>
      <c r="E25" s="199" t="n"/>
      <c r="F25" s="199" t="n"/>
      <c r="G25" s="199" t="n"/>
      <c r="H25" s="199" t="n"/>
      <c r="I25" s="199" t="n"/>
      <c r="J25" s="200" t="n"/>
    </row>
    <row r="26" ht="15.75" customFormat="1" customHeight="1" s="145">
      <c r="B26" s="201" t="n"/>
      <c r="C26" s="201" t="n"/>
      <c r="D26" s="168" t="inlineStr">
        <is>
          <t>Номер сметы</t>
        </is>
      </c>
      <c r="E26" s="168" t="inlineStr">
        <is>
          <t>Наименование сметы</t>
        </is>
      </c>
      <c r="F26" s="168" t="inlineStr">
        <is>
          <t>Сметная стоимость в уровне цен 4 кв. 2011г., тыс. руб.</t>
        </is>
      </c>
      <c r="G26" s="199" t="n"/>
      <c r="H26" s="199" t="n"/>
      <c r="I26" s="199" t="n"/>
      <c r="J26" s="200" t="n"/>
    </row>
    <row r="27" ht="31.7" customFormat="1" customHeight="1" s="145">
      <c r="B27" s="202" t="n"/>
      <c r="C27" s="202" t="n"/>
      <c r="D27" s="202" t="n"/>
      <c r="E27" s="202" t="n"/>
      <c r="F27" s="168" t="inlineStr">
        <is>
          <t>Строительные работы</t>
        </is>
      </c>
      <c r="G27" s="168" t="inlineStr">
        <is>
          <t>Монтажные работы</t>
        </is>
      </c>
      <c r="H27" s="168" t="inlineStr">
        <is>
          <t>Оборудование</t>
        </is>
      </c>
      <c r="I27" s="168" t="inlineStr">
        <is>
          <t>Прочее</t>
        </is>
      </c>
      <c r="J27" s="168" t="inlineStr">
        <is>
          <t>Всего</t>
        </is>
      </c>
    </row>
    <row r="28" ht="17.45" customFormat="1" customHeight="1" s="145">
      <c r="B28" s="168" t="n"/>
      <c r="C28" s="180" t="n"/>
      <c r="D28" s="118" t="inlineStr">
        <is>
          <t>06-06-01</t>
        </is>
      </c>
      <c r="E28" s="176" t="inlineStr">
        <is>
          <t>Устройство маслосборника</t>
        </is>
      </c>
      <c r="F28" s="182" t="n">
        <v>818.75</v>
      </c>
      <c r="G28" s="182" t="n"/>
      <c r="H28" s="182" t="n"/>
      <c r="I28" s="181" t="n"/>
      <c r="J28" s="182" t="n">
        <v>818.75</v>
      </c>
    </row>
    <row r="29" ht="15.75" customFormat="1" customHeight="1" s="145">
      <c r="B29" s="203" t="inlineStr">
        <is>
          <t>Всего по объекту:</t>
        </is>
      </c>
      <c r="C29" s="199" t="n"/>
      <c r="D29" s="199" t="n"/>
      <c r="E29" s="200" t="n"/>
      <c r="F29" s="117" t="n">
        <v>818.75</v>
      </c>
      <c r="G29" s="117" t="n">
        <v>0</v>
      </c>
      <c r="H29" s="117" t="n">
        <v>0</v>
      </c>
      <c r="I29" s="117" t="n">
        <v>0</v>
      </c>
      <c r="J29" s="117" t="n">
        <v>818.75</v>
      </c>
    </row>
    <row r="30" ht="15.75" customFormat="1" customHeight="1" s="145">
      <c r="B30" s="203" t="inlineStr">
        <is>
          <t>Всего по объекту в сопоставимом уровне цен 1 кв. 2021г:</t>
        </is>
      </c>
      <c r="C30" s="199" t="n"/>
      <c r="D30" s="199" t="n"/>
      <c r="E30" s="200" t="n"/>
      <c r="F30" s="204" t="n">
        <v>1463.844837173</v>
      </c>
      <c r="G30" s="204" t="n">
        <v>0</v>
      </c>
      <c r="H30" s="204" t="n">
        <v>0</v>
      </c>
      <c r="I30" s="204" t="n">
        <v>0</v>
      </c>
      <c r="J30" s="204" t="n">
        <v>1463.844837173</v>
      </c>
    </row>
    <row r="31" ht="15.75" customFormat="1" customHeight="1" s="145">
      <c r="B31" s="119" t="n"/>
      <c r="C31" s="119" t="n"/>
      <c r="D31" s="119" t="n"/>
      <c r="E31" s="119" t="n"/>
      <c r="F31" s="205" t="n"/>
      <c r="G31" s="205" t="n"/>
      <c r="H31" s="205" t="n"/>
      <c r="I31" s="205" t="n"/>
      <c r="J31" s="205" t="n"/>
    </row>
    <row r="32" ht="15.75" customFormat="1" customHeight="1" s="145">
      <c r="B32" s="152" t="n"/>
      <c r="C32" s="145" t="n"/>
      <c r="D32" s="145" t="n"/>
      <c r="E32" s="145" t="n"/>
      <c r="F32" s="145" t="n"/>
      <c r="G32" s="145" t="n"/>
      <c r="H32" s="145" t="n"/>
      <c r="I32" s="145" t="n"/>
      <c r="J32" s="145" t="n"/>
    </row>
    <row r="33" ht="32.25" customFormat="1" customHeight="1" s="145">
      <c r="B33" s="168" t="inlineStr">
        <is>
          <t>№ п/п</t>
        </is>
      </c>
      <c r="C33" s="16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33" s="168" t="inlineStr">
        <is>
          <t>Реконструкция ПС 110/6 кВ "Пасечная" с заменой трансформаторов</t>
        </is>
      </c>
      <c r="E33" s="199" t="n"/>
      <c r="F33" s="199" t="n"/>
      <c r="G33" s="199" t="n"/>
      <c r="H33" s="199" t="n"/>
      <c r="I33" s="199" t="n"/>
      <c r="J33" s="200" t="n"/>
    </row>
    <row r="34" ht="15.75" customFormat="1" customHeight="1" s="145">
      <c r="B34" s="201" t="n"/>
      <c r="C34" s="201" t="n"/>
      <c r="D34" s="168" t="inlineStr">
        <is>
          <t>Номер сметы</t>
        </is>
      </c>
      <c r="E34" s="168" t="inlineStr">
        <is>
          <t>Наименование сметы</t>
        </is>
      </c>
      <c r="F34" s="168" t="inlineStr">
        <is>
          <t>Сметная стоимость в уровне цен 1 кв. 2021г., тыс. руб.</t>
        </is>
      </c>
      <c r="G34" s="199" t="n"/>
      <c r="H34" s="199" t="n"/>
      <c r="I34" s="199" t="n"/>
      <c r="J34" s="200" t="n"/>
    </row>
    <row r="35" ht="31.7" customFormat="1" customHeight="1" s="145">
      <c r="B35" s="202" t="n"/>
      <c r="C35" s="202" t="n"/>
      <c r="D35" s="202" t="n"/>
      <c r="E35" s="202" t="n"/>
      <c r="F35" s="168" t="inlineStr">
        <is>
          <t>Строительные работы</t>
        </is>
      </c>
      <c r="G35" s="168" t="inlineStr">
        <is>
          <t>Монтажные работы</t>
        </is>
      </c>
      <c r="H35" s="168" t="inlineStr">
        <is>
          <t>Оборудование</t>
        </is>
      </c>
      <c r="I35" s="168" t="inlineStr">
        <is>
          <t>Прочее</t>
        </is>
      </c>
      <c r="J35" s="168" t="inlineStr">
        <is>
          <t>Всего</t>
        </is>
      </c>
    </row>
    <row r="36" ht="19.5" customFormat="1" customHeight="1" s="145">
      <c r="B36" s="168" t="n"/>
      <c r="C36" s="180" t="n"/>
      <c r="D36" s="118" t="inlineStr">
        <is>
          <t>06-01-02</t>
        </is>
      </c>
      <c r="E36" s="176" t="inlineStr">
        <is>
          <t>Маслосборник емкостью 50 м3.</t>
        </is>
      </c>
      <c r="F36" s="182" t="n">
        <v>803.62</v>
      </c>
      <c r="G36" s="182" t="n"/>
      <c r="H36" s="182" t="n"/>
      <c r="I36" s="181" t="n"/>
      <c r="J36" s="182" t="n">
        <v>803.62</v>
      </c>
    </row>
    <row r="37" ht="15.75" customFormat="1" customHeight="1" s="145">
      <c r="B37" s="203" t="inlineStr">
        <is>
          <t>Всего по объекту:</t>
        </is>
      </c>
      <c r="C37" s="199" t="n"/>
      <c r="D37" s="199" t="n"/>
      <c r="E37" s="200" t="n"/>
      <c r="F37" s="117" t="n">
        <v>803.62</v>
      </c>
      <c r="G37" s="117" t="n">
        <v>0</v>
      </c>
      <c r="H37" s="117" t="n">
        <v>0</v>
      </c>
      <c r="I37" s="117" t="n">
        <v>0</v>
      </c>
      <c r="J37" s="117" t="n">
        <v>803.62</v>
      </c>
    </row>
    <row r="38" ht="15.75" customFormat="1" customHeight="1" s="145">
      <c r="B38" s="203" t="inlineStr">
        <is>
          <t>Всего по объекту в сопоставимом уровне цен 1 кв. 2021г:</t>
        </is>
      </c>
      <c r="C38" s="199" t="n"/>
      <c r="D38" s="199" t="n"/>
      <c r="E38" s="200" t="n"/>
      <c r="F38" s="204" t="n">
        <v>803.62</v>
      </c>
      <c r="G38" s="204" t="n">
        <v>0</v>
      </c>
      <c r="H38" s="204" t="n">
        <v>0</v>
      </c>
      <c r="I38" s="204" t="n">
        <v>0</v>
      </c>
      <c r="J38" s="204" t="n">
        <v>803.62</v>
      </c>
    </row>
    <row r="39" ht="15.75" customFormat="1" customHeight="1" s="145">
      <c r="B39" s="152" t="n"/>
      <c r="C39" s="145" t="n"/>
      <c r="D39" s="145" t="n"/>
      <c r="E39" s="145" t="n"/>
      <c r="F39" s="145" t="n"/>
      <c r="G39" s="145" t="n"/>
      <c r="H39" s="145" t="n"/>
      <c r="I39" s="145" t="n"/>
      <c r="J39" s="145" t="n"/>
    </row>
    <row r="40" ht="15.75" customFormat="1" customHeight="1" s="145">
      <c r="B40" s="152" t="n"/>
      <c r="C40" s="145" t="n"/>
      <c r="D40" s="145" t="n"/>
      <c r="E40" s="145" t="n"/>
      <c r="F40" s="145" t="n"/>
      <c r="G40" s="145" t="n"/>
      <c r="H40" s="145" t="n"/>
      <c r="I40" s="145" t="n"/>
      <c r="J40" s="145" t="n"/>
    </row>
    <row r="41" ht="32.25" customFormat="1" customHeight="1" s="145">
      <c r="B41" s="168" t="inlineStr">
        <is>
          <t>№ п/п</t>
        </is>
      </c>
      <c r="C41" s="16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41" s="168" t="inlineStr">
        <is>
          <t>ВЛ 220 кВ Означенное-Степная (участок от опоры 64 до ПС 220 кВ Степная и ПС 220 кВ Степная с заходами ВЛ 220 кВ. Корректировка</t>
        </is>
      </c>
      <c r="E41" s="199" t="n"/>
      <c r="F41" s="199" t="n"/>
      <c r="G41" s="199" t="n"/>
      <c r="H41" s="199" t="n"/>
      <c r="I41" s="199" t="n"/>
      <c r="J41" s="200" t="n"/>
    </row>
    <row r="42" ht="15.75" customFormat="1" customHeight="1" s="145">
      <c r="B42" s="201" t="n"/>
      <c r="C42" s="201" t="n"/>
      <c r="D42" s="168" t="inlineStr">
        <is>
          <t>Номер сметы</t>
        </is>
      </c>
      <c r="E42" s="168" t="inlineStr">
        <is>
          <t>Наименование сметы</t>
        </is>
      </c>
      <c r="F42" s="168" t="inlineStr">
        <is>
          <t>Сметная стоимость в уровне цен 3 кв. 2019г., тыс. руб.</t>
        </is>
      </c>
      <c r="G42" s="199" t="n"/>
      <c r="H42" s="199" t="n"/>
      <c r="I42" s="199" t="n"/>
      <c r="J42" s="200" t="n"/>
    </row>
    <row r="43" ht="31.7" customFormat="1" customHeight="1" s="145">
      <c r="B43" s="202" t="n"/>
      <c r="C43" s="202" t="n"/>
      <c r="D43" s="202" t="n"/>
      <c r="E43" s="202" t="n"/>
      <c r="F43" s="168" t="inlineStr">
        <is>
          <t>Строительные работы</t>
        </is>
      </c>
      <c r="G43" s="168" t="inlineStr">
        <is>
          <t>Монтажные работы</t>
        </is>
      </c>
      <c r="H43" s="168" t="inlineStr">
        <is>
          <t>Оборудование</t>
        </is>
      </c>
      <c r="I43" s="168" t="inlineStr">
        <is>
          <t>Прочее</t>
        </is>
      </c>
      <c r="J43" s="168" t="inlineStr">
        <is>
          <t>Всего</t>
        </is>
      </c>
    </row>
    <row r="44" ht="19.5" customFormat="1" customHeight="1" s="145">
      <c r="B44" s="168" t="n"/>
      <c r="C44" s="180" t="n"/>
      <c r="D44" s="118" t="inlineStr">
        <is>
          <t>02-03-06</t>
        </is>
      </c>
      <c r="E44" s="176" t="inlineStr">
        <is>
          <t>ОРУ. Конструкции железобетонные</t>
        </is>
      </c>
      <c r="F44" s="182" t="n">
        <v>6339.91</v>
      </c>
      <c r="G44" s="182" t="n"/>
      <c r="H44" s="182" t="n"/>
      <c r="I44" s="181" t="n"/>
      <c r="J44" s="182" t="n">
        <v>6339.91</v>
      </c>
    </row>
    <row r="45" ht="15.75" customFormat="1" customHeight="1" s="145">
      <c r="B45" s="203" t="inlineStr">
        <is>
          <t>Всего по объекту:</t>
        </is>
      </c>
      <c r="C45" s="199" t="n"/>
      <c r="D45" s="199" t="n"/>
      <c r="E45" s="200" t="n"/>
      <c r="F45" s="117" t="n">
        <v>6339.91</v>
      </c>
      <c r="G45" s="117" t="n">
        <v>0</v>
      </c>
      <c r="H45" s="117" t="n">
        <v>0</v>
      </c>
      <c r="I45" s="117" t="n">
        <v>0</v>
      </c>
      <c r="J45" s="117" t="n">
        <v>6339.91</v>
      </c>
    </row>
    <row r="46" ht="15.75" customFormat="1" customHeight="1" s="145">
      <c r="B46" s="203" t="inlineStr">
        <is>
          <t>Всего по объекту в сопоставимом уровне цен 1 кв. 2021г:</t>
        </is>
      </c>
      <c r="C46" s="199" t="n"/>
      <c r="D46" s="199" t="n"/>
      <c r="E46" s="200" t="n"/>
      <c r="F46" s="204" t="n">
        <v>6949.2161486537</v>
      </c>
      <c r="G46" s="204" t="n">
        <v>0</v>
      </c>
      <c r="H46" s="204" t="n">
        <v>0</v>
      </c>
      <c r="I46" s="204" t="n">
        <v>0</v>
      </c>
      <c r="J46" s="204" t="n">
        <v>6949.2161486537</v>
      </c>
    </row>
    <row r="47" ht="15.75" customFormat="1" customHeight="1" s="145">
      <c r="B47" s="152" t="n"/>
    </row>
    <row r="48" ht="15.75" customFormat="1" customHeight="1" s="145">
      <c r="B48" s="152" t="n"/>
    </row>
    <row r="49" ht="15.75" customFormat="1" customHeight="1" s="145"/>
    <row r="50" ht="15.75" customFormat="1" customHeight="1" s="145">
      <c r="C50" s="145" t="inlineStr">
        <is>
          <t>Составил ______________________         М.С. Колотиевская</t>
        </is>
      </c>
    </row>
    <row r="51" ht="15.75" customFormat="1" customHeight="1" s="145">
      <c r="C51" s="98" t="inlineStr">
        <is>
          <t xml:space="preserve">                         (подпись, инициалы, фамилия)</t>
        </is>
      </c>
    </row>
    <row r="52" ht="15.75" customFormat="1" customHeight="1" s="145"/>
    <row r="53" ht="15.75" customHeight="1" s="143">
      <c r="B53" s="145" t="n"/>
      <c r="C53" s="145" t="inlineStr">
        <is>
          <t>Проверил ______________________          А.В. Костянецкая</t>
        </is>
      </c>
      <c r="D53" s="145" t="n"/>
      <c r="E53" s="145" t="n"/>
      <c r="F53" s="145" t="n"/>
      <c r="G53" s="145" t="n"/>
      <c r="H53" s="145" t="n"/>
      <c r="I53" s="145" t="n"/>
      <c r="J53" s="145" t="n"/>
    </row>
    <row r="54" ht="15.75" customHeight="1" s="143">
      <c r="B54" s="145" t="n"/>
      <c r="C54" s="98" t="inlineStr">
        <is>
          <t xml:space="preserve">                        (подпись, инициалы, фамилия)</t>
        </is>
      </c>
      <c r="D54" s="145" t="n"/>
      <c r="E54" s="145" t="n"/>
      <c r="F54" s="145" t="n"/>
      <c r="G54" s="145" t="n"/>
      <c r="H54" s="145" t="n"/>
      <c r="I54" s="145" t="n"/>
      <c r="J54" s="145" t="n"/>
    </row>
    <row r="55" ht="15.75" customHeight="1" s="143">
      <c r="B55" s="145" t="n"/>
      <c r="C55" s="145" t="n"/>
      <c r="D55" s="145" t="n"/>
      <c r="E55" s="145" t="n"/>
      <c r="F55" s="145" t="n"/>
      <c r="G55" s="145" t="n"/>
      <c r="H55" s="145" t="n"/>
      <c r="I55" s="145" t="n"/>
      <c r="J55" s="145" t="n"/>
    </row>
  </sheetData>
  <mergeCells count="44">
    <mergeCell ref="D9:J9"/>
    <mergeCell ref="F34:J34"/>
    <mergeCell ref="E42:E43"/>
    <mergeCell ref="C17:C19"/>
    <mergeCell ref="B30:E30"/>
    <mergeCell ref="D25:J25"/>
    <mergeCell ref="F10:J10"/>
    <mergeCell ref="B33:B35"/>
    <mergeCell ref="B6:K6"/>
    <mergeCell ref="E34:E35"/>
    <mergeCell ref="D33:J33"/>
    <mergeCell ref="E10:E11"/>
    <mergeCell ref="B45:E45"/>
    <mergeCell ref="B4:K4"/>
    <mergeCell ref="F42:J42"/>
    <mergeCell ref="F18:J18"/>
    <mergeCell ref="B25:B27"/>
    <mergeCell ref="B7:K7"/>
    <mergeCell ref="B41:B43"/>
    <mergeCell ref="C33:C35"/>
    <mergeCell ref="B46:E46"/>
    <mergeCell ref="B22:E22"/>
    <mergeCell ref="F26:J26"/>
    <mergeCell ref="B3:K3"/>
    <mergeCell ref="D18:D19"/>
    <mergeCell ref="B21:E21"/>
    <mergeCell ref="D42:D43"/>
    <mergeCell ref="C41:C43"/>
    <mergeCell ref="E26:E27"/>
    <mergeCell ref="B14:E14"/>
    <mergeCell ref="B17:B19"/>
    <mergeCell ref="D10:D11"/>
    <mergeCell ref="D41:J41"/>
    <mergeCell ref="C25:C27"/>
    <mergeCell ref="D17:J17"/>
    <mergeCell ref="D26:D27"/>
    <mergeCell ref="B13:E13"/>
    <mergeCell ref="E18:E19"/>
    <mergeCell ref="B38:E38"/>
    <mergeCell ref="B29:E29"/>
    <mergeCell ref="B9:B11"/>
    <mergeCell ref="D34:D35"/>
    <mergeCell ref="B37:E37"/>
    <mergeCell ref="C9:C11"/>
  </mergeCells>
  <pageMargins left="0.7" right="0.7" top="0.75" bottom="0.75" header="0.3" footer="0.3"/>
  <pageSetup orientation="portrait" paperSize="9" scale="4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88"/>
  <sheetViews>
    <sheetView view="pageBreakPreview" topLeftCell="A61" zoomScale="60" zoomScaleNormal="100" workbookViewId="0">
      <selection activeCell="B87" sqref="B87"/>
    </sheetView>
  </sheetViews>
  <sheetFormatPr baseColWidth="8" defaultColWidth="9.140625" defaultRowHeight="15"/>
  <cols>
    <col width="9.140625" customWidth="1" style="143" min="1" max="1"/>
    <col width="12.5703125" customWidth="1" style="143" min="2" max="2"/>
    <col width="17" customWidth="1" style="143" min="3" max="3"/>
    <col width="49.7109375" customWidth="1" style="143" min="4" max="4"/>
    <col width="16.28515625" customWidth="1" style="143" min="5" max="5"/>
    <col width="20.7109375" customWidth="1" style="143" min="6" max="6"/>
    <col width="16.140625" customWidth="1" style="143" min="7" max="7"/>
    <col width="16.7109375" customWidth="1" style="143" min="8" max="8"/>
    <col width="9.140625" customWidth="1" style="143" min="9" max="9"/>
  </cols>
  <sheetData>
    <row r="2" ht="15.75" customHeight="1" s="143">
      <c r="A2" s="150" t="inlineStr">
        <is>
          <t xml:space="preserve">Приложение № 3 </t>
        </is>
      </c>
    </row>
    <row r="3" ht="18.75" customHeight="1" s="143">
      <c r="A3" s="166" t="inlineStr">
        <is>
          <t>Объектная ресурсная ведомость</t>
        </is>
      </c>
    </row>
    <row r="4" ht="18.75" customHeight="1" s="143">
      <c r="A4" s="166" t="n"/>
      <c r="B4" s="166" t="n"/>
      <c r="C4" s="16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145" t="n"/>
      <c r="J4" s="145" t="n"/>
      <c r="K4" s="145" t="n"/>
      <c r="L4" s="145" t="n"/>
    </row>
    <row r="5" ht="18.75" customHeight="1" s="143">
      <c r="A5" s="166" t="n"/>
      <c r="B5" s="166" t="n"/>
      <c r="C5" s="167" t="n"/>
      <c r="D5" s="167" t="n"/>
      <c r="E5" s="167" t="n"/>
      <c r="F5" s="167" t="n"/>
      <c r="G5" s="167" t="n"/>
      <c r="H5" s="167" t="n"/>
      <c r="I5" s="145" t="n"/>
      <c r="J5" s="145" t="n"/>
      <c r="K5" s="145" t="n"/>
      <c r="L5" s="145" t="n"/>
    </row>
    <row r="6" ht="18.75" customHeight="1" s="143">
      <c r="A6" s="111" t="n"/>
    </row>
    <row r="7" ht="15.75" customHeight="1" s="143">
      <c r="A7" s="153" t="inlineStr">
        <is>
          <t>Наименование разрабатываемого показателя УНЦ -  Маслосборник</t>
        </is>
      </c>
    </row>
    <row r="8" ht="15.75" customFormat="1" customHeight="1" s="145">
      <c r="A8" s="18" t="n"/>
      <c r="B8" s="18" t="n"/>
      <c r="C8" s="18" t="n"/>
      <c r="D8" s="18" t="n"/>
      <c r="E8" s="18" t="n"/>
      <c r="F8" s="18" t="n"/>
      <c r="G8" s="18" t="n"/>
      <c r="H8" s="18" t="n"/>
    </row>
    <row r="9" ht="38.25" customFormat="1" customHeight="1" s="145">
      <c r="A9" s="168" t="inlineStr">
        <is>
          <t>п/п</t>
        </is>
      </c>
      <c r="B9" s="168" t="inlineStr">
        <is>
          <t>№ЛСР</t>
        </is>
      </c>
      <c r="C9" s="168" t="inlineStr">
        <is>
          <t>Код ресурса</t>
        </is>
      </c>
      <c r="D9" s="168" t="inlineStr">
        <is>
          <t>Наименование ресурса</t>
        </is>
      </c>
      <c r="E9" s="168" t="inlineStr">
        <is>
          <t>Ед. изм.</t>
        </is>
      </c>
      <c r="F9" s="168" t="inlineStr">
        <is>
          <t>Кол-во единиц по данным объекта-представителя</t>
        </is>
      </c>
      <c r="G9" s="168" t="inlineStr">
        <is>
          <t>Сметная стоимость в ценах на 01.01.2000 (руб.)</t>
        </is>
      </c>
      <c r="H9" s="200" t="n"/>
    </row>
    <row r="10" ht="40.7" customFormat="1" customHeight="1" s="145">
      <c r="A10" s="202" t="n"/>
      <c r="B10" s="202" t="n"/>
      <c r="C10" s="202" t="n"/>
      <c r="D10" s="202" t="n"/>
      <c r="E10" s="202" t="n"/>
      <c r="F10" s="202" t="n"/>
      <c r="G10" s="168" t="inlineStr">
        <is>
          <t>на ед.изм.</t>
        </is>
      </c>
      <c r="H10" s="168" t="inlineStr">
        <is>
          <t>общая</t>
        </is>
      </c>
    </row>
    <row r="11" ht="15.75" customFormat="1" customHeight="1" s="145">
      <c r="A11" s="168" t="n">
        <v>1</v>
      </c>
      <c r="B11" s="168" t="n"/>
      <c r="C11" s="168" t="n">
        <v>2</v>
      </c>
      <c r="D11" s="168" t="inlineStr">
        <is>
          <t>З</t>
        </is>
      </c>
      <c r="E11" s="168" t="n">
        <v>4</v>
      </c>
      <c r="F11" s="168" t="n">
        <v>5</v>
      </c>
      <c r="G11" s="17" t="n">
        <v>6</v>
      </c>
      <c r="H11" s="17" t="n">
        <v>7</v>
      </c>
    </row>
    <row r="12" ht="15.75" customFormat="1" customHeight="1" s="15">
      <c r="A12" s="163" t="inlineStr">
        <is>
          <t>Затраты труда рабочих</t>
        </is>
      </c>
      <c r="B12" s="199" t="n"/>
      <c r="C12" s="199" t="n"/>
      <c r="D12" s="199" t="n"/>
      <c r="E12" s="200" t="n"/>
      <c r="F12" s="163" t="n">
        <v>262.436979</v>
      </c>
      <c r="G12" s="20" t="n"/>
      <c r="H12" s="20">
        <f>SUM(H13:H22)</f>
        <v/>
      </c>
    </row>
    <row r="13" ht="15.75" customFormat="1" customHeight="1" s="145">
      <c r="A13" s="164" t="n">
        <v>1</v>
      </c>
      <c r="B13" s="164" t="n"/>
      <c r="C13" s="165" t="inlineStr">
        <is>
          <t>1-100-36</t>
        </is>
      </c>
      <c r="D13" s="165" t="inlineStr">
        <is>
          <t>Затраты труда рабочих (ср 3,6)</t>
        </is>
      </c>
      <c r="E13" s="164" t="inlineStr">
        <is>
          <t>чел.-ч</t>
        </is>
      </c>
      <c r="F13" s="164" t="n">
        <v>88.5</v>
      </c>
      <c r="G13" s="169" t="n">
        <v>9.18</v>
      </c>
      <c r="H13" s="169">
        <f>ROUND(F13*G13,2)</f>
        <v/>
      </c>
    </row>
    <row r="14" ht="15.75" customFormat="1" customHeight="1" s="145">
      <c r="A14" s="164" t="n">
        <v>2</v>
      </c>
      <c r="B14" s="164" t="n"/>
      <c r="C14" s="165" t="inlineStr">
        <is>
          <t>1-100-30</t>
        </is>
      </c>
      <c r="D14" s="165" t="inlineStr">
        <is>
          <t>Затраты труда рабочих (ср 3)</t>
        </is>
      </c>
      <c r="E14" s="164" t="inlineStr">
        <is>
          <t>чел.-ч</t>
        </is>
      </c>
      <c r="F14" s="164" t="n">
        <v>92.167828</v>
      </c>
      <c r="G14" s="169" t="n">
        <v>8.529999999999999</v>
      </c>
      <c r="H14" s="169">
        <f>ROUND(F14*G14,2)</f>
        <v/>
      </c>
    </row>
    <row r="15" ht="15.75" customFormat="1" customHeight="1" s="145">
      <c r="A15" s="164" t="n">
        <v>3</v>
      </c>
      <c r="B15" s="164" t="n"/>
      <c r="C15" s="165" t="inlineStr">
        <is>
          <t>1-100-22</t>
        </is>
      </c>
      <c r="D15" s="165" t="inlineStr">
        <is>
          <t>Затраты труда рабочих (ср 2,2)</t>
        </is>
      </c>
      <c r="E15" s="164" t="inlineStr">
        <is>
          <t>чел.-ч</t>
        </is>
      </c>
      <c r="F15" s="164" t="n">
        <v>56.532</v>
      </c>
      <c r="G15" s="169" t="n">
        <v>7.94</v>
      </c>
      <c r="H15" s="169">
        <f>ROUND(F15*G15,2)</f>
        <v/>
      </c>
    </row>
    <row r="16" ht="15.75" customFormat="1" customHeight="1" s="145">
      <c r="A16" s="164" t="n">
        <v>4</v>
      </c>
      <c r="B16" s="164" t="n"/>
      <c r="C16" s="165" t="inlineStr">
        <is>
          <t>1-100-32</t>
        </is>
      </c>
      <c r="D16" s="165" t="inlineStr">
        <is>
          <t>Затраты труда рабочих (ср 3,2)</t>
        </is>
      </c>
      <c r="E16" s="164" t="inlineStr">
        <is>
          <t>чел.-ч</t>
        </is>
      </c>
      <c r="F16" s="164" t="n">
        <v>7.1278</v>
      </c>
      <c r="G16" s="169" t="n">
        <v>8.74</v>
      </c>
      <c r="H16" s="169">
        <f>ROUND(F16*G16,2)</f>
        <v/>
      </c>
    </row>
    <row r="17" ht="15.75" customFormat="1" customHeight="1" s="145">
      <c r="A17" s="164" t="n">
        <v>5</v>
      </c>
      <c r="B17" s="164" t="n"/>
      <c r="C17" s="165" t="inlineStr">
        <is>
          <t>1-100-50</t>
        </is>
      </c>
      <c r="D17" s="165" t="inlineStr">
        <is>
          <t>Затраты труда рабочих (ср 5)</t>
        </is>
      </c>
      <c r="E17" s="164" t="inlineStr">
        <is>
          <t>чел.-ч</t>
        </is>
      </c>
      <c r="F17" s="164" t="n">
        <v>3.855591</v>
      </c>
      <c r="G17" s="169" t="n">
        <v>11.09</v>
      </c>
      <c r="H17" s="169">
        <f>ROUND(F17*G17,2)</f>
        <v/>
      </c>
    </row>
    <row r="18" ht="15.75" customFormat="1" customHeight="1" s="145">
      <c r="A18" s="164" t="n">
        <v>6</v>
      </c>
      <c r="B18" s="164" t="n"/>
      <c r="C18" s="165" t="inlineStr">
        <is>
          <t>1-100-35</t>
        </is>
      </c>
      <c r="D18" s="165" t="inlineStr">
        <is>
          <t>Затраты труда рабочих (ср 3,5)</t>
        </is>
      </c>
      <c r="E18" s="164" t="inlineStr">
        <is>
          <t>чел.-ч</t>
        </is>
      </c>
      <c r="F18" s="164" t="n">
        <v>4.239</v>
      </c>
      <c r="G18" s="169" t="n">
        <v>9.07</v>
      </c>
      <c r="H18" s="169">
        <f>ROUND(F18*G18,2)</f>
        <v/>
      </c>
    </row>
    <row r="19" ht="15.75" customFormat="1" customHeight="1" s="145">
      <c r="A19" s="164" t="n">
        <v>7</v>
      </c>
      <c r="B19" s="164" t="n"/>
      <c r="C19" s="165" t="inlineStr">
        <is>
          <t>1-100-20</t>
        </is>
      </c>
      <c r="D19" s="165" t="inlineStr">
        <is>
          <t>Затраты труда рабочих (ср 2)</t>
        </is>
      </c>
      <c r="E19" s="164" t="inlineStr">
        <is>
          <t>чел.-ч</t>
        </is>
      </c>
      <c r="F19" s="164" t="n">
        <v>4.82256</v>
      </c>
      <c r="G19" s="169" t="n">
        <v>7.8</v>
      </c>
      <c r="H19" s="169">
        <f>ROUND(F19*G19,2)</f>
        <v/>
      </c>
    </row>
    <row r="20" ht="15.75" customFormat="1" customHeight="1" s="145">
      <c r="A20" s="164" t="n">
        <v>8</v>
      </c>
      <c r="B20" s="164" t="n"/>
      <c r="C20" s="165" t="inlineStr">
        <is>
          <t>1-100-49</t>
        </is>
      </c>
      <c r="D20" s="165" t="inlineStr">
        <is>
          <t>Затраты труда рабочих (ср 4,9)</t>
        </is>
      </c>
      <c r="E20" s="164" t="inlineStr">
        <is>
          <t>чел.-ч</t>
        </is>
      </c>
      <c r="F20" s="164" t="n">
        <v>3.0772</v>
      </c>
      <c r="G20" s="169" t="n">
        <v>10.94</v>
      </c>
      <c r="H20" s="169">
        <f>ROUND(F20*G20,2)</f>
        <v/>
      </c>
    </row>
    <row r="21" ht="15.75" customFormat="1" customHeight="1" s="145">
      <c r="A21" s="164" t="n">
        <v>9</v>
      </c>
      <c r="B21" s="164" t="n"/>
      <c r="C21" s="165" t="inlineStr">
        <is>
          <t>1-100-33</t>
        </is>
      </c>
      <c r="D21" s="165" t="inlineStr">
        <is>
          <t>Затраты труда рабочих (ср 3,3)</t>
        </is>
      </c>
      <c r="E21" s="164" t="inlineStr">
        <is>
          <t>чел.-ч</t>
        </is>
      </c>
      <c r="F21" s="164" t="n">
        <v>1.62</v>
      </c>
      <c r="G21" s="169" t="n">
        <v>8.859999999999999</v>
      </c>
      <c r="H21" s="169">
        <f>ROUND(F21*G21,2)</f>
        <v/>
      </c>
    </row>
    <row r="22" ht="15.75" customFormat="1" customHeight="1" s="145">
      <c r="A22" s="164" t="n">
        <v>10</v>
      </c>
      <c r="B22" s="164" t="n"/>
      <c r="C22" s="165" t="inlineStr">
        <is>
          <t>1-100-38</t>
        </is>
      </c>
      <c r="D22" s="165" t="inlineStr">
        <is>
          <t>Затраты труда рабочих (ср 3,8)</t>
        </is>
      </c>
      <c r="E22" s="164" t="inlineStr">
        <is>
          <t>чел.-ч</t>
        </is>
      </c>
      <c r="F22" s="164" t="n">
        <v>0.495</v>
      </c>
      <c r="G22" s="169" t="n">
        <v>9.4</v>
      </c>
      <c r="H22" s="169">
        <f>ROUND(F22*G22,2)</f>
        <v/>
      </c>
    </row>
    <row r="23" ht="15.75" customFormat="1" customHeight="1" s="15">
      <c r="A23" s="163" t="inlineStr">
        <is>
          <t>Затраты труда машинистов</t>
        </is>
      </c>
      <c r="B23" s="199" t="n"/>
      <c r="C23" s="199" t="n"/>
      <c r="D23" s="199" t="n"/>
      <c r="E23" s="200" t="n"/>
      <c r="F23" s="163" t="n">
        <v>62.9350226</v>
      </c>
      <c r="G23" s="20" t="n"/>
      <c r="H23" s="20">
        <f>SUM(H24:H24)</f>
        <v/>
      </c>
    </row>
    <row r="24" ht="15.75" customFormat="1" customHeight="1" s="145">
      <c r="A24" s="164" t="n">
        <v>11</v>
      </c>
      <c r="B24" s="164" t="n"/>
      <c r="C24" s="165" t="n">
        <v>2</v>
      </c>
      <c r="D24" s="165" t="inlineStr">
        <is>
          <t>Затраты труда машинистов</t>
        </is>
      </c>
      <c r="E24" s="164" t="inlineStr">
        <is>
          <t>чел.-ч</t>
        </is>
      </c>
      <c r="F24" s="164" t="n">
        <v>62.9350226</v>
      </c>
      <c r="G24" s="169" t="n">
        <v>13.19</v>
      </c>
      <c r="H24" s="169">
        <f>ROUND(F24*G24,2)</f>
        <v/>
      </c>
    </row>
    <row r="25" ht="15.75" customFormat="1" customHeight="1" s="15">
      <c r="A25" s="163" t="inlineStr">
        <is>
          <t>Машины и механизмы</t>
        </is>
      </c>
      <c r="B25" s="199" t="n"/>
      <c r="C25" s="199" t="n"/>
      <c r="D25" s="199" t="n"/>
      <c r="E25" s="200" t="n"/>
      <c r="F25" s="163" t="n"/>
      <c r="G25" s="20" t="n"/>
      <c r="H25" s="20">
        <f>SUM(H26:H47)</f>
        <v/>
      </c>
    </row>
    <row r="26" ht="47.25" customFormat="1" customHeight="1" s="145">
      <c r="A26" s="164" t="n">
        <v>12</v>
      </c>
      <c r="B26" s="164" t="n"/>
      <c r="C26" s="25" t="inlineStr">
        <is>
          <t>91.18.01-007</t>
        </is>
      </c>
      <c r="D26" s="16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6" s="164" t="inlineStr">
        <is>
          <t>маш.час</t>
        </is>
      </c>
      <c r="F26" s="164" t="n">
        <v>27.705</v>
      </c>
      <c r="G26" s="169" t="n">
        <v>90</v>
      </c>
      <c r="H26" s="169">
        <f>ROUND(F26*G26,2)</f>
        <v/>
      </c>
    </row>
    <row r="27" ht="31.7" customFormat="1" customHeight="1" s="145">
      <c r="A27" s="164" t="n">
        <v>13</v>
      </c>
      <c r="B27" s="164" t="n"/>
      <c r="C27" s="25" t="inlineStr">
        <is>
          <t>91.01.05-085</t>
        </is>
      </c>
      <c r="D27" s="165" t="inlineStr">
        <is>
          <t>Экскаваторы одноковшовые дизельные на гусеничном ходу, емкость ковша 0,5 м3</t>
        </is>
      </c>
      <c r="E27" s="164" t="inlineStr">
        <is>
          <t>маш.час</t>
        </is>
      </c>
      <c r="F27" s="164" t="n">
        <v>8.3331</v>
      </c>
      <c r="G27" s="169" t="n">
        <v>100</v>
      </c>
      <c r="H27" s="169">
        <f>ROUND(F27*G27,2)</f>
        <v/>
      </c>
    </row>
    <row r="28" ht="15.75" customFormat="1" customHeight="1" s="145">
      <c r="A28" s="164" t="n">
        <v>14</v>
      </c>
      <c r="B28" s="164" t="n"/>
      <c r="C28" s="25" t="inlineStr">
        <is>
          <t>91.21.03-011</t>
        </is>
      </c>
      <c r="D28" s="165" t="inlineStr">
        <is>
          <t>Аппараты дробеструйные</t>
        </is>
      </c>
      <c r="E28" s="164" t="inlineStr">
        <is>
          <t>маш.час</t>
        </is>
      </c>
      <c r="F28" s="164" t="n">
        <v>22.765</v>
      </c>
      <c r="G28" s="169" t="n">
        <v>28.73</v>
      </c>
      <c r="H28" s="169">
        <f>ROUND(F28*G28,2)</f>
        <v/>
      </c>
    </row>
    <row r="29" ht="31.7" customFormat="1" customHeight="1" s="145">
      <c r="A29" s="164" t="n">
        <v>15</v>
      </c>
      <c r="B29" s="164" t="n"/>
      <c r="C29" s="25" t="inlineStr">
        <is>
          <t>91.05.08-006</t>
        </is>
      </c>
      <c r="D29" s="165" t="inlineStr">
        <is>
          <t>Краны на пневмоколесном ходу, грузоподъемность 16 т</t>
        </is>
      </c>
      <c r="E29" s="164" t="inlineStr">
        <is>
          <t>маш.час</t>
        </is>
      </c>
      <c r="F29" s="164" t="n">
        <v>4.8</v>
      </c>
      <c r="G29" s="169" t="n">
        <v>131.16</v>
      </c>
      <c r="H29" s="169">
        <f>ROUND(F29*G29,2)</f>
        <v/>
      </c>
    </row>
    <row r="30" ht="15.75" customFormat="1" customHeight="1" s="145">
      <c r="A30" s="164" t="n">
        <v>16</v>
      </c>
      <c r="B30" s="164" t="n"/>
      <c r="C30" s="25" t="inlineStr">
        <is>
          <t>91.14.02-001</t>
        </is>
      </c>
      <c r="D30" s="165" t="inlineStr">
        <is>
          <t>Автомобили бортовые, грузоподъемность до 5 т</t>
        </is>
      </c>
      <c r="E30" s="164" t="inlineStr">
        <is>
          <t>маш.час</t>
        </is>
      </c>
      <c r="F30" s="164" t="n">
        <v>7.2253233</v>
      </c>
      <c r="G30" s="169" t="n">
        <v>65.70999999999999</v>
      </c>
      <c r="H30" s="169">
        <f>ROUND(F30*G30,2)</f>
        <v/>
      </c>
    </row>
    <row r="31" ht="47.25" customFormat="1" customHeight="1" s="145">
      <c r="A31" s="164" t="n">
        <v>17</v>
      </c>
      <c r="B31" s="164" t="n"/>
      <c r="C31" s="25" t="inlineStr">
        <is>
          <t>91.06.05-057</t>
        </is>
      </c>
      <c r="D31" s="165" t="inlineStr">
        <is>
          <t>Погрузчики одноковшовые универсальные фронтальные пневмоколесные, грузоподъемность 3 т</t>
        </is>
      </c>
      <c r="E31" s="164" t="inlineStr">
        <is>
          <t>маш.час</t>
        </is>
      </c>
      <c r="F31" s="164" t="n">
        <v>4.893</v>
      </c>
      <c r="G31" s="169" t="n">
        <v>90.40000000000001</v>
      </c>
      <c r="H31" s="169">
        <f>ROUND(F31*G31,2)</f>
        <v/>
      </c>
    </row>
    <row r="32" ht="15.75" customFormat="1" customHeight="1" s="145">
      <c r="A32" s="164" t="n">
        <v>18</v>
      </c>
      <c r="B32" s="164" t="n"/>
      <c r="C32" s="25" t="inlineStr">
        <is>
          <t>91.01.01-035</t>
        </is>
      </c>
      <c r="D32" s="165" t="inlineStr">
        <is>
          <t>Бульдозеры, мощность 79 кВт (108 л.с.)</t>
        </is>
      </c>
      <c r="E32" s="164" t="inlineStr">
        <is>
          <t>маш.час</t>
        </is>
      </c>
      <c r="F32" s="164" t="n">
        <v>3.844455</v>
      </c>
      <c r="G32" s="169" t="n">
        <v>79.06999999999999</v>
      </c>
      <c r="H32" s="169">
        <f>ROUND(F32*G32,2)</f>
        <v/>
      </c>
    </row>
    <row r="33" ht="31.7" customFormat="1" customHeight="1" s="145">
      <c r="A33" s="164" t="n">
        <v>19</v>
      </c>
      <c r="B33" s="164" t="n"/>
      <c r="C33" s="25" t="inlineStr">
        <is>
          <t>91.05.06-012</t>
        </is>
      </c>
      <c r="D33" s="165" t="inlineStr">
        <is>
          <t>Краны на гусеничном ходу, грузоподъемность до 16 т</t>
        </is>
      </c>
      <c r="E33" s="164" t="inlineStr">
        <is>
          <t>маш.час</t>
        </is>
      </c>
      <c r="F33" s="164" t="n">
        <v>1.8</v>
      </c>
      <c r="G33" s="169" t="n">
        <v>96.89</v>
      </c>
      <c r="H33" s="169">
        <f>ROUND(F33*G33,2)</f>
        <v/>
      </c>
    </row>
    <row r="34" ht="31.7" customFormat="1" customHeight="1" s="145">
      <c r="A34" s="164" t="n">
        <v>20</v>
      </c>
      <c r="B34" s="164" t="n"/>
      <c r="C34" s="25" t="inlineStr">
        <is>
          <t>91.17.04-033</t>
        </is>
      </c>
      <c r="D34" s="165" t="inlineStr">
        <is>
          <t>Агрегаты сварочные двухпостовые для ручной сварки на тракторе, мощность 79 кВт (108 л.с.)</t>
        </is>
      </c>
      <c r="E34" s="164" t="inlineStr">
        <is>
          <t>маш.час</t>
        </is>
      </c>
      <c r="F34" s="164" t="n">
        <v>1.1357163</v>
      </c>
      <c r="G34" s="169" t="n">
        <v>133.97</v>
      </c>
      <c r="H34" s="169">
        <f>ROUND(F34*G34,2)</f>
        <v/>
      </c>
    </row>
    <row r="35" ht="15.75" customFormat="1" customHeight="1" s="145">
      <c r="A35" s="164" t="n">
        <v>21</v>
      </c>
      <c r="B35" s="164" t="n"/>
      <c r="C35" s="25" t="inlineStr">
        <is>
          <t>91.06.05-011</t>
        </is>
      </c>
      <c r="D35" s="165" t="inlineStr">
        <is>
          <t>Погрузчики, грузоподъемность 5 т</t>
        </is>
      </c>
      <c r="E35" s="164" t="inlineStr">
        <is>
          <t>маш.час</t>
        </is>
      </c>
      <c r="F35" s="164" t="n">
        <v>1.68666</v>
      </c>
      <c r="G35" s="169" t="n">
        <v>89.98999999999999</v>
      </c>
      <c r="H35" s="169">
        <f>ROUND(F35*G35,2)</f>
        <v/>
      </c>
    </row>
    <row r="36" ht="31.7" customFormat="1" customHeight="1" s="145">
      <c r="A36" s="164" t="n">
        <v>22</v>
      </c>
      <c r="B36" s="164" t="n"/>
      <c r="C36" s="25" t="inlineStr">
        <is>
          <t>91.08.09-024</t>
        </is>
      </c>
      <c r="D36" s="165" t="inlineStr">
        <is>
          <t>Трамбовки пневматические при работе от стационарного компрессора</t>
        </is>
      </c>
      <c r="E36" s="164" t="inlineStr">
        <is>
          <t>маш.час</t>
        </is>
      </c>
      <c r="F36" s="164" t="n">
        <v>25.476</v>
      </c>
      <c r="G36" s="169" t="n">
        <v>4.91</v>
      </c>
      <c r="H36" s="169">
        <f>ROUND(F36*G36,2)</f>
        <v/>
      </c>
    </row>
    <row r="37" ht="15.75" customFormat="1" customHeight="1" s="145">
      <c r="A37" s="164" t="n">
        <v>23</v>
      </c>
      <c r="B37" s="164" t="n"/>
      <c r="C37" s="25" t="inlineStr">
        <is>
          <t>91.01.01-036</t>
        </is>
      </c>
      <c r="D37" s="165" t="inlineStr">
        <is>
          <t>Бульдозеры, мощность 96 кВт (130 л.с.)</t>
        </is>
      </c>
      <c r="E37" s="164" t="inlineStr">
        <is>
          <t>маш.час</t>
        </is>
      </c>
      <c r="F37" s="164" t="n">
        <v>1.03273</v>
      </c>
      <c r="G37" s="169" t="n">
        <v>94.05</v>
      </c>
      <c r="H37" s="169">
        <f>ROUND(F37*G37,2)</f>
        <v/>
      </c>
    </row>
    <row r="38" ht="31.7" customFormat="1" customHeight="1" s="145">
      <c r="A38" s="164" t="n">
        <v>24</v>
      </c>
      <c r="B38" s="164" t="n"/>
      <c r="C38" s="25" t="inlineStr">
        <is>
          <t>91.05.05-015</t>
        </is>
      </c>
      <c r="D38" s="165" t="inlineStr">
        <is>
          <t>Краны на автомобильном ходу, грузоподъемность 16 т</t>
        </is>
      </c>
      <c r="E38" s="164" t="inlineStr">
        <is>
          <t>маш.час</t>
        </is>
      </c>
      <c r="F38" s="164" t="n">
        <v>0.42502</v>
      </c>
      <c r="G38" s="169" t="n">
        <v>115.4</v>
      </c>
      <c r="H38" s="169">
        <f>ROUND(F38*G38,2)</f>
        <v/>
      </c>
    </row>
    <row r="39" ht="31.7" customFormat="1" customHeight="1" s="145">
      <c r="A39" s="164" t="n">
        <v>25</v>
      </c>
      <c r="B39" s="164" t="n"/>
      <c r="C39" s="25" t="inlineStr">
        <is>
          <t>91.17.04-233</t>
        </is>
      </c>
      <c r="D39" s="165" t="inlineStr">
        <is>
          <t>Установки для сварки ручной дуговой (постоянного тока)</t>
        </is>
      </c>
      <c r="E39" s="164" t="inlineStr">
        <is>
          <t>маш.час</t>
        </is>
      </c>
      <c r="F39" s="164" t="n">
        <v>4.887</v>
      </c>
      <c r="G39" s="169" t="n">
        <v>8.1</v>
      </c>
      <c r="H39" s="169">
        <f>ROUND(F39*G39,2)</f>
        <v/>
      </c>
    </row>
    <row r="40" ht="31.7" customFormat="1" customHeight="1" s="145">
      <c r="A40" s="164" t="n">
        <v>26</v>
      </c>
      <c r="B40" s="164" t="n"/>
      <c r="C40" s="25" t="inlineStr">
        <is>
          <t>91.21.22-638</t>
        </is>
      </c>
      <c r="D40" s="165" t="inlineStr">
        <is>
          <t>Пылесосы промышленные, мощность до 2000 Вт</t>
        </is>
      </c>
      <c r="E40" s="164" t="inlineStr">
        <is>
          <t>маш.час</t>
        </is>
      </c>
      <c r="F40" s="164" t="n">
        <v>7.87562</v>
      </c>
      <c r="G40" s="169" t="n">
        <v>3.29</v>
      </c>
      <c r="H40" s="169">
        <f>ROUND(F40*G40,2)</f>
        <v/>
      </c>
    </row>
    <row r="41" ht="47.25" customFormat="1" customHeight="1" s="145">
      <c r="A41" s="164" t="n">
        <v>27</v>
      </c>
      <c r="B41" s="164" t="n"/>
      <c r="C41" s="25" t="inlineStr">
        <is>
          <t>91.21.01-012</t>
        </is>
      </c>
      <c r="D41" s="165" t="inlineStr">
        <is>
          <t>Агрегаты окрасочные высокого давления для окраски поверхностей конструкций, мощность 1 кВт</t>
        </is>
      </c>
      <c r="E41" s="164" t="inlineStr">
        <is>
          <t>маш.час</t>
        </is>
      </c>
      <c r="F41" s="164" t="n">
        <v>2.48845</v>
      </c>
      <c r="G41" s="169" t="n">
        <v>6.82</v>
      </c>
      <c r="H41" s="169">
        <f>ROUND(F41*G41,2)</f>
        <v/>
      </c>
    </row>
    <row r="42" ht="31.7" customFormat="1" customHeight="1" s="145">
      <c r="A42" s="164" t="n">
        <v>28</v>
      </c>
      <c r="B42" s="164" t="n"/>
      <c r="C42" s="25" t="inlineStr">
        <is>
          <t>91.14.03-001</t>
        </is>
      </c>
      <c r="D42" s="165" t="inlineStr">
        <is>
          <t>Автомобили-самосвалы, грузоподъемность до 7 т</t>
        </is>
      </c>
      <c r="E42" s="164" t="inlineStr">
        <is>
          <t>маш.час</t>
        </is>
      </c>
      <c r="F42" s="164" t="n">
        <v>0.02364</v>
      </c>
      <c r="G42" s="169" t="n">
        <v>89.54000000000001</v>
      </c>
      <c r="H42" s="169">
        <f>ROUND(F42*G42,2)</f>
        <v/>
      </c>
    </row>
    <row r="43" ht="31.7" customFormat="1" customHeight="1" s="145">
      <c r="A43" s="164" t="n">
        <v>29</v>
      </c>
      <c r="B43" s="164" t="n"/>
      <c r="C43" s="25" t="inlineStr">
        <is>
          <t>91.06.03-060</t>
        </is>
      </c>
      <c r="D43" s="165" t="inlineStr">
        <is>
          <t>Лебедки электрические тяговым усилием до 5,79 кН (0,59 т)</t>
        </is>
      </c>
      <c r="E43" s="164" t="inlineStr">
        <is>
          <t>маш.час</t>
        </is>
      </c>
      <c r="F43" s="164" t="n">
        <v>0.8164</v>
      </c>
      <c r="G43" s="169" t="n">
        <v>1.7</v>
      </c>
      <c r="H43" s="169">
        <f>ROUND(F43*G43,2)</f>
        <v/>
      </c>
    </row>
    <row r="44" ht="31.7" customFormat="1" customHeight="1" s="145">
      <c r="A44" s="164" t="n">
        <v>30</v>
      </c>
      <c r="B44" s="164" t="n"/>
      <c r="C44" s="25" t="inlineStr">
        <is>
          <t>91.06.06-048</t>
        </is>
      </c>
      <c r="D44" s="165" t="inlineStr">
        <is>
          <t>Подъемники одномачтовые, грузоподъемность до 500 кг, высота подъема 45 м</t>
        </is>
      </c>
      <c r="E44" s="164" t="inlineStr">
        <is>
          <t>маш.час</t>
        </is>
      </c>
      <c r="F44" s="164" t="n">
        <v>0.030378</v>
      </c>
      <c r="G44" s="169" t="n">
        <v>31.26</v>
      </c>
      <c r="H44" s="169">
        <f>ROUND(F44*G44,2)</f>
        <v/>
      </c>
    </row>
    <row r="45" ht="15.75" customFormat="1" customHeight="1" s="145">
      <c r="A45" s="164" t="n">
        <v>31</v>
      </c>
      <c r="B45" s="164" t="n"/>
      <c r="C45" s="25" t="inlineStr">
        <is>
          <t>91.17.04-042</t>
        </is>
      </c>
      <c r="D45" s="165" t="inlineStr">
        <is>
          <t>Аппараты для газовой сварки и резки</t>
        </is>
      </c>
      <c r="E45" s="164" t="inlineStr">
        <is>
          <t>маш.час</t>
        </is>
      </c>
      <c r="F45" s="164" t="n">
        <v>0.3</v>
      </c>
      <c r="G45" s="169" t="n">
        <v>1.2</v>
      </c>
      <c r="H45" s="169">
        <f>ROUND(F45*G45,2)</f>
        <v/>
      </c>
    </row>
    <row r="46" ht="31.7" customFormat="1" customHeight="1" s="145">
      <c r="A46" s="164" t="n">
        <v>32</v>
      </c>
      <c r="B46" s="164" t="n"/>
      <c r="C46" s="25" t="inlineStr">
        <is>
          <t>91.08.09-023</t>
        </is>
      </c>
      <c r="D46" s="165" t="inlineStr">
        <is>
          <t>Трамбовки пневматические при работе от передвижных компрессорных станций</t>
        </is>
      </c>
      <c r="E46" s="164" t="inlineStr">
        <is>
          <t>маш.час</t>
        </is>
      </c>
      <c r="F46" s="164" t="n">
        <v>0.465</v>
      </c>
      <c r="G46" s="169" t="n">
        <v>0.55</v>
      </c>
      <c r="H46" s="169">
        <f>ROUND(F46*G46,2)</f>
        <v/>
      </c>
    </row>
    <row r="47" ht="15.75" customFormat="1" customHeight="1" s="145">
      <c r="A47" s="164" t="n">
        <v>33</v>
      </c>
      <c r="B47" s="164" t="n"/>
      <c r="C47" s="25" t="inlineStr">
        <is>
          <t>91.07.04-002</t>
        </is>
      </c>
      <c r="D47" s="165" t="inlineStr">
        <is>
          <t>Вибраторы поверхностные</t>
        </is>
      </c>
      <c r="E47" s="164" t="inlineStr">
        <is>
          <t>маш.час</t>
        </is>
      </c>
      <c r="F47" s="164" t="n">
        <v>0.124806</v>
      </c>
      <c r="G47" s="169" t="n">
        <v>0.5</v>
      </c>
      <c r="H47" s="169">
        <f>ROUND(F47*G47,2)</f>
        <v/>
      </c>
    </row>
    <row r="48" ht="15.75" customFormat="1" customHeight="1" s="15">
      <c r="A48" s="163" t="inlineStr">
        <is>
          <t>Материалы</t>
        </is>
      </c>
      <c r="B48" s="199" t="n"/>
      <c r="C48" s="199" t="n"/>
      <c r="D48" s="199" t="n"/>
      <c r="E48" s="200" t="n"/>
      <c r="F48" s="163" t="n"/>
      <c r="G48" s="20" t="n"/>
      <c r="H48" s="20">
        <f>SUM(H49:H79)</f>
        <v/>
      </c>
    </row>
    <row r="49" ht="31.7" customFormat="1" customHeight="1" s="145">
      <c r="A49" s="164" t="n">
        <v>34</v>
      </c>
      <c r="B49" s="164" t="n"/>
      <c r="C49" s="25" t="inlineStr">
        <is>
          <t>02.2.05.01-0010</t>
        </is>
      </c>
      <c r="D49" s="165" t="inlineStr">
        <is>
          <t>Керамзит щебневидный М 250, фракция 10-20 мм</t>
        </is>
      </c>
      <c r="E49" s="164" t="inlineStr">
        <is>
          <t>м3</t>
        </is>
      </c>
      <c r="F49" s="164" t="n">
        <v>178.09</v>
      </c>
      <c r="G49" s="169" t="n">
        <v>265.72</v>
      </c>
      <c r="H49" s="169">
        <f>ROUND(F49*G49,2)</f>
        <v/>
      </c>
    </row>
    <row r="50" ht="31.7" customFormat="1" customHeight="1" s="145">
      <c r="A50" s="164" t="n">
        <v>35</v>
      </c>
      <c r="B50" s="164" t="n"/>
      <c r="C50" s="25" t="inlineStr">
        <is>
          <t>01.2.03.02-0004</t>
        </is>
      </c>
      <c r="D50" s="165" t="inlineStr">
        <is>
          <t>Грунтовка битумно-полимерная, марка "Мадикор"</t>
        </is>
      </c>
      <c r="E50" s="164" t="inlineStr">
        <is>
          <t>т</t>
        </is>
      </c>
      <c r="F50" s="164" t="n">
        <v>1.57</v>
      </c>
      <c r="G50" s="169" t="n">
        <v>16884.59</v>
      </c>
      <c r="H50" s="169">
        <f>ROUND(F50*G50,2)</f>
        <v/>
      </c>
    </row>
    <row r="51" ht="31.7" customFormat="1" customHeight="1" s="145">
      <c r="A51" s="164" t="n">
        <v>36</v>
      </c>
      <c r="B51" s="164" t="n"/>
      <c r="C51" s="25" t="inlineStr">
        <is>
          <t>02.3.01.02-0033</t>
        </is>
      </c>
      <c r="D51" s="165" t="inlineStr">
        <is>
          <t>Песок природный обогащенный для строительных работ средний</t>
        </is>
      </c>
      <c r="E51" s="164" t="inlineStr">
        <is>
          <t>м3</t>
        </is>
      </c>
      <c r="F51" s="164" t="n">
        <v>68.31</v>
      </c>
      <c r="G51" s="169" t="n">
        <v>70.59999999999999</v>
      </c>
      <c r="H51" s="169">
        <f>ROUND(F51*G51,2)</f>
        <v/>
      </c>
    </row>
    <row r="52" ht="141.75" customFormat="1" customHeight="1" s="145">
      <c r="A52" s="164" t="n">
        <v>37</v>
      </c>
      <c r="B52" s="164" t="n"/>
      <c r="C52" s="25" t="inlineStr">
        <is>
          <t>14.4.01.21-0409</t>
        </is>
      </c>
      <c r="D52" s="165" t="inlineStr">
        <is>
          <t>Состав (грунт-эмаль) однокомпонентный полиуретановый карбонизированный антикоррозионный для металлических изделий и конструкций, гидрофобный, температура эксплуатации от -50 до +150°С, прочность сцепления с металлом более 2,5 МПа, условная вязкость не менее 90 с, сухой остаток 52%, характеристики при температуре 20°С: плотность 1,0 г/см3</t>
        </is>
      </c>
      <c r="E52" s="164" t="inlineStr">
        <is>
          <t>кг</t>
        </is>
      </c>
      <c r="F52" s="164" t="n">
        <v>67.11750000000001</v>
      </c>
      <c r="G52" s="169" t="n">
        <v>48.65</v>
      </c>
      <c r="H52" s="169">
        <f>ROUND(F52*G52,2)</f>
        <v/>
      </c>
    </row>
    <row r="53" ht="47.25" customFormat="1" customHeight="1" s="145">
      <c r="A53" s="164" t="n">
        <v>38</v>
      </c>
      <c r="B53" s="164" t="n"/>
      <c r="C53" s="25" t="inlineStr">
        <is>
          <t>11.2.13.04-0002</t>
        </is>
      </c>
      <c r="D53" s="165" t="inlineStr">
        <is>
          <t>Щиты деревянные для фундаментов, колонн, балок, перекрытий, стен, перегородок и других конструкций из досок, толщина 40 мм</t>
        </is>
      </c>
      <c r="E53" s="164" t="inlineStr">
        <is>
          <t>м2</t>
        </is>
      </c>
      <c r="F53" s="164" t="n">
        <v>31.856</v>
      </c>
      <c r="G53" s="169" t="n">
        <v>90.15000000000001</v>
      </c>
      <c r="H53" s="169">
        <f>ROUND(F53*G53,2)</f>
        <v/>
      </c>
    </row>
    <row r="54" ht="15.75" customFormat="1" customHeight="1" s="145">
      <c r="A54" s="164" t="n">
        <v>39</v>
      </c>
      <c r="B54" s="164" t="n"/>
      <c r="C54" s="25" t="inlineStr">
        <is>
          <t>01.7.07.29-0131</t>
        </is>
      </c>
      <c r="D54" s="165" t="inlineStr">
        <is>
          <t>Песок металлический</t>
        </is>
      </c>
      <c r="E54" s="164" t="inlineStr">
        <is>
          <t>т</t>
        </is>
      </c>
      <c r="F54" s="164" t="n">
        <v>0.380725</v>
      </c>
      <c r="G54" s="169" t="n">
        <v>6617</v>
      </c>
      <c r="H54" s="169">
        <f>ROUND(F54*G54,2)</f>
        <v/>
      </c>
    </row>
    <row r="55" ht="31.7" customFormat="1" customHeight="1" s="145">
      <c r="A55" s="164" t="n">
        <v>40</v>
      </c>
      <c r="B55" s="164" t="n"/>
      <c r="C55" s="25" t="inlineStr">
        <is>
          <t>25.1.01.04-0031</t>
        </is>
      </c>
      <c r="D55" s="165" t="inlineStr">
        <is>
          <t>Шпалы непропитанные для железных дорог, тип I</t>
        </is>
      </c>
      <c r="E55" s="164" t="inlineStr">
        <is>
          <t>шт</t>
        </is>
      </c>
      <c r="F55" s="164" t="n">
        <v>2.8</v>
      </c>
      <c r="G55" s="169" t="n">
        <v>266.67</v>
      </c>
      <c r="H55" s="169">
        <f>ROUND(F55*G55,2)</f>
        <v/>
      </c>
    </row>
    <row r="56" ht="15.75" customFormat="1" customHeight="1" s="145">
      <c r="A56" s="164" t="n">
        <v>41</v>
      </c>
      <c r="B56" s="164" t="n"/>
      <c r="C56" s="25" t="inlineStr">
        <is>
          <t>07.2.07.13-0171</t>
        </is>
      </c>
      <c r="D56" s="165" t="inlineStr">
        <is>
          <t>Подкладки металлические</t>
        </is>
      </c>
      <c r="E56" s="164" t="inlineStr">
        <is>
          <t>кг</t>
        </is>
      </c>
      <c r="F56" s="164" t="n">
        <v>30.5</v>
      </c>
      <c r="G56" s="169" t="n">
        <v>12.6</v>
      </c>
      <c r="H56" s="169">
        <f>ROUND(F56*G56,2)</f>
        <v/>
      </c>
    </row>
    <row r="57" ht="15.75" customFormat="1" customHeight="1" s="145">
      <c r="A57" s="164" t="n">
        <v>42</v>
      </c>
      <c r="B57" s="164" t="n"/>
      <c r="C57" s="25" t="inlineStr">
        <is>
          <t>01.3.01.01-0001</t>
        </is>
      </c>
      <c r="D57" s="165" t="inlineStr">
        <is>
          <t>Бензин авиационный Б-70</t>
        </is>
      </c>
      <c r="E57" s="164" t="inlineStr">
        <is>
          <t>т</t>
        </is>
      </c>
      <c r="F57" s="164" t="n">
        <v>0.02512</v>
      </c>
      <c r="G57" s="169" t="n">
        <v>4488.4</v>
      </c>
      <c r="H57" s="169">
        <f>ROUND(F57*G57,2)</f>
        <v/>
      </c>
    </row>
    <row r="58" ht="63" customFormat="1" customHeight="1" s="145">
      <c r="A58" s="164" t="n">
        <v>43</v>
      </c>
      <c r="B58" s="164" t="n"/>
      <c r="C58" s="25" t="inlineStr">
        <is>
          <t>07.2.07.12-0021</t>
        </is>
      </c>
      <c r="D58" s="165" t="inlineStr">
        <is>
          <t>Элементы конструктивные зданий и сооружений с преобладанием горячекатаных профилей, средняя масса сборочной единицы от 0,5 до 1 т</t>
        </is>
      </c>
      <c r="E58" s="164" t="inlineStr">
        <is>
          <t>т</t>
        </is>
      </c>
      <c r="F58" s="164" t="n">
        <v>0.015928</v>
      </c>
      <c r="G58" s="169" t="n">
        <v>7008.5</v>
      </c>
      <c r="H58" s="169">
        <f>ROUND(F58*G58,2)</f>
        <v/>
      </c>
    </row>
    <row r="59" ht="15.75" customFormat="1" customHeight="1" s="145">
      <c r="A59" s="164" t="n">
        <v>44</v>
      </c>
      <c r="B59" s="164" t="n"/>
      <c r="C59" s="25" t="inlineStr">
        <is>
          <t>14.5.09.07-0030</t>
        </is>
      </c>
      <c r="D59" s="165" t="inlineStr">
        <is>
          <t>Растворитель Р-4</t>
        </is>
      </c>
      <c r="E59" s="164" t="inlineStr">
        <is>
          <t>кг</t>
        </is>
      </c>
      <c r="F59" s="164" t="n">
        <v>9.42</v>
      </c>
      <c r="G59" s="169" t="n">
        <v>9.42</v>
      </c>
      <c r="H59" s="169">
        <f>ROUND(F59*G59,2)</f>
        <v/>
      </c>
    </row>
    <row r="60" ht="15.75" customFormat="1" customHeight="1" s="145">
      <c r="A60" s="164" t="n">
        <v>45</v>
      </c>
      <c r="B60" s="164" t="n"/>
      <c r="C60" s="25" t="inlineStr">
        <is>
          <t>01.7.11.07-0040</t>
        </is>
      </c>
      <c r="D60" s="165" t="inlineStr">
        <is>
          <t>Электроды сварочные Э50А, диаметр 4 мм</t>
        </is>
      </c>
      <c r="E60" s="164" t="inlineStr">
        <is>
          <t>т</t>
        </is>
      </c>
      <c r="F60" s="164" t="n">
        <v>0.0068</v>
      </c>
      <c r="G60" s="169" t="n">
        <v>11524</v>
      </c>
      <c r="H60" s="169">
        <f>ROUND(F60*G60,2)</f>
        <v/>
      </c>
    </row>
    <row r="61" ht="31.7" customFormat="1" customHeight="1" s="145">
      <c r="A61" s="164" t="n">
        <v>46</v>
      </c>
      <c r="B61" s="164" t="n"/>
      <c r="C61" s="25" t="inlineStr">
        <is>
          <t>23.8.03.12-0011</t>
        </is>
      </c>
      <c r="D61" s="165" t="inlineStr">
        <is>
          <t>Фасонные части стальные сварные, номинальный диаметр до 800 мм</t>
        </is>
      </c>
      <c r="E61" s="164" t="inlineStr">
        <is>
          <t>т</t>
        </is>
      </c>
      <c r="F61" s="164" t="n">
        <v>0.01233</v>
      </c>
      <c r="G61" s="169" t="n">
        <v>5500</v>
      </c>
      <c r="H61" s="169">
        <f>ROUND(F61*G61,2)</f>
        <v/>
      </c>
    </row>
    <row r="62" ht="31.7" customFormat="1" customHeight="1" s="145">
      <c r="A62" s="164" t="n">
        <v>47</v>
      </c>
      <c r="B62" s="164" t="n"/>
      <c r="C62" s="25" t="inlineStr">
        <is>
          <t>04.1.02.05-0003</t>
        </is>
      </c>
      <c r="D62" s="165" t="inlineStr">
        <is>
          <t>Смеси бетонные тяжелого бетона (БСТ), класс В7,5 (М100)</t>
        </is>
      </c>
      <c r="E62" s="164" t="inlineStr">
        <is>
          <t>м3</t>
        </is>
      </c>
      <c r="F62" s="164" t="n">
        <v>0.112</v>
      </c>
      <c r="G62" s="169" t="n">
        <v>560</v>
      </c>
      <c r="H62" s="169">
        <f>ROUND(F62*G62,2)</f>
        <v/>
      </c>
    </row>
    <row r="63" ht="15.75" customFormat="1" customHeight="1" s="145">
      <c r="A63" s="164" t="n">
        <v>48</v>
      </c>
      <c r="B63" s="164" t="n"/>
      <c r="C63" s="25" t="inlineStr">
        <is>
          <t>02.2.05.04-1812</t>
        </is>
      </c>
      <c r="D63" s="165" t="inlineStr">
        <is>
          <t>Щебень М 600, фракция 40-80(70) мм, группа 2</t>
        </is>
      </c>
      <c r="E63" s="164" t="inlineStr">
        <is>
          <t>м3</t>
        </is>
      </c>
      <c r="F63" s="164" t="n">
        <v>0.5</v>
      </c>
      <c r="G63" s="169" t="n">
        <v>98.59999999999999</v>
      </c>
      <c r="H63" s="169">
        <f>ROUND(F63*G63,2)</f>
        <v/>
      </c>
    </row>
    <row r="64" ht="31.7" customFormat="1" customHeight="1" s="145">
      <c r="A64" s="164" t="n">
        <v>49</v>
      </c>
      <c r="B64" s="164" t="n"/>
      <c r="C64" s="25" t="inlineStr">
        <is>
          <t>08.1.02.11-0023</t>
        </is>
      </c>
      <c r="D64" s="165" t="inlineStr">
        <is>
          <t>Поковки простые строительные (скобы, закрепы, хомуты), масса до 1,6 кг</t>
        </is>
      </c>
      <c r="E64" s="164" t="inlineStr">
        <is>
          <t>кг</t>
        </is>
      </c>
      <c r="F64" s="164" t="n">
        <v>2.8</v>
      </c>
      <c r="G64" s="169" t="n">
        <v>15.14</v>
      </c>
      <c r="H64" s="169">
        <f>ROUND(F64*G64,2)</f>
        <v/>
      </c>
    </row>
    <row r="65" ht="15.75" customFormat="1" customHeight="1" s="145">
      <c r="A65" s="164" t="n">
        <v>50</v>
      </c>
      <c r="B65" s="164" t="n"/>
      <c r="C65" s="25" t="inlineStr">
        <is>
          <t>01.7.03.01-0001</t>
        </is>
      </c>
      <c r="D65" s="165" t="inlineStr">
        <is>
          <t>Вода</t>
        </is>
      </c>
      <c r="E65" s="164" t="inlineStr">
        <is>
          <t>м3</t>
        </is>
      </c>
      <c r="F65" s="164" t="n">
        <v>10.6881</v>
      </c>
      <c r="G65" s="169" t="n">
        <v>2.44</v>
      </c>
      <c r="H65" s="169">
        <f>ROUND(F65*G65,2)</f>
        <v/>
      </c>
    </row>
    <row r="66" ht="15.75" customFormat="1" customHeight="1" s="145">
      <c r="A66" s="164" t="n">
        <v>51</v>
      </c>
      <c r="B66" s="164" t="n"/>
      <c r="C66" s="25" t="inlineStr">
        <is>
          <t>01.3.02.08-0001</t>
        </is>
      </c>
      <c r="D66" s="165" t="inlineStr">
        <is>
          <t>Кислород газообразный технический</t>
        </is>
      </c>
      <c r="E66" s="164" t="inlineStr">
        <is>
          <t>м3</t>
        </is>
      </c>
      <c r="F66" s="164" t="n">
        <v>3.6</v>
      </c>
      <c r="G66" s="169" t="n">
        <v>6.22</v>
      </c>
      <c r="H66" s="169">
        <f>ROUND(F66*G66,2)</f>
        <v/>
      </c>
    </row>
    <row r="67" ht="31.7" customFormat="1" customHeight="1" s="145">
      <c r="A67" s="164" t="n">
        <v>52</v>
      </c>
      <c r="B67" s="164" t="n"/>
      <c r="C67" s="25" t="inlineStr">
        <is>
          <t>999-9950</t>
        </is>
      </c>
      <c r="D67" s="165" t="inlineStr">
        <is>
          <t>Вспомогательные ненормируемые ресурсы (2% от Оплаты труда рабочих)</t>
        </is>
      </c>
      <c r="E67" s="164" t="inlineStr">
        <is>
          <t>руб</t>
        </is>
      </c>
      <c r="F67" s="164" t="n">
        <v>16.343</v>
      </c>
      <c r="G67" s="169" t="n">
        <v>1</v>
      </c>
      <c r="H67" s="169">
        <f>ROUND(F67*G67,2)</f>
        <v/>
      </c>
    </row>
    <row r="68" ht="31.7" customFormat="1" customHeight="1" s="145">
      <c r="A68" s="164" t="n">
        <v>53</v>
      </c>
      <c r="B68" s="164" t="n"/>
      <c r="C68" s="25" t="inlineStr">
        <is>
          <t>14.4.02.09-0301</t>
        </is>
      </c>
      <c r="D68" s="165" t="inlineStr">
        <is>
          <t>Композиция антикоррозионная цинкнаполненная</t>
        </is>
      </c>
      <c r="E68" s="164" t="inlineStr">
        <is>
          <t>кг</t>
        </is>
      </c>
      <c r="F68" s="164" t="n">
        <v>0.06</v>
      </c>
      <c r="G68" s="169" t="n">
        <v>238.48</v>
      </c>
      <c r="H68" s="169">
        <f>ROUND(F68*G68,2)</f>
        <v/>
      </c>
    </row>
    <row r="69" ht="15.75" customFormat="1" customHeight="1" s="145">
      <c r="A69" s="164" t="n">
        <v>54</v>
      </c>
      <c r="B69" s="164" t="n"/>
      <c r="C69" s="25" t="inlineStr">
        <is>
          <t>01.7.11.07-0054</t>
        </is>
      </c>
      <c r="D69" s="165" t="inlineStr">
        <is>
          <t>Электроды сварочные Э42, диаметр 6 мм</t>
        </is>
      </c>
      <c r="E69" s="164" t="inlineStr">
        <is>
          <t>т</t>
        </is>
      </c>
      <c r="F69" s="164" t="n">
        <v>0.0011097</v>
      </c>
      <c r="G69" s="169" t="n">
        <v>9424</v>
      </c>
      <c r="H69" s="169">
        <f>ROUND(F69*G69,2)</f>
        <v/>
      </c>
    </row>
    <row r="70" ht="15.75" customFormat="1" customHeight="1" s="145">
      <c r="A70" s="164" t="n">
        <v>55</v>
      </c>
      <c r="B70" s="164" t="n"/>
      <c r="C70" s="25" t="inlineStr">
        <is>
          <t>14.5.09.02-0002</t>
        </is>
      </c>
      <c r="D70" s="165" t="inlineStr">
        <is>
          <t>Ксилол нефтяной, марка А</t>
        </is>
      </c>
      <c r="E70" s="164" t="inlineStr">
        <is>
          <t>т</t>
        </is>
      </c>
      <c r="F70" s="164" t="n">
        <v>0.0010205</v>
      </c>
      <c r="G70" s="169" t="n">
        <v>7640</v>
      </c>
      <c r="H70" s="169">
        <f>ROUND(F70*G70,2)</f>
        <v/>
      </c>
    </row>
    <row r="71" ht="15.75" customFormat="1" customHeight="1" s="145">
      <c r="A71" s="164" t="n">
        <v>56</v>
      </c>
      <c r="B71" s="164" t="n"/>
      <c r="C71" s="25" t="inlineStr">
        <is>
          <t>02.2.05.04-1572</t>
        </is>
      </c>
      <c r="D71" s="165" t="inlineStr">
        <is>
          <t>Щебень М 600, фракция 5(3)-10 мм, группа 2</t>
        </is>
      </c>
      <c r="E71" s="164" t="inlineStr">
        <is>
          <t>м3</t>
        </is>
      </c>
      <c r="F71" s="164" t="n">
        <v>0.05</v>
      </c>
      <c r="G71" s="169" t="n">
        <v>145.8</v>
      </c>
      <c r="H71" s="169">
        <f>ROUND(F71*G71,2)</f>
        <v/>
      </c>
    </row>
    <row r="72" ht="15.75" customFormat="1" customHeight="1" s="145">
      <c r="A72" s="164" t="n">
        <v>57</v>
      </c>
      <c r="B72" s="164" t="n"/>
      <c r="C72" s="25" t="inlineStr">
        <is>
          <t>01.7.20.08-0051</t>
        </is>
      </c>
      <c r="D72" s="165" t="inlineStr">
        <is>
          <t>Ветошь</t>
        </is>
      </c>
      <c r="E72" s="164" t="inlineStr">
        <is>
          <t>кг</t>
        </is>
      </c>
      <c r="F72" s="164" t="n">
        <v>3.925</v>
      </c>
      <c r="G72" s="169" t="n">
        <v>1.82</v>
      </c>
      <c r="H72" s="169">
        <f>ROUND(F72*G72,2)</f>
        <v/>
      </c>
    </row>
    <row r="73" ht="63" customFormat="1" customHeight="1" s="145">
      <c r="A73" s="164" t="n">
        <v>58</v>
      </c>
      <c r="B73" s="164" t="n"/>
      <c r="C73" s="25" t="inlineStr">
        <is>
          <t>23.8.03.12-0036</t>
        </is>
      </c>
      <c r="D73" s="165" t="inlineStr">
        <is>
          <t>Фланцы стальные приварные в комплекте с прокладками, болтами и гайками, номинальное давление 1,0 МПа, номинальный диаметр 250 мм</t>
        </is>
      </c>
      <c r="E73" s="164" t="inlineStr">
        <is>
          <t>компл</t>
        </is>
      </c>
      <c r="F73" s="164" t="n">
        <v>0.01233</v>
      </c>
      <c r="G73" s="169" t="n">
        <v>521.53</v>
      </c>
      <c r="H73" s="169">
        <f>ROUND(F73*G73,2)</f>
        <v/>
      </c>
    </row>
    <row r="74" ht="15.75" customFormat="1" customHeight="1" s="145">
      <c r="A74" s="164" t="n">
        <v>59</v>
      </c>
      <c r="B74" s="164" t="n"/>
      <c r="C74" s="25" t="inlineStr">
        <is>
          <t>02.2.05.04-1692</t>
        </is>
      </c>
      <c r="D74" s="165" t="inlineStr">
        <is>
          <t>Щебень М 600, фракция 10-20 мм, группа 2</t>
        </is>
      </c>
      <c r="E74" s="164" t="inlineStr">
        <is>
          <t>м3</t>
        </is>
      </c>
      <c r="F74" s="164" t="n">
        <v>0.045</v>
      </c>
      <c r="G74" s="169" t="n">
        <v>118.6</v>
      </c>
      <c r="H74" s="169">
        <f>ROUND(F74*G74,2)</f>
        <v/>
      </c>
    </row>
    <row r="75" ht="47.25" customFormat="1" customHeight="1" s="145">
      <c r="A75" s="164" t="n">
        <v>60</v>
      </c>
      <c r="B75" s="164" t="n"/>
      <c r="C75" s="25" t="inlineStr">
        <is>
          <t>02.2.04.03-0001</t>
        </is>
      </c>
      <c r="D75" s="165" t="inlineStr">
        <is>
          <t>Смесь песчано-гравийно-щебеночная обогащенная с содержанием гравия и щебня из гравия-не менее 8%</t>
        </is>
      </c>
      <c r="E75" s="164" t="inlineStr">
        <is>
          <t>м3</t>
        </is>
      </c>
      <c r="F75" s="164" t="n">
        <v>0.055</v>
      </c>
      <c r="G75" s="169" t="n">
        <v>60.12</v>
      </c>
      <c r="H75" s="169">
        <f>ROUND(F75*G75,2)</f>
        <v/>
      </c>
    </row>
    <row r="76" ht="15.75" customFormat="1" customHeight="1" s="145">
      <c r="A76" s="164" t="n">
        <v>61</v>
      </c>
      <c r="B76" s="164" t="n"/>
      <c r="C76" s="25" t="inlineStr">
        <is>
          <t>02.2.05.04-1777</t>
        </is>
      </c>
      <c r="D76" s="165" t="inlineStr">
        <is>
          <t>Щебень М 800, фракция 20-40 мм, группа 2</t>
        </is>
      </c>
      <c r="E76" s="164" t="inlineStr">
        <is>
          <t>м3</t>
        </is>
      </c>
      <c r="F76" s="164" t="n">
        <v>0.02364</v>
      </c>
      <c r="G76" s="169" t="n">
        <v>108.4</v>
      </c>
      <c r="H76" s="169">
        <f>ROUND(F76*G76,2)</f>
        <v/>
      </c>
    </row>
    <row r="77" ht="15.75" customFormat="1" customHeight="1" s="145">
      <c r="A77" s="164" t="n">
        <v>62</v>
      </c>
      <c r="B77" s="164" t="n"/>
      <c r="C77" s="25" t="inlineStr">
        <is>
          <t>01.3.02.09-0022</t>
        </is>
      </c>
      <c r="D77" s="165" t="inlineStr">
        <is>
          <t>Пропан-бутан смесь техническая</t>
        </is>
      </c>
      <c r="E77" s="164" t="inlineStr">
        <is>
          <t>кг</t>
        </is>
      </c>
      <c r="F77" s="164" t="n">
        <v>0.4</v>
      </c>
      <c r="G77" s="169" t="n">
        <v>6.09</v>
      </c>
      <c r="H77" s="169">
        <f>ROUND(F77*G77,2)</f>
        <v/>
      </c>
    </row>
    <row r="78" ht="31.7" customFormat="1" customHeight="1" s="145">
      <c r="A78" s="164" t="n">
        <v>63</v>
      </c>
      <c r="B78" s="164" t="n"/>
      <c r="C78" s="25" t="inlineStr">
        <is>
          <t>08.3.05.02-0101</t>
        </is>
      </c>
      <c r="D78" s="165" t="inlineStr">
        <is>
          <t>Прокат толстолистовой горячекатаный в листах, марка стали ВСт3пс5, толщина 4-6 мм</t>
        </is>
      </c>
      <c r="E78" s="164" t="inlineStr">
        <is>
          <t>т</t>
        </is>
      </c>
      <c r="F78" s="164" t="n">
        <v>0.00012</v>
      </c>
      <c r="G78" s="169" t="n">
        <v>5763</v>
      </c>
      <c r="H78" s="169">
        <f>ROUND(F78*G78,2)</f>
        <v/>
      </c>
    </row>
    <row r="79" ht="15.75" customFormat="1" customHeight="1" s="145">
      <c r="A79" s="164" t="n">
        <v>64</v>
      </c>
      <c r="B79" s="164" t="n"/>
      <c r="C79" s="25" t="inlineStr">
        <is>
          <t>01.7.11.07-0034</t>
        </is>
      </c>
      <c r="D79" s="165" t="inlineStr">
        <is>
          <t>Электроды сварочные Э42А, диаметр 4 мм</t>
        </is>
      </c>
      <c r="E79" s="164" t="inlineStr">
        <is>
          <t>кг</t>
        </is>
      </c>
      <c r="F79" s="164" t="n">
        <v>0.0165</v>
      </c>
      <c r="G79" s="169" t="n">
        <v>10.57</v>
      </c>
      <c r="H79" s="169">
        <f>ROUND(F79*G79,2)</f>
        <v/>
      </c>
    </row>
    <row r="80" ht="15.75" customFormat="1" customHeight="1" s="145"/>
    <row r="81" ht="15.75" customFormat="1" customHeight="1" s="145"/>
    <row r="82" ht="15.75" customFormat="1" customHeight="1" s="145"/>
    <row r="83" ht="15.75" customFormat="1" customHeight="1" s="145"/>
    <row r="84" ht="15.75" customFormat="1" customHeight="1" s="145">
      <c r="B84" s="145" t="inlineStr">
        <is>
          <t>Составил ______________________        М.С. Колотиевская</t>
        </is>
      </c>
      <c r="C84" s="145" t="n"/>
    </row>
    <row r="85" ht="15.75" customFormat="1" customHeight="1" s="145">
      <c r="B85" s="98" t="inlineStr">
        <is>
          <t xml:space="preserve">                         (подпись, инициалы, фамилия)</t>
        </is>
      </c>
      <c r="C85" s="145" t="n"/>
    </row>
    <row r="86" ht="15.75" customFormat="1" customHeight="1" s="145">
      <c r="B86" s="145" t="n"/>
      <c r="C86" s="145" t="n"/>
    </row>
    <row r="87" ht="15.75" customFormat="1" customHeight="1" s="145">
      <c r="B87" s="145" t="inlineStr">
        <is>
          <t>Проверил ______________________          А.В. Костянецкая</t>
        </is>
      </c>
      <c r="C87" s="145" t="n"/>
    </row>
    <row r="88" ht="15.75" customFormat="1" customHeight="1" s="145">
      <c r="B88" s="98" t="inlineStr">
        <is>
          <t xml:space="preserve">                        (подпись, инициалы, фамилия)</t>
        </is>
      </c>
      <c r="C88" s="145" t="n"/>
    </row>
    <row r="89" ht="15.75" customFormat="1" customHeight="1" s="145"/>
  </sheetData>
  <mergeCells count="15">
    <mergeCell ref="C9:C10"/>
    <mergeCell ref="B9:B10"/>
    <mergeCell ref="A12:E12"/>
    <mergeCell ref="A3:H3"/>
    <mergeCell ref="A48:E48"/>
    <mergeCell ref="D9:D10"/>
    <mergeCell ref="E9:E10"/>
    <mergeCell ref="A7:H7"/>
    <mergeCell ref="A9:A10"/>
    <mergeCell ref="F9:F10"/>
    <mergeCell ref="A2:H2"/>
    <mergeCell ref="A25:E25"/>
    <mergeCell ref="A23:E23"/>
    <mergeCell ref="C4:H4"/>
    <mergeCell ref="G9:H9"/>
  </mergeCells>
  <conditionalFormatting sqref="F11:F79">
    <cfRule type="expression" priority="1" dxfId="0" stopIfTrue="1">
      <formula>ROUND(F11*10000,0)/10000=F11</formula>
    </cfRule>
  </conditionalFormatting>
  <pageMargins left="0.7" right="0.7" top="0.75" bottom="0.75" header="0.3" footer="0.3"/>
  <pageSetup orientation="portrait" paperSize="9" scale="5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47"/>
  <sheetViews>
    <sheetView view="pageBreakPreview" topLeftCell="A11" zoomScale="60" zoomScaleNormal="100" workbookViewId="0">
      <selection activeCell="B46" sqref="B46"/>
    </sheetView>
  </sheetViews>
  <sheetFormatPr baseColWidth="8" defaultColWidth="9.140625" defaultRowHeight="15"/>
  <cols>
    <col width="4.140625" customWidth="1" style="143" min="1" max="1"/>
    <col width="36.28515625" customWidth="1" style="143" min="2" max="2"/>
    <col width="18.85546875" customWidth="1" style="143" min="3" max="3"/>
    <col width="18.28515625" customWidth="1" style="143" min="4" max="4"/>
    <col width="20.85546875" customWidth="1" style="143" min="5" max="5"/>
    <col width="9.140625" customWidth="1" style="143" min="6" max="10"/>
    <col width="13.5703125" customWidth="1" style="143" min="11" max="11"/>
    <col width="9.140625" customWidth="1" style="143" min="12" max="12"/>
  </cols>
  <sheetData>
    <row r="1" ht="15.75" customHeight="1" s="143">
      <c r="A1" s="73" t="n"/>
      <c r="B1" s="145" t="n"/>
      <c r="C1" s="145" t="n"/>
      <c r="D1" s="145" t="n"/>
      <c r="E1" s="145" t="n"/>
    </row>
    <row r="2" ht="15.75" customHeight="1" s="143">
      <c r="B2" s="145" t="n"/>
      <c r="C2" s="145" t="n"/>
      <c r="D2" s="145" t="n"/>
      <c r="E2" s="170" t="inlineStr">
        <is>
          <t>Приложение № 4</t>
        </is>
      </c>
    </row>
    <row r="3" ht="15.75" customHeight="1" s="143">
      <c r="B3" s="145" t="n"/>
      <c r="C3" s="145" t="n"/>
      <c r="D3" s="145" t="n"/>
      <c r="E3" s="145" t="n"/>
    </row>
    <row r="4" ht="15.75" customHeight="1" s="143">
      <c r="B4" s="145" t="n"/>
      <c r="C4" s="145" t="n"/>
      <c r="D4" s="145" t="n"/>
      <c r="E4" s="145" t="n"/>
    </row>
    <row r="5" ht="15.75" customHeight="1" s="143">
      <c r="B5" s="151" t="inlineStr">
        <is>
          <t>Ресурсная модель</t>
        </is>
      </c>
    </row>
    <row r="6" ht="15.75" customHeight="1" s="143">
      <c r="B6" s="152" t="n"/>
      <c r="C6" s="145" t="n"/>
      <c r="D6" s="145" t="n"/>
      <c r="E6" s="145" t="n"/>
    </row>
    <row r="7" ht="15.75" customHeight="1" s="143">
      <c r="B7" s="153" t="inlineStr">
        <is>
          <t>Наименование разрабатываемой расценки УНЦ —  Маслосборник</t>
        </is>
      </c>
    </row>
    <row r="8" ht="15.75" customHeight="1" s="143">
      <c r="B8" s="153" t="inlineStr">
        <is>
          <t>Единица измерения  — м3</t>
        </is>
      </c>
    </row>
    <row r="9">
      <c r="B9" s="78" t="n"/>
      <c r="C9" s="128" t="n"/>
      <c r="D9" s="128" t="n"/>
      <c r="E9" s="128" t="n"/>
    </row>
    <row r="10" ht="78.75" customFormat="1" customHeight="1" s="145">
      <c r="B10" s="168" t="inlineStr">
        <is>
          <t>Наименование</t>
        </is>
      </c>
      <c r="C10" s="168" t="inlineStr">
        <is>
          <t>Сметная стоимость в ценах на 01.01.2023
 (руб.)</t>
        </is>
      </c>
      <c r="D10" s="168" t="inlineStr">
        <is>
          <t>Удельный вес, 
(в СМР)</t>
        </is>
      </c>
      <c r="E10" s="168" t="inlineStr">
        <is>
          <t>Удельный вес, % 
(от всего по РМ)</t>
        </is>
      </c>
    </row>
    <row r="11" ht="15" customFormat="1" customHeight="1" s="145">
      <c r="B11" s="174" t="inlineStr">
        <is>
          <t>Оплата труда рабочих</t>
        </is>
      </c>
      <c r="C11" s="82">
        <f>'Прил.5 Расчет СМР и ОБ'!J14</f>
        <v/>
      </c>
      <c r="D11" s="83">
        <f>C11/C24</f>
        <v/>
      </c>
      <c r="E11" s="83">
        <f>C11/C40</f>
        <v/>
      </c>
    </row>
    <row r="12" ht="15" customFormat="1" customHeight="1" s="145">
      <c r="B12" s="174" t="inlineStr">
        <is>
          <t>Эксплуатация машин основных</t>
        </is>
      </c>
      <c r="C12" s="82">
        <f>'Прил.5 Расчет СМР и ОБ'!J26</f>
        <v/>
      </c>
      <c r="D12" s="83">
        <f>C12/C24</f>
        <v/>
      </c>
      <c r="E12" s="83">
        <f>C12/C40</f>
        <v/>
      </c>
    </row>
    <row r="13" ht="15" customFormat="1" customHeight="1" s="145">
      <c r="B13" s="174" t="inlineStr">
        <is>
          <t>Эксплуатация машин прочих</t>
        </is>
      </c>
      <c r="C13" s="82">
        <f>'Прил.5 Расчет СМР и ОБ'!J42</f>
        <v/>
      </c>
      <c r="D13" s="83">
        <f>C13/C24</f>
        <v/>
      </c>
      <c r="E13" s="83">
        <f>C13/C40</f>
        <v/>
      </c>
    </row>
    <row r="14" ht="15" customFormat="1" customHeight="1" s="145">
      <c r="B14" s="174" t="inlineStr">
        <is>
          <t>ЭКСПЛУАТАЦИЯ МАШИН, ВСЕГО:</t>
        </is>
      </c>
      <c r="C14" s="82">
        <f>C13+C12</f>
        <v/>
      </c>
      <c r="D14" s="83">
        <f>C14/C24</f>
        <v/>
      </c>
      <c r="E14" s="83">
        <f>C14/C40</f>
        <v/>
      </c>
    </row>
    <row r="15" ht="15" customFormat="1" customHeight="1" s="145">
      <c r="B15" s="174" t="inlineStr">
        <is>
          <t>в том числе зарплата машинистов</t>
        </is>
      </c>
      <c r="C15" s="82">
        <f>'Прил.5 Расчет СМР и ОБ'!J16</f>
        <v/>
      </c>
      <c r="D15" s="83">
        <f>C15/C24</f>
        <v/>
      </c>
      <c r="E15" s="83">
        <f>C15/C40</f>
        <v/>
      </c>
    </row>
    <row r="16" ht="15" customFormat="1" customHeight="1" s="145">
      <c r="B16" s="174" t="inlineStr">
        <is>
          <t>Материалы основные</t>
        </is>
      </c>
      <c r="C16" s="82">
        <f>'Прил.5 Расчет СМР и ОБ'!J56</f>
        <v/>
      </c>
      <c r="D16" s="83">
        <f>C16/C24</f>
        <v/>
      </c>
      <c r="E16" s="83">
        <f>C16/C40</f>
        <v/>
      </c>
    </row>
    <row r="17" ht="15" customFormat="1" customHeight="1" s="145">
      <c r="B17" s="174" t="inlineStr">
        <is>
          <t>Материалы прочие</t>
        </is>
      </c>
      <c r="C17" s="82">
        <f>'Прил.5 Расчет СМР и ОБ'!J85</f>
        <v/>
      </c>
      <c r="D17" s="83">
        <f>C17/C24</f>
        <v/>
      </c>
      <c r="E17" s="83">
        <f>C17/C40</f>
        <v/>
      </c>
    </row>
    <row r="18" ht="15" customFormat="1" customHeight="1" s="145">
      <c r="B18" s="174" t="inlineStr">
        <is>
          <t>МАТЕРИАЛЫ, ВСЕГО:</t>
        </is>
      </c>
      <c r="C18" s="82">
        <f>C17+C16</f>
        <v/>
      </c>
      <c r="D18" s="83">
        <f>C18/C24</f>
        <v/>
      </c>
      <c r="E18" s="83">
        <f>C18/C40</f>
        <v/>
      </c>
    </row>
    <row r="19" ht="15" customFormat="1" customHeight="1" s="145">
      <c r="B19" s="174" t="inlineStr">
        <is>
          <t>ИТОГО</t>
        </is>
      </c>
      <c r="C19" s="82">
        <f>C18+C14+C11</f>
        <v/>
      </c>
      <c r="D19" s="83">
        <f>C19/C24</f>
        <v/>
      </c>
      <c r="E19" s="84">
        <f>C19/C40</f>
        <v/>
      </c>
    </row>
    <row r="20" ht="15" customFormat="1" customHeight="1" s="145">
      <c r="B20" s="174" t="inlineStr">
        <is>
          <t>Сметная прибыль, руб.</t>
        </is>
      </c>
      <c r="C20" s="82" t="n">
        <v>69095.56202739599</v>
      </c>
      <c r="D20" s="83">
        <f>C20/C24</f>
        <v/>
      </c>
      <c r="E20" s="83">
        <f>C20/C40</f>
        <v/>
      </c>
    </row>
    <row r="21" ht="15" customFormat="1" customHeight="1" s="145">
      <c r="B21" s="174" t="inlineStr">
        <is>
          <t>Сметная прибыль, %</t>
        </is>
      </c>
      <c r="C21" s="85">
        <f>C20/(C11+C15)</f>
        <v/>
      </c>
      <c r="D21" s="83" t="n"/>
      <c r="E21" s="84" t="n"/>
    </row>
    <row r="22" ht="15" customFormat="1" customHeight="1" s="145">
      <c r="B22" s="174" t="inlineStr">
        <is>
          <t>Накладные расходы, руб.</t>
        </is>
      </c>
      <c r="C22" s="82" t="n">
        <v>127429.59922182</v>
      </c>
      <c r="D22" s="83">
        <f>C22/C24</f>
        <v/>
      </c>
      <c r="E22" s="83">
        <f>C22/C40</f>
        <v/>
      </c>
    </row>
    <row r="23" ht="15" customFormat="1" customHeight="1" s="145">
      <c r="B23" s="174" t="inlineStr">
        <is>
          <t>Накладные расходы, %</t>
        </is>
      </c>
      <c r="C23" s="85">
        <f>C22/(C11+C15)</f>
        <v/>
      </c>
      <c r="D23" s="83" t="n"/>
      <c r="E23" s="84" t="n"/>
    </row>
    <row r="24" ht="15" customFormat="1" customHeight="1" s="145">
      <c r="B24" s="174" t="inlineStr">
        <is>
          <t>ВСЕГО СМР с НР и СП</t>
        </is>
      </c>
      <c r="C24" s="82">
        <f>C19+C20+C22</f>
        <v/>
      </c>
      <c r="D24" s="83">
        <f>C24/C24</f>
        <v/>
      </c>
      <c r="E24" s="83">
        <f>C24/C40</f>
        <v/>
      </c>
    </row>
    <row r="25" ht="31.7" customFormat="1" customHeight="1" s="145">
      <c r="B25" s="174" t="inlineStr">
        <is>
          <t>ВСЕГО стоимость оборудования, в том числе</t>
        </is>
      </c>
      <c r="C25" s="82">
        <f>'Прил.5 Расчет СМР и ОБ'!J49</f>
        <v/>
      </c>
      <c r="D25" s="83" t="n"/>
      <c r="E25" s="83">
        <f>C25/C40</f>
        <v/>
      </c>
    </row>
    <row r="26" ht="31.7" customFormat="1" customHeight="1" s="145">
      <c r="B26" s="174" t="inlineStr">
        <is>
          <t>стоимость оборудования технологического</t>
        </is>
      </c>
      <c r="C26" s="82">
        <f>C25</f>
        <v/>
      </c>
      <c r="D26" s="83" t="n"/>
      <c r="E26" s="83">
        <f>C26/C40</f>
        <v/>
      </c>
    </row>
    <row r="27" ht="15" customFormat="1" customHeight="1" s="145">
      <c r="B27" s="174" t="inlineStr">
        <is>
          <t>ИТОГО (СМР + ОБОРУДОВАНИЕ)</t>
        </is>
      </c>
      <c r="C27" s="86">
        <f>C24+C25</f>
        <v/>
      </c>
      <c r="D27" s="83" t="n"/>
      <c r="E27" s="83">
        <f>C27/C40</f>
        <v/>
      </c>
    </row>
    <row r="28" ht="33" customFormat="1" customHeight="1" s="145">
      <c r="B28" s="174" t="inlineStr">
        <is>
          <t>ПРОЧ. ЗАТР., УЧТЕННЫЕ ПОКАЗАТЕЛЕМ,  в том числе</t>
        </is>
      </c>
      <c r="C28" s="174" t="n"/>
      <c r="D28" s="84" t="n"/>
      <c r="E28" s="84" t="n"/>
    </row>
    <row r="29" ht="31.7" customFormat="1" customHeight="1" s="145">
      <c r="B29" s="174" t="inlineStr">
        <is>
          <t>Временные здания и сооружения - 3,9%</t>
        </is>
      </c>
      <c r="C29" s="86">
        <f>ROUND(C24*0.039,2)</f>
        <v/>
      </c>
      <c r="D29" s="84" t="n"/>
      <c r="E29" s="83">
        <f>C29/C40</f>
        <v/>
      </c>
    </row>
    <row r="30" ht="63" customFormat="1" customHeight="1" s="145">
      <c r="B30" s="174" t="inlineStr">
        <is>
          <t>Дополнительные затраты при производстве строительно-монтажных работ в зимнее время - 2,1%</t>
        </is>
      </c>
      <c r="C30" s="86">
        <f>ROUND((C24+C29)*0.021,2)</f>
        <v/>
      </c>
      <c r="D30" s="84" t="n"/>
      <c r="E30" s="83">
        <f>C30/C40</f>
        <v/>
      </c>
    </row>
    <row r="31" ht="15.75" customFormat="1" customHeight="1" s="145">
      <c r="B31" s="174" t="inlineStr">
        <is>
          <t>Пусконаладочные работы</t>
        </is>
      </c>
      <c r="C31" s="86">
        <f>ROUND(C25*80%*7%,2)</f>
        <v/>
      </c>
      <c r="D31" s="84" t="n"/>
      <c r="E31" s="83">
        <f>C31/C40</f>
        <v/>
      </c>
    </row>
    <row r="32" ht="31.7" customFormat="1" customHeight="1" s="145">
      <c r="B32" s="174" t="inlineStr">
        <is>
          <t>Затраты по перевозке работников к месту работы и обратно</t>
        </is>
      </c>
      <c r="C32" s="86" t="n">
        <v>0</v>
      </c>
      <c r="D32" s="84" t="n"/>
      <c r="E32" s="83">
        <f>C32/C40</f>
        <v/>
      </c>
    </row>
    <row r="33" ht="47.25" customFormat="1" customHeight="1" s="145">
      <c r="B33" s="174" t="inlineStr">
        <is>
          <t>Затраты, связанные с осуществлением работ вахтовым методом</t>
        </is>
      </c>
      <c r="C33" s="86" t="n">
        <v>0</v>
      </c>
      <c r="D33" s="84" t="n"/>
      <c r="E33" s="83">
        <f>C33/C40</f>
        <v/>
      </c>
    </row>
    <row r="34" ht="63" customFormat="1" customHeight="1" s="145">
      <c r="B34" s="17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86" t="n">
        <v>0</v>
      </c>
      <c r="D34" s="84" t="n"/>
      <c r="E34" s="83">
        <f>C34/C40</f>
        <v/>
      </c>
    </row>
    <row r="35" ht="94.7" customFormat="1" customHeight="1" s="145">
      <c r="B35" s="17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86" t="n">
        <v>0</v>
      </c>
      <c r="D35" s="84" t="n"/>
      <c r="E35" s="83">
        <f>C35/C40</f>
        <v/>
      </c>
    </row>
    <row r="36" ht="47.25" customFormat="1" customHeight="1" s="145">
      <c r="B36" s="87" t="inlineStr">
        <is>
          <t>Строительный контроль и содержание службы заказчика - 2,14%</t>
        </is>
      </c>
      <c r="C36" s="88">
        <f>ROUND((C27+C29+C31+C30)*0.0214,2)</f>
        <v/>
      </c>
      <c r="D36" s="89" t="n"/>
      <c r="E36" s="90">
        <f>C36/C40</f>
        <v/>
      </c>
      <c r="K36" s="91" t="n"/>
    </row>
    <row r="37" ht="15.75" customFormat="1" customHeight="1" s="145">
      <c r="B37" s="177" t="inlineStr">
        <is>
          <t>Авторский надзор - 0,2%</t>
        </is>
      </c>
      <c r="C37" s="177">
        <f>ROUND((C27+C29+C30+C31)*0.002,2)</f>
        <v/>
      </c>
      <c r="D37" s="93" t="n"/>
      <c r="E37" s="93">
        <f>C37/C40</f>
        <v/>
      </c>
    </row>
    <row r="38" ht="63" customFormat="1" customHeight="1" s="145">
      <c r="B38" s="94" t="inlineStr">
        <is>
          <t>ИТОГО (СМР+ОБОРУДОВАНИЕ+ПРОЧ. ЗАТР., УЧТЕННЫЕ ПОКАЗАТЕЛЕМ)</t>
        </is>
      </c>
      <c r="C38" s="95">
        <f>C27+C29+C30+C31+C36+C37</f>
        <v/>
      </c>
      <c r="D38" s="96" t="n"/>
      <c r="E38" s="97">
        <f>C38/C40</f>
        <v/>
      </c>
    </row>
    <row r="39" ht="15.75" customFormat="1" customHeight="1" s="145">
      <c r="B39" s="174" t="inlineStr">
        <is>
          <t>Непредвиденные расходы</t>
        </is>
      </c>
      <c r="C39" s="82">
        <f>ROUND(C38*0.03,2)</f>
        <v/>
      </c>
      <c r="D39" s="84" t="n"/>
      <c r="E39" s="83">
        <f>C39/C40</f>
        <v/>
      </c>
    </row>
    <row r="40" ht="15.75" customFormat="1" customHeight="1" s="145">
      <c r="B40" s="174" t="inlineStr">
        <is>
          <t>ВСЕГО:</t>
        </is>
      </c>
      <c r="C40" s="82">
        <f>C39+C38</f>
        <v/>
      </c>
      <c r="D40" s="84" t="n"/>
      <c r="E40" s="83">
        <f>C40/C40</f>
        <v/>
      </c>
    </row>
    <row r="41" ht="31.7" customFormat="1" customHeight="1" s="145">
      <c r="B41" s="174" t="inlineStr">
        <is>
          <t>ИТОГО ПОКАЗАТЕЛЬ НА ЕД. ИЗМ.</t>
        </is>
      </c>
      <c r="C41" s="82">
        <f>C40/'Прил.5 Расчет СМР и ОБ'!E92</f>
        <v/>
      </c>
      <c r="D41" s="84" t="n"/>
      <c r="E41" s="84" t="n"/>
    </row>
    <row r="42" ht="15.75" customFormat="1" customHeight="1" s="145">
      <c r="B42" s="98" t="n"/>
    </row>
    <row r="43" ht="15.75" customFormat="1" customHeight="1" s="145">
      <c r="B43" s="98" t="inlineStr">
        <is>
          <t>Составил ____________________________ М.С. Колотиевская</t>
        </is>
      </c>
    </row>
    <row r="44" ht="15.75" customFormat="1" customHeight="1" s="145">
      <c r="B44" s="98" t="inlineStr">
        <is>
          <t xml:space="preserve">(должность, подпись, инициалы, фамилия) </t>
        </is>
      </c>
    </row>
    <row r="45" ht="15.75" customFormat="1" customHeight="1" s="145">
      <c r="B45" s="98" t="n"/>
    </row>
    <row r="46" ht="15.75" customFormat="1" customHeight="1" s="145">
      <c r="B46" s="145" t="inlineStr">
        <is>
          <t>Проверил ______________________          А.В. Костянецкая</t>
        </is>
      </c>
    </row>
    <row r="47" ht="15.75" customFormat="1" customHeight="1" s="145">
      <c r="B47" s="153" t="inlineStr">
        <is>
          <t>(должность, подпись, инициалы, фамилия)</t>
        </is>
      </c>
      <c r="C47" s="153" t="n"/>
    </row>
    <row r="48" ht="15.75" customFormat="1" customHeight="1" s="145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99"/>
  <sheetViews>
    <sheetView view="pageBreakPreview" topLeftCell="A20" zoomScale="60" zoomScaleNormal="100" workbookViewId="0">
      <selection activeCell="B97" sqref="B97"/>
    </sheetView>
  </sheetViews>
  <sheetFormatPr baseColWidth="8" defaultColWidth="9.140625" defaultRowHeight="15" outlineLevelRow="1"/>
  <cols>
    <col width="5.7109375" customWidth="1" style="134" min="1" max="1"/>
    <col width="22.5703125" customWidth="1" style="134" min="2" max="2"/>
    <col width="39.140625" customWidth="1" style="134" min="3" max="3"/>
    <col width="10.7109375" customWidth="1" style="134" min="4" max="4"/>
    <col width="12.7109375" customWidth="1" style="134" min="5" max="5"/>
    <col width="14.5703125" customWidth="1" style="134" min="6" max="6"/>
    <col width="13.42578125" customWidth="1" style="134" min="7" max="7"/>
    <col width="12.7109375" customWidth="1" style="134" min="8" max="8"/>
    <col width="14.5703125" customWidth="1" style="134" min="9" max="9"/>
    <col width="15.140625" customWidth="1" style="134" min="10" max="10"/>
    <col width="22.42578125" customWidth="1" style="134" min="11" max="11"/>
    <col width="16.28515625" customWidth="1" style="134" min="12" max="12"/>
    <col width="10.85546875" customWidth="1" style="134" min="13" max="13"/>
    <col width="9.140625" customWidth="1" style="134" min="14" max="14"/>
    <col width="9.140625" customWidth="1" style="143" min="15" max="15"/>
  </cols>
  <sheetData>
    <row r="1" ht="14.25" customFormat="1" customHeight="1" s="134">
      <c r="A1" s="128" t="n"/>
    </row>
    <row r="2" ht="15.75" customFormat="1" customHeight="1" s="134">
      <c r="A2" s="145" t="n"/>
      <c r="B2" s="145" t="n"/>
      <c r="C2" s="145" t="n"/>
      <c r="D2" s="145" t="n"/>
      <c r="E2" s="145" t="n"/>
      <c r="F2" s="145" t="n"/>
      <c r="G2" s="145" t="n"/>
      <c r="H2" s="170" t="inlineStr">
        <is>
          <t>Приложение №5</t>
        </is>
      </c>
    </row>
    <row r="3" ht="15.75" customFormat="1" customHeight="1" s="134">
      <c r="A3" s="145" t="n"/>
      <c r="B3" s="145" t="n"/>
      <c r="C3" s="145" t="n"/>
      <c r="D3" s="145" t="n"/>
      <c r="E3" s="145" t="n"/>
      <c r="F3" s="145" t="n"/>
      <c r="G3" s="145" t="n"/>
      <c r="H3" s="145" t="n"/>
      <c r="I3" s="145" t="n"/>
      <c r="J3" s="145" t="n"/>
    </row>
    <row r="4" ht="15.75" customFormat="1" customHeight="1" s="128">
      <c r="A4" s="151" t="inlineStr">
        <is>
          <t>Расчет стоимости СМР и оборудования</t>
        </is>
      </c>
      <c r="I4" s="151" t="n"/>
      <c r="J4" s="151" t="n"/>
    </row>
    <row r="5" ht="15.75" customFormat="1" customHeight="1" s="128">
      <c r="A5" s="151" t="n"/>
      <c r="B5" s="151" t="n"/>
      <c r="C5" s="151" t="n"/>
      <c r="D5" s="151" t="n"/>
      <c r="E5" s="151" t="n"/>
      <c r="F5" s="151" t="n"/>
      <c r="G5" s="151" t="n"/>
      <c r="H5" s="151" t="n"/>
      <c r="I5" s="151" t="n"/>
      <c r="J5" s="151" t="n"/>
    </row>
    <row r="6" customFormat="1" s="128">
      <c r="A6" s="171" t="inlineStr">
        <is>
          <t xml:space="preserve">Наименование разрабатываемого показателя УНЦ — </t>
        </is>
      </c>
      <c r="D6" s="171" t="inlineStr">
        <is>
          <t>Маслосборник</t>
        </is>
      </c>
    </row>
    <row r="7" ht="15.75" customFormat="1" customHeight="1" s="128">
      <c r="A7" s="171" t="inlineStr">
        <is>
          <t>Единица измерения  — м2</t>
        </is>
      </c>
      <c r="D7" s="32" t="n"/>
      <c r="E7" s="32" t="n"/>
      <c r="F7" s="32" t="n"/>
      <c r="G7" s="32" t="n"/>
      <c r="H7" s="32" t="n"/>
      <c r="I7" s="32" t="n"/>
      <c r="J7" s="32" t="n"/>
    </row>
    <row r="8" ht="15.75" customFormat="1" customHeight="1" s="128">
      <c r="A8" s="145" t="n"/>
      <c r="B8" s="145" t="n"/>
      <c r="C8" s="145" t="n"/>
      <c r="D8" s="145" t="n"/>
      <c r="E8" s="145" t="n"/>
      <c r="F8" s="145" t="n"/>
      <c r="G8" s="145" t="n"/>
      <c r="H8" s="145" t="n"/>
      <c r="I8" s="145" t="n"/>
      <c r="J8" s="145" t="n"/>
    </row>
    <row r="9" ht="27" customFormat="1" customHeight="1" s="145">
      <c r="A9" s="174" t="inlineStr">
        <is>
          <t>№ пп.</t>
        </is>
      </c>
      <c r="B9" s="168" t="inlineStr">
        <is>
          <t>Код ресурса</t>
        </is>
      </c>
      <c r="C9" s="168" t="inlineStr">
        <is>
          <t>Наименование</t>
        </is>
      </c>
      <c r="D9" s="168" t="inlineStr">
        <is>
          <t>Ед. изм.</t>
        </is>
      </c>
      <c r="E9" s="168" t="inlineStr">
        <is>
          <t>Кол-во единиц по проектным данным</t>
        </is>
      </c>
      <c r="F9" s="168" t="inlineStr">
        <is>
          <t>Сметная стоимость в ценах на 01.01.2000 (руб.)</t>
        </is>
      </c>
      <c r="G9" s="200" t="n"/>
      <c r="H9" s="168" t="inlineStr">
        <is>
          <t>Удельный вес, %</t>
        </is>
      </c>
      <c r="I9" s="168" t="inlineStr">
        <is>
          <t>Сметная стоимость в ценах на 01.01.2023 (руб.)</t>
        </is>
      </c>
      <c r="J9" s="200" t="n"/>
      <c r="K9" s="101" t="n"/>
    </row>
    <row r="10" ht="28.5" customFormat="1" customHeight="1" s="145">
      <c r="A10" s="202" t="n"/>
      <c r="B10" s="202" t="n"/>
      <c r="C10" s="202" t="n"/>
      <c r="D10" s="202" t="n"/>
      <c r="E10" s="202" t="n"/>
      <c r="F10" s="168" t="inlineStr">
        <is>
          <t>на ед. изм.</t>
        </is>
      </c>
      <c r="G10" s="168" t="inlineStr">
        <is>
          <t>общая</t>
        </is>
      </c>
      <c r="H10" s="202" t="n"/>
      <c r="I10" s="168" t="inlineStr">
        <is>
          <t>на ед. изм.</t>
        </is>
      </c>
      <c r="J10" s="168" t="inlineStr">
        <is>
          <t>общая</t>
        </is>
      </c>
    </row>
    <row r="11" ht="15.75" customFormat="1" customHeight="1" s="145">
      <c r="A11" s="174" t="n">
        <v>1</v>
      </c>
      <c r="B11" s="168" t="n">
        <v>2</v>
      </c>
      <c r="C11" s="168" t="n">
        <v>3</v>
      </c>
      <c r="D11" s="168" t="n">
        <v>4</v>
      </c>
      <c r="E11" s="168" t="n">
        <v>5</v>
      </c>
      <c r="F11" s="168" t="n">
        <v>6</v>
      </c>
      <c r="G11" s="168" t="n">
        <v>7</v>
      </c>
      <c r="H11" s="168" t="n">
        <v>8</v>
      </c>
      <c r="I11" s="168" t="n">
        <v>9</v>
      </c>
      <c r="J11" s="168" t="n">
        <v>10</v>
      </c>
    </row>
    <row r="12" ht="15.75" customFormat="1" customHeight="1" s="145">
      <c r="A12" s="177" t="n"/>
      <c r="B12" s="175" t="inlineStr">
        <is>
          <t>Затраты труда рабочих-строителей</t>
        </is>
      </c>
      <c r="C12" s="199" t="n"/>
      <c r="D12" s="199" t="n"/>
      <c r="E12" s="199" t="n"/>
      <c r="F12" s="199" t="n"/>
      <c r="G12" s="199" t="n"/>
      <c r="H12" s="200" t="n"/>
      <c r="I12" s="177" t="n"/>
      <c r="J12" s="177" t="n"/>
    </row>
    <row r="13" ht="31.7" customFormat="1" customHeight="1" s="145">
      <c r="A13" s="164" t="n">
        <v>1</v>
      </c>
      <c r="B13" s="164" t="inlineStr">
        <is>
          <t>1-100-31</t>
        </is>
      </c>
      <c r="C13" s="165" t="inlineStr">
        <is>
          <t>Затраты труда рабочих (Средний разряд работы 3,1)</t>
        </is>
      </c>
      <c r="D13" s="164" t="inlineStr">
        <is>
          <t>чел.-ч</t>
        </is>
      </c>
      <c r="E13" s="164" t="n">
        <v>261.01487414188</v>
      </c>
      <c r="F13" s="169" t="n">
        <v>8.74</v>
      </c>
      <c r="G13" s="169">
        <f>ROUND(E13*F13,2)</f>
        <v/>
      </c>
      <c r="H13" s="42">
        <f>G13/G14</f>
        <v/>
      </c>
      <c r="I13" s="169">
        <f>ФОТр.тек.!E13</f>
        <v/>
      </c>
      <c r="J13" s="169">
        <f>ROUND(E13*I13,2)</f>
        <v/>
      </c>
    </row>
    <row r="14" ht="31.7" customFormat="1" customHeight="1" s="145">
      <c r="A14" s="164" t="n"/>
      <c r="B14" s="164" t="n"/>
      <c r="C14" s="165" t="inlineStr">
        <is>
          <t>Итого по разделу "Затраты труда рабочих-строителей"</t>
        </is>
      </c>
      <c r="D14" s="164" t="inlineStr">
        <is>
          <t>чел.-ч</t>
        </is>
      </c>
      <c r="E14" s="164">
        <f>SUM(E13:E13)</f>
        <v/>
      </c>
      <c r="F14" s="169" t="n"/>
      <c r="G14" s="169">
        <f>SUM(G13:G13)</f>
        <v/>
      </c>
      <c r="H14" s="42" t="n">
        <v>1</v>
      </c>
      <c r="I14" s="169" t="n"/>
      <c r="J14" s="169">
        <f>SUM(J13:J13)</f>
        <v/>
      </c>
    </row>
    <row r="15" ht="15.75" customFormat="1" customHeight="1" s="145">
      <c r="A15" s="164" t="n"/>
      <c r="B15" s="164" t="inlineStr">
        <is>
          <t>Затраты труда машинистов</t>
        </is>
      </c>
      <c r="C15" s="199" t="n"/>
      <c r="D15" s="199" t="n"/>
      <c r="E15" s="199" t="n"/>
      <c r="F15" s="199" t="n"/>
      <c r="G15" s="199" t="n"/>
      <c r="H15" s="200" t="n"/>
      <c r="I15" s="169" t="n"/>
      <c r="J15" s="169" t="n"/>
    </row>
    <row r="16" ht="15.75" customFormat="1" customHeight="1" s="145">
      <c r="A16" s="164" t="n">
        <v>2</v>
      </c>
      <c r="B16" s="164" t="n">
        <v>2</v>
      </c>
      <c r="C16" s="165" t="inlineStr">
        <is>
          <t>Затраты труда машинистов</t>
        </is>
      </c>
      <c r="D16" s="164" t="inlineStr">
        <is>
          <t>чел.-ч</t>
        </is>
      </c>
      <c r="E16" s="164" t="n">
        <v>62.9350226</v>
      </c>
      <c r="F16" s="169" t="n">
        <v>13.19</v>
      </c>
      <c r="G16" s="169">
        <f>ROUND(E16*F16,2)</f>
        <v/>
      </c>
      <c r="H16" s="42" t="n">
        <v>1</v>
      </c>
      <c r="I16" s="169">
        <f>ROUND(F16*Прил.10!$D$10,2)</f>
        <v/>
      </c>
      <c r="J16" s="169">
        <f>ROUND(E16*I16,2)</f>
        <v/>
      </c>
    </row>
    <row r="17" ht="15.75" customFormat="1" customHeight="1" s="145">
      <c r="A17" s="164" t="n"/>
      <c r="B17" s="163" t="inlineStr">
        <is>
          <t>Машины и механизмы</t>
        </is>
      </c>
      <c r="C17" s="199" t="n"/>
      <c r="D17" s="199" t="n"/>
      <c r="E17" s="199" t="n"/>
      <c r="F17" s="199" t="n"/>
      <c r="G17" s="199" t="n"/>
      <c r="H17" s="200" t="n"/>
      <c r="I17" s="169" t="n"/>
      <c r="J17" s="169" t="n"/>
    </row>
    <row r="18" ht="15.75" customFormat="1" customHeight="1" s="145">
      <c r="A18" s="164" t="n"/>
      <c r="B18" s="164" t="inlineStr">
        <is>
          <t>Основные Машины и механизмы</t>
        </is>
      </c>
      <c r="C18" s="199" t="n"/>
      <c r="D18" s="199" t="n"/>
      <c r="E18" s="199" t="n"/>
      <c r="F18" s="199" t="n"/>
      <c r="G18" s="199" t="n"/>
      <c r="H18" s="200" t="n"/>
      <c r="I18" s="169" t="n"/>
      <c r="J18" s="169" t="n"/>
    </row>
    <row r="19" ht="63" customFormat="1" customHeight="1" s="145">
      <c r="A19" s="164" t="n">
        <v>3</v>
      </c>
      <c r="B19" s="178" t="inlineStr">
        <is>
          <t>91.18.01-007</t>
        </is>
      </c>
      <c r="C19" s="18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19" s="183" t="inlineStr">
        <is>
          <t>маш.час</t>
        </is>
      </c>
      <c r="E19" s="181" t="n">
        <v>27.705</v>
      </c>
      <c r="F19" s="47" t="n">
        <v>90</v>
      </c>
      <c r="G19" s="47">
        <f>ROUND(E19*F19,2)</f>
        <v/>
      </c>
      <c r="H19" s="42">
        <f>G19/G43</f>
        <v/>
      </c>
      <c r="I19" s="169">
        <f>ROUND(F19*Прил.10!$D$11,2)</f>
        <v/>
      </c>
      <c r="J19" s="169">
        <f>ROUND(E19*I19,2)</f>
        <v/>
      </c>
    </row>
    <row r="20" ht="47.25" customFormat="1" customHeight="1" s="145">
      <c r="A20" s="164" t="n">
        <v>4</v>
      </c>
      <c r="B20" s="178" t="inlineStr">
        <is>
          <t>91.01.05-085</t>
        </is>
      </c>
      <c r="C20" s="180" t="inlineStr">
        <is>
          <t>Экскаваторы одноковшовые дизельные на гусеничном ходу, емкость ковша 0,5 м3</t>
        </is>
      </c>
      <c r="D20" s="183" t="inlineStr">
        <is>
          <t>маш.час</t>
        </is>
      </c>
      <c r="E20" s="181" t="n">
        <v>8.3331</v>
      </c>
      <c r="F20" s="47" t="n">
        <v>100</v>
      </c>
      <c r="G20" s="47">
        <f>ROUND(E20*F20,2)</f>
        <v/>
      </c>
      <c r="H20" s="42">
        <f>G20/G43</f>
        <v/>
      </c>
      <c r="I20" s="169">
        <f>ROUND(F20*Прил.10!$D$11,2)</f>
        <v/>
      </c>
      <c r="J20" s="169">
        <f>ROUND(E20*I20,2)</f>
        <v/>
      </c>
    </row>
    <row r="21" ht="15.75" customFormat="1" customHeight="1" s="145">
      <c r="A21" s="164" t="n">
        <v>5</v>
      </c>
      <c r="B21" s="178" t="inlineStr">
        <is>
          <t>91.21.03-011</t>
        </is>
      </c>
      <c r="C21" s="180" t="inlineStr">
        <is>
          <t>Аппараты дробеструйные</t>
        </is>
      </c>
      <c r="D21" s="183" t="inlineStr">
        <is>
          <t>маш.час</t>
        </is>
      </c>
      <c r="E21" s="181" t="n">
        <v>22.765</v>
      </c>
      <c r="F21" s="47" t="n">
        <v>28.73</v>
      </c>
      <c r="G21" s="47">
        <f>ROUND(E21*F21,2)</f>
        <v/>
      </c>
      <c r="H21" s="42">
        <f>G21/G43</f>
        <v/>
      </c>
      <c r="I21" s="169">
        <f>ROUND(F21*Прил.10!$D$11,2)</f>
        <v/>
      </c>
      <c r="J21" s="169">
        <f>ROUND(E21*I21,2)</f>
        <v/>
      </c>
    </row>
    <row r="22" ht="31.7" customFormat="1" customHeight="1" s="145">
      <c r="A22" s="164" t="n">
        <v>6</v>
      </c>
      <c r="B22" s="178" t="inlineStr">
        <is>
          <t>91.05.08-006</t>
        </is>
      </c>
      <c r="C22" s="180" t="inlineStr">
        <is>
          <t>Краны на пневмоколесном ходу, грузоподъемность 16 т</t>
        </is>
      </c>
      <c r="D22" s="183" t="inlineStr">
        <is>
          <t>маш.час</t>
        </is>
      </c>
      <c r="E22" s="181" t="n">
        <v>4.8</v>
      </c>
      <c r="F22" s="47" t="n">
        <v>131.16</v>
      </c>
      <c r="G22" s="47">
        <f>ROUND(E22*F22,2)</f>
        <v/>
      </c>
      <c r="H22" s="42">
        <f>G22/G43</f>
        <v/>
      </c>
      <c r="I22" s="169">
        <f>ROUND(F22*Прил.10!$D$11,2)</f>
        <v/>
      </c>
      <c r="J22" s="169">
        <f>ROUND(E22*I22,2)</f>
        <v/>
      </c>
    </row>
    <row r="23" ht="31.7" customFormat="1" customHeight="1" s="145">
      <c r="A23" s="164" t="n">
        <v>7</v>
      </c>
      <c r="B23" s="178" t="inlineStr">
        <is>
          <t>91.14.02-001</t>
        </is>
      </c>
      <c r="C23" s="180" t="inlineStr">
        <is>
          <t>Автомобили бортовые, грузоподъемность до 5 т</t>
        </is>
      </c>
      <c r="D23" s="183" t="inlineStr">
        <is>
          <t>маш.час</t>
        </is>
      </c>
      <c r="E23" s="181" t="n">
        <v>7.2253233</v>
      </c>
      <c r="F23" s="47" t="n">
        <v>65.70999999999999</v>
      </c>
      <c r="G23" s="47">
        <f>ROUND(E23*F23,2)</f>
        <v/>
      </c>
      <c r="H23" s="42">
        <f>G23/G43</f>
        <v/>
      </c>
      <c r="I23" s="169">
        <f>ROUND(F23*Прил.10!$D$11,2)</f>
        <v/>
      </c>
      <c r="J23" s="169">
        <f>ROUND(E23*I23,2)</f>
        <v/>
      </c>
    </row>
    <row r="24" ht="63" customFormat="1" customHeight="1" s="145">
      <c r="A24" s="164" t="n">
        <v>8</v>
      </c>
      <c r="B24" s="178" t="inlineStr">
        <is>
          <t>91.06.05-057</t>
        </is>
      </c>
      <c r="C24" s="180" t="inlineStr">
        <is>
          <t>Погрузчики одноковшовые универсальные фронтальные пневмоколесные, грузоподъемность 3 т</t>
        </is>
      </c>
      <c r="D24" s="183" t="inlineStr">
        <is>
          <t>маш.час</t>
        </is>
      </c>
      <c r="E24" s="181" t="n">
        <v>4.893</v>
      </c>
      <c r="F24" s="47" t="n">
        <v>90.40000000000001</v>
      </c>
      <c r="G24" s="47">
        <f>ROUND(E24*F24,2)</f>
        <v/>
      </c>
      <c r="H24" s="42">
        <f>G24/G43</f>
        <v/>
      </c>
      <c r="I24" s="169">
        <f>ROUND(F24*Прил.10!$D$11,2)</f>
        <v/>
      </c>
      <c r="J24" s="169">
        <f>ROUND(E24*I24,2)</f>
        <v/>
      </c>
    </row>
    <row r="25" ht="31.7" customFormat="1" customHeight="1" s="145">
      <c r="A25" s="164" t="n">
        <v>9</v>
      </c>
      <c r="B25" s="178" t="inlineStr">
        <is>
          <t>91.01.01-035</t>
        </is>
      </c>
      <c r="C25" s="180" t="inlineStr">
        <is>
          <t>Бульдозеры, мощность 79 кВт (108 л.с.)</t>
        </is>
      </c>
      <c r="D25" s="183" t="inlineStr">
        <is>
          <t>маш.час</t>
        </is>
      </c>
      <c r="E25" s="181" t="n">
        <v>3.844455</v>
      </c>
      <c r="F25" s="47" t="n">
        <v>79.06999999999999</v>
      </c>
      <c r="G25" s="47">
        <f>ROUND(E25*F25,2)</f>
        <v/>
      </c>
      <c r="H25" s="42">
        <f>G25/G43</f>
        <v/>
      </c>
      <c r="I25" s="169">
        <f>ROUND(F25*Прил.10!$D$11,2)</f>
        <v/>
      </c>
      <c r="J25" s="169">
        <f>ROUND(E25*I25,2)</f>
        <v/>
      </c>
    </row>
    <row r="26" ht="15.75" customFormat="1" customHeight="1" s="145">
      <c r="A26" s="164" t="n"/>
      <c r="B26" s="178" t="inlineStr">
        <is>
          <t>Итого основные Машины и механизмы</t>
        </is>
      </c>
      <c r="C26" s="199" t="n"/>
      <c r="D26" s="199" t="n"/>
      <c r="E26" s="199" t="n"/>
      <c r="F26" s="200" t="n"/>
      <c r="G26" s="47">
        <f>SUM(G19:G25)</f>
        <v/>
      </c>
      <c r="H26" s="42">
        <f>SUM(H19:H25)</f>
        <v/>
      </c>
      <c r="I26" s="169" t="n"/>
      <c r="J26" s="169">
        <f>SUM(J19:J25)</f>
        <v/>
      </c>
    </row>
    <row r="27" hidden="1" outlineLevel="1" ht="31.7" customFormat="1" customHeight="1" s="145">
      <c r="A27" s="164" t="n">
        <v>10</v>
      </c>
      <c r="B27" s="178" t="inlineStr">
        <is>
          <t>91.05.06-012</t>
        </is>
      </c>
      <c r="C27" s="180" t="inlineStr">
        <is>
          <t>Краны на гусеничном ходу, грузоподъемность до 16 т</t>
        </is>
      </c>
      <c r="D27" s="183" t="inlineStr">
        <is>
          <t>маш.час</t>
        </is>
      </c>
      <c r="E27" s="181" t="n">
        <v>1.8</v>
      </c>
      <c r="F27" s="47" t="n">
        <v>96.89</v>
      </c>
      <c r="G27" s="47">
        <f>ROUND(E27*F27,2)</f>
        <v/>
      </c>
      <c r="H27" s="42">
        <f>G27/G43</f>
        <v/>
      </c>
      <c r="I27" s="169">
        <f>ROUND(F27*Прил.10!$D$11,2)</f>
        <v/>
      </c>
      <c r="J27" s="169">
        <f>ROUND(E27*I27,2)</f>
        <v/>
      </c>
    </row>
    <row r="28" hidden="1" outlineLevel="1" ht="47.25" customFormat="1" customHeight="1" s="145">
      <c r="A28" s="164" t="n">
        <v>11</v>
      </c>
      <c r="B28" s="178" t="inlineStr">
        <is>
          <t>91.17.04-033</t>
        </is>
      </c>
      <c r="C28" s="180" t="inlineStr">
        <is>
          <t>Агрегаты сварочные двухпостовые для ручной сварки на тракторе, мощность 79 кВт (108 л.с.)</t>
        </is>
      </c>
      <c r="D28" s="183" t="inlineStr">
        <is>
          <t>маш.час</t>
        </is>
      </c>
      <c r="E28" s="181" t="n">
        <v>1.1357163</v>
      </c>
      <c r="F28" s="47" t="n">
        <v>133.97</v>
      </c>
      <c r="G28" s="47">
        <f>ROUND(E28*F28,2)</f>
        <v/>
      </c>
      <c r="H28" s="42">
        <f>G28/G43</f>
        <v/>
      </c>
      <c r="I28" s="169">
        <f>ROUND(F28*Прил.10!$D$11,2)</f>
        <v/>
      </c>
      <c r="J28" s="169">
        <f>ROUND(E28*I28,2)</f>
        <v/>
      </c>
    </row>
    <row r="29" hidden="1" outlineLevel="1" ht="15.75" customFormat="1" customHeight="1" s="145">
      <c r="A29" s="164" t="n">
        <v>12</v>
      </c>
      <c r="B29" s="178" t="inlineStr">
        <is>
          <t>91.06.05-011</t>
        </is>
      </c>
      <c r="C29" s="180" t="inlineStr">
        <is>
          <t>Погрузчики, грузоподъемность 5 т</t>
        </is>
      </c>
      <c r="D29" s="183" t="inlineStr">
        <is>
          <t>маш.час</t>
        </is>
      </c>
      <c r="E29" s="181" t="n">
        <v>1.68666</v>
      </c>
      <c r="F29" s="47" t="n">
        <v>89.98999999999999</v>
      </c>
      <c r="G29" s="47">
        <f>ROUND(E29*F29,2)</f>
        <v/>
      </c>
      <c r="H29" s="42">
        <f>G29/G43</f>
        <v/>
      </c>
      <c r="I29" s="169">
        <f>ROUND(F29*Прил.10!$D$11,2)</f>
        <v/>
      </c>
      <c r="J29" s="169">
        <f>ROUND(E29*I29,2)</f>
        <v/>
      </c>
    </row>
    <row r="30" hidden="1" outlineLevel="1" ht="31.7" customFormat="1" customHeight="1" s="145">
      <c r="A30" s="164" t="n">
        <v>13</v>
      </c>
      <c r="B30" s="178" t="inlineStr">
        <is>
          <t>91.08.09-024</t>
        </is>
      </c>
      <c r="C30" s="180" t="inlineStr">
        <is>
          <t>Трамбовки пневматические при работе от стационарного компрессора</t>
        </is>
      </c>
      <c r="D30" s="183" t="inlineStr">
        <is>
          <t>маш.час</t>
        </is>
      </c>
      <c r="E30" s="181" t="n">
        <v>25.476</v>
      </c>
      <c r="F30" s="47" t="n">
        <v>4.91</v>
      </c>
      <c r="G30" s="47">
        <f>ROUND(E30*F30,2)</f>
        <v/>
      </c>
      <c r="H30" s="42">
        <f>G30/G43</f>
        <v/>
      </c>
      <c r="I30" s="169">
        <f>ROUND(F30*Прил.10!$D$11,2)</f>
        <v/>
      </c>
      <c r="J30" s="169">
        <f>ROUND(E30*I30,2)</f>
        <v/>
      </c>
    </row>
    <row r="31" hidden="1" outlineLevel="1" ht="31.7" customFormat="1" customHeight="1" s="145">
      <c r="A31" s="164" t="n">
        <v>14</v>
      </c>
      <c r="B31" s="178" t="inlineStr">
        <is>
          <t>91.01.01-036</t>
        </is>
      </c>
      <c r="C31" s="180" t="inlineStr">
        <is>
          <t>Бульдозеры, мощность 96 кВт (130 л.с.)</t>
        </is>
      </c>
      <c r="D31" s="183" t="inlineStr">
        <is>
          <t>маш.час</t>
        </is>
      </c>
      <c r="E31" s="181" t="n">
        <v>1.03273</v>
      </c>
      <c r="F31" s="47" t="n">
        <v>94.05</v>
      </c>
      <c r="G31" s="47">
        <f>ROUND(E31*F31,2)</f>
        <v/>
      </c>
      <c r="H31" s="42">
        <f>G31/G43</f>
        <v/>
      </c>
      <c r="I31" s="169">
        <f>ROUND(F31*Прил.10!$D$11,2)</f>
        <v/>
      </c>
      <c r="J31" s="169">
        <f>ROUND(E31*I31,2)</f>
        <v/>
      </c>
    </row>
    <row r="32" hidden="1" outlineLevel="1" ht="31.7" customFormat="1" customHeight="1" s="145">
      <c r="A32" s="164" t="n">
        <v>15</v>
      </c>
      <c r="B32" s="178" t="inlineStr">
        <is>
          <t>91.05.05-015</t>
        </is>
      </c>
      <c r="C32" s="180" t="inlineStr">
        <is>
          <t>Краны на автомобильном ходу, грузоподъемность 16 т</t>
        </is>
      </c>
      <c r="D32" s="183" t="inlineStr">
        <is>
          <t>маш.час</t>
        </is>
      </c>
      <c r="E32" s="181" t="n">
        <v>0.42502</v>
      </c>
      <c r="F32" s="47" t="n">
        <v>115.4</v>
      </c>
      <c r="G32" s="47">
        <f>ROUND(E32*F32,2)</f>
        <v/>
      </c>
      <c r="H32" s="42">
        <f>G32/G43</f>
        <v/>
      </c>
      <c r="I32" s="169">
        <f>ROUND(F32*Прил.10!$D$11,2)</f>
        <v/>
      </c>
      <c r="J32" s="169">
        <f>ROUND(E32*I32,2)</f>
        <v/>
      </c>
    </row>
    <row r="33" hidden="1" outlineLevel="1" ht="31.7" customFormat="1" customHeight="1" s="145">
      <c r="A33" s="164" t="n">
        <v>16</v>
      </c>
      <c r="B33" s="178" t="inlineStr">
        <is>
          <t>91.17.04-233</t>
        </is>
      </c>
      <c r="C33" s="180" t="inlineStr">
        <is>
          <t>Установки для сварки ручной дуговой (постоянного тока)</t>
        </is>
      </c>
      <c r="D33" s="183" t="inlineStr">
        <is>
          <t>маш.час</t>
        </is>
      </c>
      <c r="E33" s="181" t="n">
        <v>4.887</v>
      </c>
      <c r="F33" s="47" t="n">
        <v>8.1</v>
      </c>
      <c r="G33" s="47">
        <f>ROUND(E33*F33,2)</f>
        <v/>
      </c>
      <c r="H33" s="42">
        <f>G33/G43</f>
        <v/>
      </c>
      <c r="I33" s="169">
        <f>ROUND(F33*Прил.10!$D$11,2)</f>
        <v/>
      </c>
      <c r="J33" s="169">
        <f>ROUND(E33*I33,2)</f>
        <v/>
      </c>
    </row>
    <row r="34" hidden="1" outlineLevel="1" ht="31.7" customFormat="1" customHeight="1" s="145">
      <c r="A34" s="164" t="n">
        <v>17</v>
      </c>
      <c r="B34" s="178" t="inlineStr">
        <is>
          <t>91.21.22-638</t>
        </is>
      </c>
      <c r="C34" s="180" t="inlineStr">
        <is>
          <t>Пылесосы промышленные, мощность до 2000 Вт</t>
        </is>
      </c>
      <c r="D34" s="183" t="inlineStr">
        <is>
          <t>маш.час</t>
        </is>
      </c>
      <c r="E34" s="181" t="n">
        <v>7.87562</v>
      </c>
      <c r="F34" s="47" t="n">
        <v>3.29</v>
      </c>
      <c r="G34" s="47">
        <f>ROUND(E34*F34,2)</f>
        <v/>
      </c>
      <c r="H34" s="42">
        <f>G34/G43</f>
        <v/>
      </c>
      <c r="I34" s="169">
        <f>ROUND(F34*Прил.10!$D$11,2)</f>
        <v/>
      </c>
      <c r="J34" s="169">
        <f>ROUND(E34*I34,2)</f>
        <v/>
      </c>
    </row>
    <row r="35" hidden="1" outlineLevel="1" ht="47.25" customFormat="1" customHeight="1" s="145">
      <c r="A35" s="164" t="n">
        <v>18</v>
      </c>
      <c r="B35" s="178" t="inlineStr">
        <is>
          <t>91.21.01-012</t>
        </is>
      </c>
      <c r="C35" s="180" t="inlineStr">
        <is>
          <t>Агрегаты окрасочные высокого давления для окраски поверхностей конструкций, мощность 1 кВт</t>
        </is>
      </c>
      <c r="D35" s="183" t="inlineStr">
        <is>
          <t>маш.час</t>
        </is>
      </c>
      <c r="E35" s="181" t="n">
        <v>2.48845</v>
      </c>
      <c r="F35" s="47" t="n">
        <v>6.82</v>
      </c>
      <c r="G35" s="47">
        <f>ROUND(E35*F35,2)</f>
        <v/>
      </c>
      <c r="H35" s="42">
        <f>G35/G43</f>
        <v/>
      </c>
      <c r="I35" s="169">
        <f>ROUND(F35*Прил.10!$D$11,2)</f>
        <v/>
      </c>
      <c r="J35" s="169">
        <f>ROUND(E35*I35,2)</f>
        <v/>
      </c>
    </row>
    <row r="36" hidden="1" outlineLevel="1" ht="31.7" customFormat="1" customHeight="1" s="145">
      <c r="A36" s="164" t="n">
        <v>19</v>
      </c>
      <c r="B36" s="178" t="inlineStr">
        <is>
          <t>91.14.03-001</t>
        </is>
      </c>
      <c r="C36" s="180" t="inlineStr">
        <is>
          <t>Автомобили-самосвалы, грузоподъемность до 7 т</t>
        </is>
      </c>
      <c r="D36" s="183" t="inlineStr">
        <is>
          <t>маш.час</t>
        </is>
      </c>
      <c r="E36" s="181" t="n">
        <v>0.02364</v>
      </c>
      <c r="F36" s="47" t="n">
        <v>89.54000000000001</v>
      </c>
      <c r="G36" s="47">
        <f>ROUND(E36*F36,2)</f>
        <v/>
      </c>
      <c r="H36" s="42">
        <f>G36/G43</f>
        <v/>
      </c>
      <c r="I36" s="169">
        <f>ROUND(F36*Прил.10!$D$11,2)</f>
        <v/>
      </c>
      <c r="J36" s="169">
        <f>ROUND(E36*I36,2)</f>
        <v/>
      </c>
    </row>
    <row r="37" hidden="1" outlineLevel="1" ht="31.7" customFormat="1" customHeight="1" s="145">
      <c r="A37" s="164" t="n">
        <v>20</v>
      </c>
      <c r="B37" s="178" t="inlineStr">
        <is>
          <t>91.06.03-060</t>
        </is>
      </c>
      <c r="C37" s="180" t="inlineStr">
        <is>
          <t>Лебедки электрические тяговым усилием до 5,79 кН (0,59 т)</t>
        </is>
      </c>
      <c r="D37" s="183" t="inlineStr">
        <is>
          <t>маш.час</t>
        </is>
      </c>
      <c r="E37" s="181" t="n">
        <v>0.8164</v>
      </c>
      <c r="F37" s="47" t="n">
        <v>1.7</v>
      </c>
      <c r="G37" s="47">
        <f>ROUND(E37*F37,2)</f>
        <v/>
      </c>
      <c r="H37" s="42">
        <f>G37/G43</f>
        <v/>
      </c>
      <c r="I37" s="169">
        <f>ROUND(F37*Прил.10!$D$11,2)</f>
        <v/>
      </c>
      <c r="J37" s="169">
        <f>ROUND(E37*I37,2)</f>
        <v/>
      </c>
    </row>
    <row r="38" hidden="1" outlineLevel="1" ht="47.25" customFormat="1" customHeight="1" s="145">
      <c r="A38" s="164" t="n">
        <v>21</v>
      </c>
      <c r="B38" s="178" t="inlineStr">
        <is>
          <t>91.06.06-048</t>
        </is>
      </c>
      <c r="C38" s="180" t="inlineStr">
        <is>
          <t>Подъемники одномачтовые, грузоподъемность до 500 кг, высота подъема 45 м</t>
        </is>
      </c>
      <c r="D38" s="183" t="inlineStr">
        <is>
          <t>маш.час</t>
        </is>
      </c>
      <c r="E38" s="181" t="n">
        <v>0.030378</v>
      </c>
      <c r="F38" s="47" t="n">
        <v>31.26</v>
      </c>
      <c r="G38" s="47">
        <f>ROUND(E38*F38,2)</f>
        <v/>
      </c>
      <c r="H38" s="42">
        <f>G38/G43</f>
        <v/>
      </c>
      <c r="I38" s="169">
        <f>ROUND(F38*Прил.10!$D$11,2)</f>
        <v/>
      </c>
      <c r="J38" s="169">
        <f>ROUND(E38*I38,2)</f>
        <v/>
      </c>
    </row>
    <row r="39" hidden="1" outlineLevel="1" ht="15.75" customFormat="1" customHeight="1" s="145">
      <c r="A39" s="164" t="n">
        <v>22</v>
      </c>
      <c r="B39" s="178" t="inlineStr">
        <is>
          <t>91.17.04-042</t>
        </is>
      </c>
      <c r="C39" s="180" t="inlineStr">
        <is>
          <t>Аппараты для газовой сварки и резки</t>
        </is>
      </c>
      <c r="D39" s="183" t="inlineStr">
        <is>
          <t>маш.час</t>
        </is>
      </c>
      <c r="E39" s="181" t="n">
        <v>0.3</v>
      </c>
      <c r="F39" s="47" t="n">
        <v>1.2</v>
      </c>
      <c r="G39" s="47">
        <f>ROUND(E39*F39,2)</f>
        <v/>
      </c>
      <c r="H39" s="42">
        <f>G39/G43</f>
        <v/>
      </c>
      <c r="I39" s="169">
        <f>ROUND(F39*Прил.10!$D$11,2)</f>
        <v/>
      </c>
      <c r="J39" s="169">
        <f>ROUND(E39*I39,2)</f>
        <v/>
      </c>
    </row>
    <row r="40" hidden="1" outlineLevel="1" ht="47.25" customFormat="1" customHeight="1" s="145">
      <c r="A40" s="164" t="n">
        <v>23</v>
      </c>
      <c r="B40" s="178" t="inlineStr">
        <is>
          <t>91.08.09-023</t>
        </is>
      </c>
      <c r="C40" s="180" t="inlineStr">
        <is>
          <t>Трамбовки пневматические при работе от передвижных компрессорных станций</t>
        </is>
      </c>
      <c r="D40" s="183" t="inlineStr">
        <is>
          <t>маш.час</t>
        </is>
      </c>
      <c r="E40" s="181" t="n">
        <v>0.465</v>
      </c>
      <c r="F40" s="47" t="n">
        <v>0.55</v>
      </c>
      <c r="G40" s="47">
        <f>ROUND(E40*F40,2)</f>
        <v/>
      </c>
      <c r="H40" s="42">
        <f>G40/G43</f>
        <v/>
      </c>
      <c r="I40" s="169">
        <f>ROUND(F40*Прил.10!$D$11,2)</f>
        <v/>
      </c>
      <c r="J40" s="169">
        <f>ROUND(E40*I40,2)</f>
        <v/>
      </c>
    </row>
    <row r="41" hidden="1" outlineLevel="1" ht="15.75" customFormat="1" customHeight="1" s="145">
      <c r="A41" s="164" t="n">
        <v>24</v>
      </c>
      <c r="B41" s="178" t="inlineStr">
        <is>
          <t>91.07.04-002</t>
        </is>
      </c>
      <c r="C41" s="180" t="inlineStr">
        <is>
          <t>Вибраторы поверхностные</t>
        </is>
      </c>
      <c r="D41" s="183" t="inlineStr">
        <is>
          <t>маш.час</t>
        </is>
      </c>
      <c r="E41" s="181" t="n">
        <v>0.124806</v>
      </c>
      <c r="F41" s="47" t="n">
        <v>0.5</v>
      </c>
      <c r="G41" s="47">
        <f>ROUND(E41*F41,2)</f>
        <v/>
      </c>
      <c r="H41" s="42">
        <f>G41/G43</f>
        <v/>
      </c>
      <c r="I41" s="169">
        <f>ROUND(F41*Прил.10!$D$11,2)</f>
        <v/>
      </c>
      <c r="J41" s="169">
        <f>ROUND(E41*I41,2)</f>
        <v/>
      </c>
    </row>
    <row r="42" collapsed="1" ht="15.75" customFormat="1" customHeight="1" s="145">
      <c r="A42" s="164" t="n"/>
      <c r="B42" s="164" t="inlineStr">
        <is>
          <t>Итого прочие Машины и механизмы</t>
        </is>
      </c>
      <c r="C42" s="199" t="n"/>
      <c r="D42" s="199" t="n"/>
      <c r="E42" s="199" t="n"/>
      <c r="F42" s="200" t="n"/>
      <c r="G42" s="169">
        <f>SUM(G27:G41)</f>
        <v/>
      </c>
      <c r="H42" s="42">
        <f>SUM(H27:H41)</f>
        <v/>
      </c>
      <c r="I42" s="169" t="n"/>
      <c r="J42" s="169">
        <f>SUM(J27:J41)</f>
        <v/>
      </c>
    </row>
    <row r="43" ht="15.75" customFormat="1" customHeight="1" s="145">
      <c r="A43" s="164" t="n"/>
      <c r="B43" s="164" t="inlineStr">
        <is>
          <t>Итого по разделу "Машины и механизмы"</t>
        </is>
      </c>
      <c r="C43" s="199" t="n"/>
      <c r="D43" s="199" t="n"/>
      <c r="E43" s="199" t="n"/>
      <c r="F43" s="200" t="n"/>
      <c r="G43" s="169">
        <f>G26+G42</f>
        <v/>
      </c>
      <c r="H43" s="42">
        <f>H26+H42</f>
        <v/>
      </c>
      <c r="I43" s="169" t="n"/>
      <c r="J43" s="169">
        <f>J26+J42</f>
        <v/>
      </c>
    </row>
    <row r="44" ht="15.75" customFormat="1" customHeight="1" s="145">
      <c r="A44" s="177" t="n"/>
      <c r="B44" s="175" t="inlineStr">
        <is>
          <t>Оборудование</t>
        </is>
      </c>
      <c r="C44" s="199" t="n"/>
      <c r="D44" s="199" t="n"/>
      <c r="E44" s="199" t="n"/>
      <c r="F44" s="199" t="n"/>
      <c r="G44" s="199" t="n"/>
      <c r="H44" s="199" t="n"/>
      <c r="I44" s="199" t="n"/>
      <c r="J44" s="200" t="n"/>
    </row>
    <row r="45" ht="15.75" customFormat="1" customHeight="1" s="145">
      <c r="A45" s="177" t="n"/>
      <c r="B45" s="177" t="inlineStr">
        <is>
          <t>Основное оборудование</t>
        </is>
      </c>
      <c r="C45" s="199" t="n"/>
      <c r="D45" s="199" t="n"/>
      <c r="E45" s="199" t="n"/>
      <c r="F45" s="199" t="n"/>
      <c r="G45" s="199" t="n"/>
      <c r="H45" s="199" t="n"/>
      <c r="I45" s="199" t="n"/>
      <c r="J45" s="200" t="n"/>
    </row>
    <row r="46" hidden="1" outlineLevel="1" ht="15.75" customFormat="1" customHeight="1" s="145">
      <c r="A46" s="177" t="n"/>
      <c r="B46" s="177" t="n"/>
      <c r="C46" s="177" t="inlineStr">
        <is>
          <t>Итого основное оборудование</t>
        </is>
      </c>
      <c r="D46" s="177" t="n"/>
      <c r="E46" s="177" t="n"/>
      <c r="F46" s="179" t="n"/>
      <c r="G46" s="179" t="n">
        <v>0</v>
      </c>
      <c r="H46" s="177" t="n">
        <v>0</v>
      </c>
      <c r="I46" s="179" t="n"/>
      <c r="J46" s="179" t="n">
        <v>0</v>
      </c>
    </row>
    <row r="47" collapsed="1" ht="15.75" customFormat="1" customHeight="1" s="145">
      <c r="A47" s="177" t="n"/>
      <c r="B47" s="177" t="inlineStr">
        <is>
          <t>Прочее оборудование</t>
        </is>
      </c>
      <c r="C47" s="199" t="n"/>
      <c r="D47" s="199" t="n"/>
      <c r="E47" s="199" t="n"/>
      <c r="F47" s="199" t="n"/>
      <c r="G47" s="199" t="n"/>
      <c r="H47" s="199" t="n"/>
      <c r="I47" s="199" t="n"/>
      <c r="J47" s="200" t="n"/>
    </row>
    <row r="48" hidden="1" outlineLevel="1" ht="15.75" customFormat="1" customHeight="1" s="145">
      <c r="A48" s="177" t="n"/>
      <c r="B48" s="177" t="n"/>
      <c r="C48" s="177" t="inlineStr">
        <is>
          <t>Итого прочее оборудование</t>
        </is>
      </c>
      <c r="D48" s="177" t="n"/>
      <c r="E48" s="177" t="n"/>
      <c r="F48" s="179" t="n"/>
      <c r="G48" s="179" t="n">
        <v>0</v>
      </c>
      <c r="H48" s="177" t="n">
        <v>0</v>
      </c>
      <c r="I48" s="179" t="n"/>
      <c r="J48" s="179" t="n">
        <v>0</v>
      </c>
    </row>
    <row r="49" hidden="1" outlineLevel="1" ht="15.75" customFormat="1" customHeight="1" s="145">
      <c r="A49" s="177" t="n"/>
      <c r="B49" s="177" t="n"/>
      <c r="C49" s="175" t="inlineStr">
        <is>
          <t>Итого по разделу «Оборудование»</t>
        </is>
      </c>
      <c r="D49" s="177" t="n"/>
      <c r="E49" s="177" t="n"/>
      <c r="F49" s="179" t="n"/>
      <c r="G49" s="179" t="n">
        <v>0</v>
      </c>
      <c r="H49" s="177" t="n">
        <v>0</v>
      </c>
      <c r="I49" s="179" t="n"/>
      <c r="J49" s="179" t="n">
        <v>0</v>
      </c>
    </row>
    <row r="50" hidden="1" outlineLevel="1" ht="15.75" customFormat="1" customHeight="1" s="145">
      <c r="A50" s="177" t="n"/>
      <c r="B50" s="177" t="n"/>
      <c r="C50" s="177" t="inlineStr">
        <is>
          <t>в том числе технологическое оборудование</t>
        </is>
      </c>
      <c r="D50" s="177" t="n"/>
      <c r="E50" s="177" t="n"/>
      <c r="F50" s="179" t="n"/>
      <c r="G50" s="179" t="n">
        <v>0</v>
      </c>
      <c r="H50" s="177" t="n"/>
      <c r="I50" s="179" t="n"/>
      <c r="J50" s="179" t="n">
        <v>0</v>
      </c>
    </row>
    <row r="51" collapsed="1" ht="15.75" customFormat="1" customHeight="1" s="145">
      <c r="A51" s="164" t="n"/>
      <c r="B51" s="163" t="inlineStr">
        <is>
          <t>Материалы</t>
        </is>
      </c>
      <c r="C51" s="199" t="n"/>
      <c r="D51" s="199" t="n"/>
      <c r="E51" s="199" t="n"/>
      <c r="F51" s="199" t="n"/>
      <c r="G51" s="199" t="n"/>
      <c r="H51" s="200" t="n"/>
      <c r="I51" s="169" t="n"/>
      <c r="J51" s="169" t="n"/>
    </row>
    <row r="52" ht="15.75" customFormat="1" customHeight="1" s="145">
      <c r="A52" s="164" t="n"/>
      <c r="B52" s="164" t="inlineStr">
        <is>
          <t>Основные Материалы</t>
        </is>
      </c>
      <c r="C52" s="199" t="n"/>
      <c r="D52" s="199" t="n"/>
      <c r="E52" s="199" t="n"/>
      <c r="F52" s="199" t="n"/>
      <c r="G52" s="199" t="n"/>
      <c r="H52" s="200" t="n"/>
      <c r="I52" s="169" t="n"/>
      <c r="J52" s="169" t="n"/>
    </row>
    <row r="53" ht="31.7" customFormat="1" customHeight="1" s="145">
      <c r="A53" s="164" t="n">
        <v>25</v>
      </c>
      <c r="B53" s="178" t="inlineStr">
        <is>
          <t>02.2.05.01-0010</t>
        </is>
      </c>
      <c r="C53" s="180" t="inlineStr">
        <is>
          <t>Керамзит щебневидный М 250, фракция 10-20 мм</t>
        </is>
      </c>
      <c r="D53" s="183" t="inlineStr">
        <is>
          <t>м3</t>
        </is>
      </c>
      <c r="E53" s="181" t="n">
        <v>178.09</v>
      </c>
      <c r="F53" s="47" t="n">
        <v>265.72</v>
      </c>
      <c r="G53" s="47">
        <f>ROUND(E53*F53,2)</f>
        <v/>
      </c>
      <c r="H53" s="42">
        <f>G53/G86</f>
        <v/>
      </c>
      <c r="I53" s="169">
        <f>ROUND(F53*Прил.10!$D$12,2)</f>
        <v/>
      </c>
      <c r="J53" s="169">
        <f>ROUND(E53*I53,2)</f>
        <v/>
      </c>
    </row>
    <row r="54" ht="31.7" customFormat="1" customHeight="1" s="145">
      <c r="A54" s="164" t="n">
        <v>26</v>
      </c>
      <c r="B54" s="178" t="inlineStr">
        <is>
          <t>01.2.03.02-0004</t>
        </is>
      </c>
      <c r="C54" s="180" t="inlineStr">
        <is>
          <t>Грунтовка битумно-полимерная, марка "Мадикор"</t>
        </is>
      </c>
      <c r="D54" s="183" t="inlineStr">
        <is>
          <t>т</t>
        </is>
      </c>
      <c r="E54" s="181" t="n">
        <v>1.57</v>
      </c>
      <c r="F54" s="47" t="n">
        <v>16884.59</v>
      </c>
      <c r="G54" s="47">
        <f>ROUND(E54*F54,2)</f>
        <v/>
      </c>
      <c r="H54" s="42">
        <f>G54/G86</f>
        <v/>
      </c>
      <c r="I54" s="169">
        <f>ROUND(F54*Прил.10!$D$12,2)</f>
        <v/>
      </c>
      <c r="J54" s="169">
        <f>ROUND(E54*I54,2)</f>
        <v/>
      </c>
    </row>
    <row r="55" ht="31.7" customFormat="1" customHeight="1" s="145">
      <c r="A55" s="164" t="n">
        <v>27</v>
      </c>
      <c r="B55" s="178" t="inlineStr">
        <is>
          <t>02.3.01.02-0033</t>
        </is>
      </c>
      <c r="C55" s="180" t="inlineStr">
        <is>
          <t>Песок природный обогащенный для строительных работ средний</t>
        </is>
      </c>
      <c r="D55" s="183" t="inlineStr">
        <is>
          <t>м3</t>
        </is>
      </c>
      <c r="E55" s="181" t="n">
        <v>68.31</v>
      </c>
      <c r="F55" s="47" t="n">
        <v>70.59999999999999</v>
      </c>
      <c r="G55" s="47">
        <f>ROUND(E55*F55,2)</f>
        <v/>
      </c>
      <c r="H55" s="42">
        <f>G55/G86</f>
        <v/>
      </c>
      <c r="I55" s="169">
        <f>ROUND(F55*Прил.10!$D$12,2)</f>
        <v/>
      </c>
      <c r="J55" s="169">
        <f>ROUND(E55*I55,2)</f>
        <v/>
      </c>
    </row>
    <row r="56" ht="15.75" customFormat="1" customHeight="1" s="145">
      <c r="A56" s="164" t="n"/>
      <c r="B56" s="178" t="inlineStr">
        <is>
          <t>Итого основные Материалы</t>
        </is>
      </c>
      <c r="C56" s="199" t="n"/>
      <c r="D56" s="199" t="n"/>
      <c r="E56" s="199" t="n"/>
      <c r="F56" s="200" t="n"/>
      <c r="G56" s="47">
        <f>SUM(G53:G55)</f>
        <v/>
      </c>
      <c r="H56" s="42">
        <f>SUM(H53:H55)</f>
        <v/>
      </c>
      <c r="I56" s="169" t="n"/>
      <c r="J56" s="169">
        <f>SUM(J53:J55)</f>
        <v/>
      </c>
    </row>
    <row r="57" hidden="1" outlineLevel="1" ht="204.75" customFormat="1" customHeight="1" s="145">
      <c r="A57" s="164" t="n">
        <v>28</v>
      </c>
      <c r="B57" s="178" t="inlineStr">
        <is>
          <t>14.4.01.21-0409</t>
        </is>
      </c>
      <c r="C57" s="180" t="inlineStr">
        <is>
          <t>Состав (грунт-эмаль) однокомпонентный полиуретановый карбонизированный антикоррозионный для металлических изделий и конструкций, гидрофобный, температура эксплуатации от -50 до +150°С, прочность сцепления с металлом более 2,5 МПа, условная вязкость не менее 90 с, сухой остаток 52%, характеристики при температуре 20°С: плотность 1,0 г/см3</t>
        </is>
      </c>
      <c r="D57" s="183" t="inlineStr">
        <is>
          <t>кг</t>
        </is>
      </c>
      <c r="E57" s="181" t="n">
        <v>67.11750000000001</v>
      </c>
      <c r="F57" s="47" t="n">
        <v>48.65</v>
      </c>
      <c r="G57" s="47">
        <f>ROUND(E57*F57,2)</f>
        <v/>
      </c>
      <c r="H57" s="42">
        <f>G57/G86</f>
        <v/>
      </c>
      <c r="I57" s="169">
        <f>ROUND(F57*Прил.10!$D$12,2)</f>
        <v/>
      </c>
      <c r="J57" s="169">
        <f>ROUND(E57*I57,2)</f>
        <v/>
      </c>
    </row>
    <row r="58" hidden="1" outlineLevel="1" ht="63" customFormat="1" customHeight="1" s="145">
      <c r="A58" s="164" t="n">
        <v>29</v>
      </c>
      <c r="B58" s="178" t="inlineStr">
        <is>
          <t>11.2.13.04-0002</t>
        </is>
      </c>
      <c r="C58" s="180" t="inlineStr">
        <is>
          <t>Щиты деревянные для фундаментов, колонн, балок, перекрытий, стен, перегородок и других конструкций из досок, толщина 40 мм</t>
        </is>
      </c>
      <c r="D58" s="183" t="inlineStr">
        <is>
          <t>м2</t>
        </is>
      </c>
      <c r="E58" s="181" t="n">
        <v>31.856</v>
      </c>
      <c r="F58" s="47" t="n">
        <v>90.15000000000001</v>
      </c>
      <c r="G58" s="47">
        <f>ROUND(E58*F58,2)</f>
        <v/>
      </c>
      <c r="H58" s="42">
        <f>G58/G86</f>
        <v/>
      </c>
      <c r="I58" s="169">
        <f>ROUND(F58*Прил.10!$D$12,2)</f>
        <v/>
      </c>
      <c r="J58" s="169">
        <f>ROUND(E58*I58,2)</f>
        <v/>
      </c>
    </row>
    <row r="59" hidden="1" outlineLevel="1" ht="15.75" customFormat="1" customHeight="1" s="145">
      <c r="A59" s="164" t="n">
        <v>30</v>
      </c>
      <c r="B59" s="178" t="inlineStr">
        <is>
          <t>01.7.07.29-0131</t>
        </is>
      </c>
      <c r="C59" s="180" t="inlineStr">
        <is>
          <t>Песок металлический</t>
        </is>
      </c>
      <c r="D59" s="183" t="inlineStr">
        <is>
          <t>т</t>
        </is>
      </c>
      <c r="E59" s="181" t="n">
        <v>0.380725</v>
      </c>
      <c r="F59" s="47" t="n">
        <v>6617</v>
      </c>
      <c r="G59" s="47">
        <f>ROUND(E59*F59,2)</f>
        <v/>
      </c>
      <c r="H59" s="42">
        <f>G59/G86</f>
        <v/>
      </c>
      <c r="I59" s="169">
        <f>ROUND(F59*Прил.10!$D$12,2)</f>
        <v/>
      </c>
      <c r="J59" s="169">
        <f>ROUND(E59*I59,2)</f>
        <v/>
      </c>
    </row>
    <row r="60" hidden="1" outlineLevel="1" ht="31.7" customFormat="1" customHeight="1" s="145">
      <c r="A60" s="164" t="n">
        <v>31</v>
      </c>
      <c r="B60" s="178" t="inlineStr">
        <is>
          <t>25.1.01.04-0031</t>
        </is>
      </c>
      <c r="C60" s="180" t="inlineStr">
        <is>
          <t>Шпалы непропитанные для железных дорог, тип I</t>
        </is>
      </c>
      <c r="D60" s="183" t="inlineStr">
        <is>
          <t>шт</t>
        </is>
      </c>
      <c r="E60" s="181" t="n">
        <v>2.8</v>
      </c>
      <c r="F60" s="47" t="n">
        <v>266.67</v>
      </c>
      <c r="G60" s="47">
        <f>ROUND(E60*F60,2)</f>
        <v/>
      </c>
      <c r="H60" s="42">
        <f>G60/G86</f>
        <v/>
      </c>
      <c r="I60" s="169">
        <f>ROUND(F60*Прил.10!$D$12,2)</f>
        <v/>
      </c>
      <c r="J60" s="169">
        <f>ROUND(E60*I60,2)</f>
        <v/>
      </c>
    </row>
    <row r="61" hidden="1" outlineLevel="1" ht="15.75" customFormat="1" customHeight="1" s="145">
      <c r="A61" s="164" t="n">
        <v>32</v>
      </c>
      <c r="B61" s="178" t="inlineStr">
        <is>
          <t>07.2.07.13-0171</t>
        </is>
      </c>
      <c r="C61" s="180" t="inlineStr">
        <is>
          <t>Подкладки металлические</t>
        </is>
      </c>
      <c r="D61" s="183" t="inlineStr">
        <is>
          <t>кг</t>
        </is>
      </c>
      <c r="E61" s="181" t="n">
        <v>30.5</v>
      </c>
      <c r="F61" s="47" t="n">
        <v>12.6</v>
      </c>
      <c r="G61" s="47">
        <f>ROUND(E61*F61,2)</f>
        <v/>
      </c>
      <c r="H61" s="42">
        <f>G61/G86</f>
        <v/>
      </c>
      <c r="I61" s="169">
        <f>ROUND(F61*Прил.10!$D$12,2)</f>
        <v/>
      </c>
      <c r="J61" s="169">
        <f>ROUND(E61*I61,2)</f>
        <v/>
      </c>
    </row>
    <row r="62" hidden="1" outlineLevel="1" ht="15.75" customFormat="1" customHeight="1" s="145">
      <c r="A62" s="164" t="n">
        <v>33</v>
      </c>
      <c r="B62" s="178" t="inlineStr">
        <is>
          <t>01.3.01.01-0001</t>
        </is>
      </c>
      <c r="C62" s="180" t="inlineStr">
        <is>
          <t>Бензин авиационный Б-70</t>
        </is>
      </c>
      <c r="D62" s="183" t="inlineStr">
        <is>
          <t>т</t>
        </is>
      </c>
      <c r="E62" s="181" t="n">
        <v>0.02512</v>
      </c>
      <c r="F62" s="47" t="n">
        <v>4488.4</v>
      </c>
      <c r="G62" s="47">
        <f>ROUND(E62*F62,2)</f>
        <v/>
      </c>
      <c r="H62" s="42">
        <f>G62/G86</f>
        <v/>
      </c>
      <c r="I62" s="169">
        <f>ROUND(F62*Прил.10!$D$12,2)</f>
        <v/>
      </c>
      <c r="J62" s="169">
        <f>ROUND(E62*I62,2)</f>
        <v/>
      </c>
    </row>
    <row r="63" hidden="1" outlineLevel="1" ht="78.75" customFormat="1" customHeight="1" s="145">
      <c r="A63" s="164" t="n">
        <v>34</v>
      </c>
      <c r="B63" s="178" t="inlineStr">
        <is>
          <t>07.2.07.12-0021</t>
        </is>
      </c>
      <c r="C63" s="180" t="inlineStr">
        <is>
          <t>Элементы конструктивные зданий и сооружений с преобладанием горячекатаных профилей, средняя масса сборочной единицы от 0,5 до 1 т</t>
        </is>
      </c>
      <c r="D63" s="183" t="inlineStr">
        <is>
          <t>т</t>
        </is>
      </c>
      <c r="E63" s="181" t="n">
        <v>0.015928</v>
      </c>
      <c r="F63" s="47" t="n">
        <v>7008.5</v>
      </c>
      <c r="G63" s="47">
        <f>ROUND(E63*F63,2)</f>
        <v/>
      </c>
      <c r="H63" s="42">
        <f>G63/G86</f>
        <v/>
      </c>
      <c r="I63" s="169">
        <f>ROUND(F63*Прил.10!$D$12,2)</f>
        <v/>
      </c>
      <c r="J63" s="169">
        <f>ROUND(E63*I63,2)</f>
        <v/>
      </c>
    </row>
    <row r="64" hidden="1" outlineLevel="1" ht="15.75" customFormat="1" customHeight="1" s="145">
      <c r="A64" s="164" t="n">
        <v>35</v>
      </c>
      <c r="B64" s="178" t="inlineStr">
        <is>
          <t>14.5.09.07-0030</t>
        </is>
      </c>
      <c r="C64" s="180" t="inlineStr">
        <is>
          <t>Растворитель Р-4</t>
        </is>
      </c>
      <c r="D64" s="183" t="inlineStr">
        <is>
          <t>кг</t>
        </is>
      </c>
      <c r="E64" s="181" t="n">
        <v>9.42</v>
      </c>
      <c r="F64" s="47" t="n">
        <v>9.42</v>
      </c>
      <c r="G64" s="47">
        <f>ROUND(E64*F64,2)</f>
        <v/>
      </c>
      <c r="H64" s="42">
        <f>G64/G86</f>
        <v/>
      </c>
      <c r="I64" s="169">
        <f>ROUND(F64*Прил.10!$D$12,2)</f>
        <v/>
      </c>
      <c r="J64" s="169">
        <f>ROUND(E64*I64,2)</f>
        <v/>
      </c>
    </row>
    <row r="65" hidden="1" outlineLevel="1" ht="31.7" customFormat="1" customHeight="1" s="145">
      <c r="A65" s="164" t="n">
        <v>36</v>
      </c>
      <c r="B65" s="178" t="inlineStr">
        <is>
          <t>01.7.11.07-0040</t>
        </is>
      </c>
      <c r="C65" s="180" t="inlineStr">
        <is>
          <t>Электроды сварочные Э50А, диаметр 4 мм</t>
        </is>
      </c>
      <c r="D65" s="183" t="inlineStr">
        <is>
          <t>т</t>
        </is>
      </c>
      <c r="E65" s="181" t="n">
        <v>0.0068</v>
      </c>
      <c r="F65" s="47" t="n">
        <v>11524</v>
      </c>
      <c r="G65" s="47">
        <f>ROUND(E65*F65,2)</f>
        <v/>
      </c>
      <c r="H65" s="42">
        <f>G65/G86</f>
        <v/>
      </c>
      <c r="I65" s="169">
        <f>ROUND(F65*Прил.10!$D$12,2)</f>
        <v/>
      </c>
      <c r="J65" s="169">
        <f>ROUND(E65*I65,2)</f>
        <v/>
      </c>
    </row>
    <row r="66" hidden="1" outlineLevel="1" ht="31.7" customFormat="1" customHeight="1" s="145">
      <c r="A66" s="164" t="n">
        <v>37</v>
      </c>
      <c r="B66" s="178" t="inlineStr">
        <is>
          <t>23.8.03.12-0011</t>
        </is>
      </c>
      <c r="C66" s="180" t="inlineStr">
        <is>
          <t>Фасонные части стальные сварные, номинальный диаметр до 800 мм</t>
        </is>
      </c>
      <c r="D66" s="183" t="inlineStr">
        <is>
          <t>т</t>
        </is>
      </c>
      <c r="E66" s="181" t="n">
        <v>0.01233</v>
      </c>
      <c r="F66" s="47" t="n">
        <v>5500</v>
      </c>
      <c r="G66" s="47">
        <f>ROUND(E66*F66,2)</f>
        <v/>
      </c>
      <c r="H66" s="42">
        <f>G66/G86</f>
        <v/>
      </c>
      <c r="I66" s="169">
        <f>ROUND(F66*Прил.10!$D$12,2)</f>
        <v/>
      </c>
      <c r="J66" s="169">
        <f>ROUND(E66*I66,2)</f>
        <v/>
      </c>
    </row>
    <row r="67" hidden="1" outlineLevel="1" ht="31.7" customFormat="1" customHeight="1" s="145">
      <c r="A67" s="164" t="n">
        <v>38</v>
      </c>
      <c r="B67" s="178" t="inlineStr">
        <is>
          <t>04.1.02.05-0003</t>
        </is>
      </c>
      <c r="C67" s="180" t="inlineStr">
        <is>
          <t>Смеси бетонные тяжелого бетона (БСТ), класс В7,5 (М100)</t>
        </is>
      </c>
      <c r="D67" s="183" t="inlineStr">
        <is>
          <t>м3</t>
        </is>
      </c>
      <c r="E67" s="181" t="n">
        <v>0.112</v>
      </c>
      <c r="F67" s="47" t="n">
        <v>560</v>
      </c>
      <c r="G67" s="47">
        <f>ROUND(E67*F67,2)</f>
        <v/>
      </c>
      <c r="H67" s="42">
        <f>G67/G86</f>
        <v/>
      </c>
      <c r="I67" s="169">
        <f>ROUND(F67*Прил.10!$D$12,2)</f>
        <v/>
      </c>
      <c r="J67" s="169">
        <f>ROUND(E67*I67,2)</f>
        <v/>
      </c>
    </row>
    <row r="68" hidden="1" outlineLevel="1" ht="31.7" customFormat="1" customHeight="1" s="145">
      <c r="A68" s="164" t="n">
        <v>39</v>
      </c>
      <c r="B68" s="178" t="inlineStr">
        <is>
          <t>02.2.05.04-1812</t>
        </is>
      </c>
      <c r="C68" s="180" t="inlineStr">
        <is>
          <t>Щебень М 600, фракция 40-80(70) мм, группа 2</t>
        </is>
      </c>
      <c r="D68" s="183" t="inlineStr">
        <is>
          <t>м3</t>
        </is>
      </c>
      <c r="E68" s="181" t="n">
        <v>0.5</v>
      </c>
      <c r="F68" s="47" t="n">
        <v>98.59999999999999</v>
      </c>
      <c r="G68" s="47">
        <f>ROUND(E68*F68,2)</f>
        <v/>
      </c>
      <c r="H68" s="42">
        <f>G68/G86</f>
        <v/>
      </c>
      <c r="I68" s="169">
        <f>ROUND(F68*Прил.10!$D$12,2)</f>
        <v/>
      </c>
      <c r="J68" s="169">
        <f>ROUND(E68*I68,2)</f>
        <v/>
      </c>
    </row>
    <row r="69" hidden="1" outlineLevel="1" ht="47.25" customFormat="1" customHeight="1" s="145">
      <c r="A69" s="164" t="n">
        <v>40</v>
      </c>
      <c r="B69" s="178" t="inlineStr">
        <is>
          <t>08.1.02.11-0023</t>
        </is>
      </c>
      <c r="C69" s="180" t="inlineStr">
        <is>
          <t>Поковки простые строительные (скобы, закрепы, хомуты), масса до 1,6 кг</t>
        </is>
      </c>
      <c r="D69" s="183" t="inlineStr">
        <is>
          <t>кг</t>
        </is>
      </c>
      <c r="E69" s="181" t="n">
        <v>2.8</v>
      </c>
      <c r="F69" s="47" t="n">
        <v>15.14</v>
      </c>
      <c r="G69" s="47">
        <f>ROUND(E69*F69,2)</f>
        <v/>
      </c>
      <c r="H69" s="42">
        <f>G69/G86</f>
        <v/>
      </c>
      <c r="I69" s="169">
        <f>ROUND(F69*Прил.10!$D$12,2)</f>
        <v/>
      </c>
      <c r="J69" s="169">
        <f>ROUND(E69*I69,2)</f>
        <v/>
      </c>
    </row>
    <row r="70" hidden="1" outlineLevel="1" ht="15.75" customFormat="1" customHeight="1" s="145">
      <c r="A70" s="164" t="n">
        <v>41</v>
      </c>
      <c r="B70" s="178" t="inlineStr">
        <is>
          <t>01.7.03.01-0001</t>
        </is>
      </c>
      <c r="C70" s="180" t="inlineStr">
        <is>
          <t>Вода</t>
        </is>
      </c>
      <c r="D70" s="183" t="inlineStr">
        <is>
          <t>м3</t>
        </is>
      </c>
      <c r="E70" s="181" t="n">
        <v>10.6881</v>
      </c>
      <c r="F70" s="47" t="n">
        <v>2.44</v>
      </c>
      <c r="G70" s="47">
        <f>ROUND(E70*F70,2)</f>
        <v/>
      </c>
      <c r="H70" s="42">
        <f>G70/G86</f>
        <v/>
      </c>
      <c r="I70" s="169">
        <f>ROUND(F70*Прил.10!$D$12,2)</f>
        <v/>
      </c>
      <c r="J70" s="169">
        <f>ROUND(E70*I70,2)</f>
        <v/>
      </c>
    </row>
    <row r="71" hidden="1" outlineLevel="1" ht="15.75" customFormat="1" customHeight="1" s="145">
      <c r="A71" s="164" t="n">
        <v>42</v>
      </c>
      <c r="B71" s="178" t="inlineStr">
        <is>
          <t>01.3.02.08-0001</t>
        </is>
      </c>
      <c r="C71" s="180" t="inlineStr">
        <is>
          <t>Кислород газообразный технический</t>
        </is>
      </c>
      <c r="D71" s="183" t="inlineStr">
        <is>
          <t>м3</t>
        </is>
      </c>
      <c r="E71" s="181" t="n">
        <v>3.6</v>
      </c>
      <c r="F71" s="47" t="n">
        <v>6.22</v>
      </c>
      <c r="G71" s="47">
        <f>ROUND(E71*F71,2)</f>
        <v/>
      </c>
      <c r="H71" s="42">
        <f>G71/G86</f>
        <v/>
      </c>
      <c r="I71" s="169">
        <f>ROUND(F71*Прил.10!$D$12,2)</f>
        <v/>
      </c>
      <c r="J71" s="169">
        <f>ROUND(E71*I71,2)</f>
        <v/>
      </c>
    </row>
    <row r="72" hidden="1" outlineLevel="1" ht="47.25" customFormat="1" customHeight="1" s="145">
      <c r="A72" s="164" t="n">
        <v>43</v>
      </c>
      <c r="B72" s="178" t="inlineStr">
        <is>
          <t>999-9950</t>
        </is>
      </c>
      <c r="C72" s="180" t="inlineStr">
        <is>
          <t>Вспомогательные ненормируемые ресурсы (2% от Оплаты труда рабочих)</t>
        </is>
      </c>
      <c r="D72" s="183" t="inlineStr">
        <is>
          <t>руб</t>
        </is>
      </c>
      <c r="E72" s="181" t="n">
        <v>16.343</v>
      </c>
      <c r="F72" s="47" t="n">
        <v>1</v>
      </c>
      <c r="G72" s="47">
        <f>ROUND(E72*F72,2)</f>
        <v/>
      </c>
      <c r="H72" s="42">
        <f>G72/G86</f>
        <v/>
      </c>
      <c r="I72" s="169">
        <f>ROUND(F72*Прил.10!$D$12,2)</f>
        <v/>
      </c>
      <c r="J72" s="169">
        <f>ROUND(E72*I72,2)</f>
        <v/>
      </c>
    </row>
    <row r="73" hidden="1" outlineLevel="1" ht="31.7" customFormat="1" customHeight="1" s="145">
      <c r="A73" s="164" t="n">
        <v>44</v>
      </c>
      <c r="B73" s="178" t="inlineStr">
        <is>
          <t>14.4.02.09-0301</t>
        </is>
      </c>
      <c r="C73" s="180" t="inlineStr">
        <is>
          <t>Композиция антикоррозионная цинкнаполненная</t>
        </is>
      </c>
      <c r="D73" s="183" t="inlineStr">
        <is>
          <t>кг</t>
        </is>
      </c>
      <c r="E73" s="181" t="n">
        <v>0.06</v>
      </c>
      <c r="F73" s="47" t="n">
        <v>238.48</v>
      </c>
      <c r="G73" s="47">
        <f>ROUND(E73*F73,2)</f>
        <v/>
      </c>
      <c r="H73" s="42">
        <f>G73/G86</f>
        <v/>
      </c>
      <c r="I73" s="169">
        <f>ROUND(F73*Прил.10!$D$12,2)</f>
        <v/>
      </c>
      <c r="J73" s="169">
        <f>ROUND(E73*I73,2)</f>
        <v/>
      </c>
    </row>
    <row r="74" hidden="1" outlineLevel="1" ht="31.7" customFormat="1" customHeight="1" s="145">
      <c r="A74" s="164" t="n">
        <v>45</v>
      </c>
      <c r="B74" s="178" t="inlineStr">
        <is>
          <t>01.7.11.07-0054</t>
        </is>
      </c>
      <c r="C74" s="180" t="inlineStr">
        <is>
          <t>Электроды сварочные Э42, диаметр 6 мм</t>
        </is>
      </c>
      <c r="D74" s="183" t="inlineStr">
        <is>
          <t>т</t>
        </is>
      </c>
      <c r="E74" s="181" t="n">
        <v>0.0011097</v>
      </c>
      <c r="F74" s="47" t="n">
        <v>9424</v>
      </c>
      <c r="G74" s="47">
        <f>ROUND(E74*F74,2)</f>
        <v/>
      </c>
      <c r="H74" s="42">
        <f>G74/G86</f>
        <v/>
      </c>
      <c r="I74" s="169">
        <f>ROUND(F74*Прил.10!$D$12,2)</f>
        <v/>
      </c>
      <c r="J74" s="169">
        <f>ROUND(E74*I74,2)</f>
        <v/>
      </c>
    </row>
    <row r="75" hidden="1" outlineLevel="1" ht="15.75" customFormat="1" customHeight="1" s="145">
      <c r="A75" s="164" t="n">
        <v>46</v>
      </c>
      <c r="B75" s="178" t="inlineStr">
        <is>
          <t>14.5.09.02-0002</t>
        </is>
      </c>
      <c r="C75" s="180" t="inlineStr">
        <is>
          <t>Ксилол нефтяной, марка А</t>
        </is>
      </c>
      <c r="D75" s="183" t="inlineStr">
        <is>
          <t>т</t>
        </is>
      </c>
      <c r="E75" s="181" t="n">
        <v>0.0010205</v>
      </c>
      <c r="F75" s="47" t="n">
        <v>7640</v>
      </c>
      <c r="G75" s="47">
        <f>ROUND(E75*F75,2)</f>
        <v/>
      </c>
      <c r="H75" s="42">
        <f>G75/G86</f>
        <v/>
      </c>
      <c r="I75" s="169">
        <f>ROUND(F75*Прил.10!$D$12,2)</f>
        <v/>
      </c>
      <c r="J75" s="169">
        <f>ROUND(E75*I75,2)</f>
        <v/>
      </c>
    </row>
    <row r="76" hidden="1" outlineLevel="1" ht="31.7" customFormat="1" customHeight="1" s="145">
      <c r="A76" s="164" t="n">
        <v>47</v>
      </c>
      <c r="B76" s="178" t="inlineStr">
        <is>
          <t>02.2.05.04-1572</t>
        </is>
      </c>
      <c r="C76" s="180" t="inlineStr">
        <is>
          <t>Щебень М 600, фракция 5(3)-10 мм, группа 2</t>
        </is>
      </c>
      <c r="D76" s="183" t="inlineStr">
        <is>
          <t>м3</t>
        </is>
      </c>
      <c r="E76" s="181" t="n">
        <v>0.05</v>
      </c>
      <c r="F76" s="47" t="n">
        <v>145.8</v>
      </c>
      <c r="G76" s="47">
        <f>ROUND(E76*F76,2)</f>
        <v/>
      </c>
      <c r="H76" s="42">
        <f>G76/G86</f>
        <v/>
      </c>
      <c r="I76" s="169">
        <f>ROUND(F76*Прил.10!$D$12,2)</f>
        <v/>
      </c>
      <c r="J76" s="169">
        <f>ROUND(E76*I76,2)</f>
        <v/>
      </c>
    </row>
    <row r="77" hidden="1" outlineLevel="1" ht="15.75" customFormat="1" customHeight="1" s="145">
      <c r="A77" s="164" t="n">
        <v>48</v>
      </c>
      <c r="B77" s="178" t="inlineStr">
        <is>
          <t>01.7.20.08-0051</t>
        </is>
      </c>
      <c r="C77" s="180" t="inlineStr">
        <is>
          <t>Ветошь</t>
        </is>
      </c>
      <c r="D77" s="183" t="inlineStr">
        <is>
          <t>кг</t>
        </is>
      </c>
      <c r="E77" s="181" t="n">
        <v>3.925</v>
      </c>
      <c r="F77" s="47" t="n">
        <v>1.82</v>
      </c>
      <c r="G77" s="47">
        <f>ROUND(E77*F77,2)</f>
        <v/>
      </c>
      <c r="H77" s="42">
        <f>G77/G86</f>
        <v/>
      </c>
      <c r="I77" s="169">
        <f>ROUND(F77*Прил.10!$D$12,2)</f>
        <v/>
      </c>
      <c r="J77" s="169">
        <f>ROUND(E77*I77,2)</f>
        <v/>
      </c>
    </row>
    <row r="78" hidden="1" outlineLevel="1" ht="63" customFormat="1" customHeight="1" s="145">
      <c r="A78" s="164" t="n">
        <v>49</v>
      </c>
      <c r="B78" s="178" t="inlineStr">
        <is>
          <t>23.8.03.12-0036</t>
        </is>
      </c>
      <c r="C78" s="180" t="inlineStr">
        <is>
          <t>Фланцы стальные приварные в комплекте с прокладками, болтами и гайками, номинальное давление 1,0 МПа, номинальный диаметр 250 мм</t>
        </is>
      </c>
      <c r="D78" s="183" t="inlineStr">
        <is>
          <t>компл</t>
        </is>
      </c>
      <c r="E78" s="181" t="n">
        <v>0.01233</v>
      </c>
      <c r="F78" s="47" t="n">
        <v>521.53</v>
      </c>
      <c r="G78" s="47">
        <f>ROUND(E78*F78,2)</f>
        <v/>
      </c>
      <c r="H78" s="42">
        <f>G78/G86</f>
        <v/>
      </c>
      <c r="I78" s="169">
        <f>ROUND(F78*Прил.10!$D$12,2)</f>
        <v/>
      </c>
      <c r="J78" s="169">
        <f>ROUND(E78*I78,2)</f>
        <v/>
      </c>
    </row>
    <row r="79" hidden="1" outlineLevel="1" ht="31.7" customFormat="1" customHeight="1" s="145">
      <c r="A79" s="164" t="n">
        <v>50</v>
      </c>
      <c r="B79" s="178" t="inlineStr">
        <is>
          <t>02.2.05.04-1692</t>
        </is>
      </c>
      <c r="C79" s="180" t="inlineStr">
        <is>
          <t>Щебень М 600, фракция 10-20 мм, группа 2</t>
        </is>
      </c>
      <c r="D79" s="183" t="inlineStr">
        <is>
          <t>м3</t>
        </is>
      </c>
      <c r="E79" s="181" t="n">
        <v>0.045</v>
      </c>
      <c r="F79" s="47" t="n">
        <v>118.6</v>
      </c>
      <c r="G79" s="47">
        <f>ROUND(E79*F79,2)</f>
        <v/>
      </c>
      <c r="H79" s="42">
        <f>G79/G86</f>
        <v/>
      </c>
      <c r="I79" s="169">
        <f>ROUND(F79*Прил.10!$D$12,2)</f>
        <v/>
      </c>
      <c r="J79" s="169">
        <f>ROUND(E79*I79,2)</f>
        <v/>
      </c>
    </row>
    <row r="80" hidden="1" outlineLevel="1" ht="47.25" customFormat="1" customHeight="1" s="145">
      <c r="A80" s="164" t="n">
        <v>51</v>
      </c>
      <c r="B80" s="178" t="inlineStr">
        <is>
          <t>02.2.04.03-0001</t>
        </is>
      </c>
      <c r="C80" s="180" t="inlineStr">
        <is>
          <t>Смесь песчано-гравийно-щебеночная обогащенная с содержанием гравия и щебня из гравия-не менее 8%</t>
        </is>
      </c>
      <c r="D80" s="183" t="inlineStr">
        <is>
          <t>м3</t>
        </is>
      </c>
      <c r="E80" s="181" t="n">
        <v>0.055</v>
      </c>
      <c r="F80" s="47" t="n">
        <v>60.12</v>
      </c>
      <c r="G80" s="47">
        <f>ROUND(E80*F80,2)</f>
        <v/>
      </c>
      <c r="H80" s="42">
        <f>G80/G86</f>
        <v/>
      </c>
      <c r="I80" s="169">
        <f>ROUND(F80*Прил.10!$D$12,2)</f>
        <v/>
      </c>
      <c r="J80" s="169">
        <f>ROUND(E80*I80,2)</f>
        <v/>
      </c>
    </row>
    <row r="81" hidden="1" outlineLevel="1" ht="31.7" customFormat="1" customHeight="1" s="145">
      <c r="A81" s="164" t="n">
        <v>52</v>
      </c>
      <c r="B81" s="178" t="inlineStr">
        <is>
          <t>02.2.05.04-1777</t>
        </is>
      </c>
      <c r="C81" s="180" t="inlineStr">
        <is>
          <t>Щебень М 800, фракция 20-40 мм, группа 2</t>
        </is>
      </c>
      <c r="D81" s="183" t="inlineStr">
        <is>
          <t>м3</t>
        </is>
      </c>
      <c r="E81" s="181" t="n">
        <v>0.02364</v>
      </c>
      <c r="F81" s="47" t="n">
        <v>108.4</v>
      </c>
      <c r="G81" s="47">
        <f>ROUND(E81*F81,2)</f>
        <v/>
      </c>
      <c r="H81" s="42">
        <f>G81/G86</f>
        <v/>
      </c>
      <c r="I81" s="169">
        <f>ROUND(F81*Прил.10!$D$12,2)</f>
        <v/>
      </c>
      <c r="J81" s="169">
        <f>ROUND(E81*I81,2)</f>
        <v/>
      </c>
    </row>
    <row r="82" hidden="1" outlineLevel="1" ht="15.75" customFormat="1" customHeight="1" s="145">
      <c r="A82" s="164" t="n">
        <v>53</v>
      </c>
      <c r="B82" s="178" t="inlineStr">
        <is>
          <t>01.3.02.09-0022</t>
        </is>
      </c>
      <c r="C82" s="180" t="inlineStr">
        <is>
          <t>Пропан-бутан смесь техническая</t>
        </is>
      </c>
      <c r="D82" s="183" t="inlineStr">
        <is>
          <t>кг</t>
        </is>
      </c>
      <c r="E82" s="181" t="n">
        <v>0.4</v>
      </c>
      <c r="F82" s="47" t="n">
        <v>6.09</v>
      </c>
      <c r="G82" s="47">
        <f>ROUND(E82*F82,2)</f>
        <v/>
      </c>
      <c r="H82" s="42">
        <f>G82/G86</f>
        <v/>
      </c>
      <c r="I82" s="169">
        <f>ROUND(F82*Прил.10!$D$12,2)</f>
        <v/>
      </c>
      <c r="J82" s="169">
        <f>ROUND(E82*I82,2)</f>
        <v/>
      </c>
    </row>
    <row r="83" hidden="1" outlineLevel="1" ht="47.25" customFormat="1" customHeight="1" s="145">
      <c r="A83" s="164" t="n">
        <v>54</v>
      </c>
      <c r="B83" s="178" t="inlineStr">
        <is>
          <t>08.3.05.02-0101</t>
        </is>
      </c>
      <c r="C83" s="180" t="inlineStr">
        <is>
          <t>Прокат толстолистовой горячекатаный в листах, марка стали ВСт3пс5, толщина 4-6 мм</t>
        </is>
      </c>
      <c r="D83" s="183" t="inlineStr">
        <is>
          <t>т</t>
        </is>
      </c>
      <c r="E83" s="181" t="n">
        <v>0.00012</v>
      </c>
      <c r="F83" s="47" t="n">
        <v>5763</v>
      </c>
      <c r="G83" s="47">
        <f>ROUND(E83*F83,2)</f>
        <v/>
      </c>
      <c r="H83" s="42">
        <f>G83/G86</f>
        <v/>
      </c>
      <c r="I83" s="169">
        <f>ROUND(F83*Прил.10!$D$12,2)</f>
        <v/>
      </c>
      <c r="J83" s="169">
        <f>ROUND(E83*I83,2)</f>
        <v/>
      </c>
    </row>
    <row r="84" hidden="1" outlineLevel="1" ht="31.7" customFormat="1" customHeight="1" s="145">
      <c r="A84" s="164" t="n">
        <v>55</v>
      </c>
      <c r="B84" s="178" t="inlineStr">
        <is>
          <t>01.7.11.07-0034</t>
        </is>
      </c>
      <c r="C84" s="180" t="inlineStr">
        <is>
          <t>Электроды сварочные Э42А, диаметр 4 мм</t>
        </is>
      </c>
      <c r="D84" s="183" t="inlineStr">
        <is>
          <t>кг</t>
        </is>
      </c>
      <c r="E84" s="181" t="n">
        <v>0.0165</v>
      </c>
      <c r="F84" s="47" t="n">
        <v>10.57</v>
      </c>
      <c r="G84" s="47">
        <f>ROUND(E84*F84,2)</f>
        <v/>
      </c>
      <c r="H84" s="42">
        <f>G84/G86</f>
        <v/>
      </c>
      <c r="I84" s="169">
        <f>ROUND(F84*Прил.10!$D$12,2)</f>
        <v/>
      </c>
      <c r="J84" s="169">
        <f>ROUND(E84*I84,2)</f>
        <v/>
      </c>
    </row>
    <row r="85" collapsed="1" ht="15.75" customFormat="1" customHeight="1" s="145">
      <c r="A85" s="164" t="n"/>
      <c r="B85" s="164" t="inlineStr">
        <is>
          <t>Итого прочие Материалы</t>
        </is>
      </c>
      <c r="C85" s="199" t="n"/>
      <c r="D85" s="199" t="n"/>
      <c r="E85" s="199" t="n"/>
      <c r="F85" s="200" t="n"/>
      <c r="G85" s="169">
        <f>SUM(G57:G84)</f>
        <v/>
      </c>
      <c r="H85" s="42">
        <f>SUM(H57:H84)</f>
        <v/>
      </c>
      <c r="I85" s="169" t="n"/>
      <c r="J85" s="169">
        <f>SUM(J57:J84)</f>
        <v/>
      </c>
    </row>
    <row r="86" ht="15.75" customFormat="1" customHeight="1" s="145">
      <c r="A86" s="164" t="n"/>
      <c r="B86" s="164" t="inlineStr">
        <is>
          <t>Итого по разделу "Материалы"</t>
        </is>
      </c>
      <c r="C86" s="199" t="n"/>
      <c r="D86" s="199" t="n"/>
      <c r="E86" s="199" t="n"/>
      <c r="F86" s="200" t="n"/>
      <c r="G86" s="169">
        <f>G56+G85</f>
        <v/>
      </c>
      <c r="H86" s="42">
        <f>H56+H85</f>
        <v/>
      </c>
      <c r="I86" s="169" t="n"/>
      <c r="J86" s="169">
        <f>J56+J85</f>
        <v/>
      </c>
    </row>
    <row r="87" ht="15.75" customFormat="1" customHeight="1" s="145">
      <c r="A87" s="165" t="n"/>
      <c r="B87" s="183" t="n"/>
      <c r="C87" s="180" t="inlineStr">
        <is>
          <t>ИТОГО ПО РМ</t>
        </is>
      </c>
      <c r="D87" s="183" t="n"/>
      <c r="E87" s="183" t="n"/>
      <c r="F87" s="182" t="n"/>
      <c r="G87" s="182">
        <f>+G14+G43+G86</f>
        <v/>
      </c>
      <c r="H87" s="58" t="n"/>
      <c r="I87" s="169" t="n"/>
      <c r="J87" s="182">
        <f>+J14+J43+J86</f>
        <v/>
      </c>
    </row>
    <row r="88" ht="15.75" customFormat="1" customHeight="1" s="145">
      <c r="A88" s="165" t="n"/>
      <c r="B88" s="183" t="n"/>
      <c r="C88" s="180" t="inlineStr">
        <is>
          <t>Накладные расходы</t>
        </is>
      </c>
      <c r="D88" s="60" t="n">
        <v>0.92472793422854</v>
      </c>
      <c r="E88" s="183" t="n"/>
      <c r="F88" s="182" t="n"/>
      <c r="G88" s="182">
        <f>(G14+G16)*D88</f>
        <v/>
      </c>
      <c r="H88" s="58" t="n"/>
      <c r="I88" s="169" t="n"/>
      <c r="J88" s="169">
        <f>(J14+J16)*D88</f>
        <v/>
      </c>
    </row>
    <row r="89" ht="15.75" customFormat="1" customHeight="1" s="145">
      <c r="A89" s="165" t="n"/>
      <c r="B89" s="183" t="n"/>
      <c r="C89" s="180" t="inlineStr">
        <is>
          <t>Сметная прибыль</t>
        </is>
      </c>
      <c r="D89" s="60" t="n">
        <v>0.50141094948222</v>
      </c>
      <c r="E89" s="183" t="n"/>
      <c r="F89" s="182" t="n"/>
      <c r="G89" s="182">
        <f>(G14+G16)*D89</f>
        <v/>
      </c>
      <c r="H89" s="58" t="n"/>
      <c r="I89" s="169" t="n"/>
      <c r="J89" s="169">
        <f>(J14+J16)*D89</f>
        <v/>
      </c>
    </row>
    <row r="90" ht="15.75" customFormat="1" customHeight="1" s="145">
      <c r="A90" s="165" t="n"/>
      <c r="B90" s="183" t="n"/>
      <c r="C90" s="180" t="inlineStr">
        <is>
          <t>Итого СМР (с НР и СП)</t>
        </is>
      </c>
      <c r="D90" s="183" t="n"/>
      <c r="E90" s="183" t="n"/>
      <c r="F90" s="182" t="n"/>
      <c r="G90" s="182">
        <f>G87+G88+G89</f>
        <v/>
      </c>
      <c r="H90" s="58" t="n"/>
      <c r="I90" s="169" t="n"/>
      <c r="J90" s="182">
        <f>J87+J88+J89</f>
        <v/>
      </c>
    </row>
    <row r="91" ht="15.75" customFormat="1" customHeight="1" s="145">
      <c r="A91" s="165" t="n"/>
      <c r="B91" s="183" t="n"/>
      <c r="C91" s="180" t="inlineStr">
        <is>
          <t>ВСЕГО СМР + ОБОРУДОВАНИЕ</t>
        </is>
      </c>
      <c r="D91" s="183" t="n"/>
      <c r="E91" s="183" t="n"/>
      <c r="F91" s="182" t="n"/>
      <c r="G91" s="182">
        <f>G49+G90</f>
        <v/>
      </c>
      <c r="H91" s="58" t="n"/>
      <c r="I91" s="169" t="n"/>
      <c r="J91" s="169">
        <f>J49+J90</f>
        <v/>
      </c>
    </row>
    <row r="92" ht="15.75" customFormat="1" customHeight="1" s="145">
      <c r="A92" s="165" t="n"/>
      <c r="B92" s="183" t="n"/>
      <c r="C92" s="180" t="inlineStr">
        <is>
          <t>ИТОГО ПОКАЗАТЕЛЬ НА ЕД. ИЗМ.</t>
        </is>
      </c>
      <c r="D92" s="183" t="inlineStr">
        <is>
          <t>м3</t>
        </is>
      </c>
      <c r="E92" s="183" t="n">
        <v>50</v>
      </c>
      <c r="F92" s="182" t="n"/>
      <c r="G92" s="182">
        <f>G91/E92</f>
        <v/>
      </c>
      <c r="H92" s="58" t="n"/>
      <c r="I92" s="169" t="n"/>
      <c r="J92" s="182">
        <f>J91/E92</f>
        <v/>
      </c>
    </row>
    <row r="93" ht="15.75" customFormat="1" customHeight="1" s="145">
      <c r="E93" s="145" t="n"/>
      <c r="F93" s="91" t="n"/>
      <c r="G93" s="91" t="n"/>
      <c r="I93" s="91" t="n"/>
      <c r="J93" s="91" t="n"/>
    </row>
    <row r="94" ht="15.75" customFormat="1" customHeight="1" s="145">
      <c r="B94" s="145" t="inlineStr">
        <is>
          <t>Составил ______________________        М.С. Колотиевская</t>
        </is>
      </c>
    </row>
    <row r="95" ht="15.75" customFormat="1" customHeight="1" s="145">
      <c r="B95" s="98" t="inlineStr">
        <is>
          <t xml:space="preserve">                         (подпись, инициалы, фамилия)</t>
        </is>
      </c>
    </row>
    <row r="96" ht="15.75" customFormat="1" customHeight="1" s="145"/>
    <row r="97" ht="15.75" customFormat="1" customHeight="1" s="145">
      <c r="B97" s="145" t="inlineStr">
        <is>
          <t>Проверил ______________________          А.В. Костянецкая</t>
        </is>
      </c>
    </row>
    <row r="98" ht="15.75" customFormat="1" customHeight="1" s="145">
      <c r="B98" s="98" t="inlineStr">
        <is>
          <t xml:space="preserve">                        (подпись, инициалы, фамилия)</t>
        </is>
      </c>
    </row>
    <row r="99" ht="15.75" customFormat="1" customHeight="1" s="145">
      <c r="E99" s="145" t="n"/>
      <c r="F99" s="91" t="n"/>
      <c r="G99" s="91" t="n"/>
      <c r="I99" s="91" t="n"/>
      <c r="J99" s="91" t="n"/>
    </row>
  </sheetData>
  <mergeCells count="28">
    <mergeCell ref="H9:H10"/>
    <mergeCell ref="B15:H15"/>
    <mergeCell ref="H2:J2"/>
    <mergeCell ref="B51:H51"/>
    <mergeCell ref="B56:F56"/>
    <mergeCell ref="B44:J44"/>
    <mergeCell ref="C9:C10"/>
    <mergeCell ref="B43:F43"/>
    <mergeCell ref="E9:E10"/>
    <mergeCell ref="B86:F86"/>
    <mergeCell ref="B42:F42"/>
    <mergeCell ref="B9:B10"/>
    <mergeCell ref="D9:D10"/>
    <mergeCell ref="B18:H18"/>
    <mergeCell ref="B45:J45"/>
    <mergeCell ref="B52:H52"/>
    <mergeCell ref="B12:H12"/>
    <mergeCell ref="D6:J6"/>
    <mergeCell ref="B47:J47"/>
    <mergeCell ref="F9:G9"/>
    <mergeCell ref="A4:H4"/>
    <mergeCell ref="B17:H17"/>
    <mergeCell ref="A9:A10"/>
    <mergeCell ref="A6:C6"/>
    <mergeCell ref="B85:F85"/>
    <mergeCell ref="A7:C7"/>
    <mergeCell ref="B26:F26"/>
    <mergeCell ref="I9:J9"/>
  </mergeCells>
  <conditionalFormatting sqref="E13:E93 E99">
    <cfRule type="expression" priority="1" dxfId="0" stopIfTrue="1">
      <formula>E13&gt;=1/10000</formula>
    </cfRule>
  </conditionalFormatting>
  <pageMargins left="0.7" right="0.7" top="0.75" bottom="0.75" header="0.3" footer="0.3"/>
  <pageSetup orientation="portrait" paperSize="9" scale="54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zoomScale="60" zoomScaleNormal="100" workbookViewId="0">
      <selection activeCell="S60" sqref="S60"/>
    </sheetView>
  </sheetViews>
  <sheetFormatPr baseColWidth="8" defaultColWidth="9.140625" defaultRowHeight="15"/>
  <cols>
    <col width="5.7109375" customWidth="1" style="143" min="1" max="1"/>
    <col width="14.85546875" customWidth="1" style="143" min="2" max="2"/>
    <col width="39.140625" customWidth="1" style="143" min="3" max="3"/>
    <col width="8.28515625" customWidth="1" style="143" min="4" max="4"/>
    <col width="13.5703125" customWidth="1" style="143" min="5" max="5"/>
    <col width="12.42578125" customWidth="1" style="143" min="6" max="6"/>
    <col width="14.140625" customWidth="1" style="143" min="7" max="7"/>
    <col width="9.140625" customWidth="1" style="143" min="8" max="8"/>
  </cols>
  <sheetData>
    <row r="1" ht="15.75" customHeight="1" s="143">
      <c r="A1" s="170" t="inlineStr">
        <is>
          <t>Приложение №6</t>
        </is>
      </c>
    </row>
    <row r="2" ht="21.75" customHeight="1" s="143">
      <c r="A2" s="170" t="n"/>
      <c r="B2" s="170" t="n"/>
      <c r="C2" s="170" t="n"/>
      <c r="D2" s="170" t="n"/>
      <c r="E2" s="170" t="n"/>
      <c r="F2" s="170" t="n"/>
      <c r="G2" s="170" t="n"/>
    </row>
    <row r="3" ht="15.75" customHeight="1" s="143">
      <c r="A3" s="151" t="inlineStr">
        <is>
          <t>Расчет стоимости оборудования</t>
        </is>
      </c>
    </row>
    <row r="4" ht="25.5" customHeight="1" s="143">
      <c r="A4" s="171" t="inlineStr">
        <is>
          <t>Наименование разрабатываемого показателя УНЦ —  Маслосборник</t>
        </is>
      </c>
    </row>
    <row r="5" ht="15.75" customHeight="1" s="143">
      <c r="A5" s="145" t="n"/>
      <c r="B5" s="145" t="n"/>
      <c r="C5" s="145" t="n"/>
      <c r="D5" s="145" t="n"/>
      <c r="E5" s="145" t="n"/>
      <c r="F5" s="145" t="n"/>
      <c r="G5" s="145" t="n"/>
    </row>
    <row r="6" ht="30.2" customFormat="1" customHeight="1" s="145">
      <c r="A6" s="183" t="inlineStr">
        <is>
          <t>№ пп.</t>
        </is>
      </c>
      <c r="B6" s="183" t="inlineStr">
        <is>
          <t>Код ресурса</t>
        </is>
      </c>
      <c r="C6" s="183" t="inlineStr">
        <is>
          <t>Наименование</t>
        </is>
      </c>
      <c r="D6" s="183" t="inlineStr">
        <is>
          <t>Ед. изм.</t>
        </is>
      </c>
      <c r="E6" s="168" t="inlineStr">
        <is>
          <t>Кол-во единиц по проектным данным</t>
        </is>
      </c>
      <c r="F6" s="183" t="inlineStr">
        <is>
          <t>Сметная стоимость в ценах на 01.01.2000 (руб.)</t>
        </is>
      </c>
      <c r="G6" s="200" t="n"/>
    </row>
    <row r="7" ht="15.75" customFormat="1" customHeight="1" s="145">
      <c r="A7" s="202" t="n"/>
      <c r="B7" s="202" t="n"/>
      <c r="C7" s="202" t="n"/>
      <c r="D7" s="202" t="n"/>
      <c r="E7" s="202" t="n"/>
      <c r="F7" s="168" t="inlineStr">
        <is>
          <t>на ед. изм.</t>
        </is>
      </c>
      <c r="G7" s="168" t="inlineStr">
        <is>
          <t>общая</t>
        </is>
      </c>
    </row>
    <row r="8" ht="15.75" customFormat="1" customHeight="1" s="145">
      <c r="A8" s="168" t="n">
        <v>1</v>
      </c>
      <c r="B8" s="168" t="n">
        <v>2</v>
      </c>
      <c r="C8" s="168" t="n">
        <v>3</v>
      </c>
      <c r="D8" s="168" t="n">
        <v>4</v>
      </c>
      <c r="E8" s="168" t="n">
        <v>5</v>
      </c>
      <c r="F8" s="168" t="n">
        <v>6</v>
      </c>
      <c r="G8" s="168" t="n">
        <v>7</v>
      </c>
    </row>
    <row r="9" ht="15.75" customFormat="1" customHeight="1" s="145">
      <c r="A9" s="165" t="n"/>
      <c r="B9" s="180" t="inlineStr">
        <is>
          <t>ИНЖЕНЕРНОЕ ОБОРУДОВАНИЕ</t>
        </is>
      </c>
      <c r="C9" s="199" t="n"/>
      <c r="D9" s="199" t="n"/>
      <c r="E9" s="199" t="n"/>
      <c r="F9" s="199" t="n"/>
      <c r="G9" s="200" t="n"/>
    </row>
    <row r="10" ht="31.7" customFormat="1" customHeight="1" s="145">
      <c r="A10" s="183" t="n"/>
      <c r="B10" s="66" t="n"/>
      <c r="C10" s="180" t="inlineStr">
        <is>
          <t>ИТОГО ИНЖЕНЕРНОЕ ОБОРУДОВАНИЕ</t>
        </is>
      </c>
      <c r="D10" s="66" t="n"/>
      <c r="E10" s="67" t="n"/>
      <c r="F10" s="182" t="n"/>
      <c r="G10" s="182" t="n">
        <v>0</v>
      </c>
    </row>
    <row r="11" ht="15.75" customFormat="1" customHeight="1" s="145">
      <c r="A11" s="183" t="n"/>
      <c r="B11" s="180" t="inlineStr">
        <is>
          <t>ТЕХНОЛОГИЧЕСКОЕ ОБОРУДОВАНИЕ</t>
        </is>
      </c>
      <c r="C11" s="199" t="n"/>
      <c r="D11" s="199" t="n"/>
      <c r="E11" s="199" t="n"/>
      <c r="F11" s="199" t="n"/>
      <c r="G11" s="200" t="n"/>
    </row>
    <row r="12" ht="31.7" customFormat="1" customHeight="1" s="145">
      <c r="A12" s="183" t="n"/>
      <c r="B12" s="180" t="n"/>
      <c r="C12" s="180" t="inlineStr">
        <is>
          <t>ИТОГО ТЕХНОЛОГИЧЕСКОЕ ОБОРУДОВАНИЕ</t>
        </is>
      </c>
      <c r="D12" s="180" t="n"/>
      <c r="E12" s="181" t="n"/>
      <c r="F12" s="182" t="n"/>
      <c r="G12" s="182" t="n">
        <v>0</v>
      </c>
    </row>
    <row r="13" ht="15.75" customFormat="1" customHeight="1" s="145">
      <c r="A13" s="183" t="n"/>
      <c r="B13" s="180" t="n"/>
      <c r="C13" s="180" t="inlineStr">
        <is>
          <t>Итого по разделу "Оборудование"</t>
        </is>
      </c>
      <c r="D13" s="180" t="n"/>
      <c r="E13" s="181" t="n"/>
      <c r="F13" s="182" t="n"/>
      <c r="G13" s="182" t="n">
        <v>0</v>
      </c>
    </row>
    <row r="14" ht="15.75" customFormat="1" customHeight="1" s="145">
      <c r="B14" s="170" t="n"/>
    </row>
    <row r="15" ht="15.75" customFormat="1" customHeight="1" s="145">
      <c r="A15" s="145" t="inlineStr">
        <is>
          <t>Составил ______________________        М.С. Колотиевская</t>
        </is>
      </c>
      <c r="B15" s="145" t="n"/>
      <c r="C15" s="145" t="n"/>
    </row>
    <row r="16" ht="15.75" customFormat="1" customHeight="1" s="145">
      <c r="A16" s="98" t="inlineStr">
        <is>
          <t xml:space="preserve">                         (подпись, инициалы, фамилия)</t>
        </is>
      </c>
      <c r="B16" s="145" t="n"/>
      <c r="C16" s="145" t="n"/>
    </row>
    <row r="17" ht="15.75" customFormat="1" customHeight="1" s="145">
      <c r="A17" s="145" t="n"/>
      <c r="B17" s="145" t="n"/>
      <c r="C17" s="145" t="n"/>
    </row>
    <row r="18" ht="15.75" customFormat="1" customHeight="1" s="145">
      <c r="A18" s="145" t="inlineStr">
        <is>
          <t>Проверил ______________________          А.В. Костянецкая</t>
        </is>
      </c>
      <c r="B18" s="145" t="n"/>
      <c r="C18" s="145" t="n"/>
    </row>
    <row r="19" ht="15.75" customFormat="1" customHeight="1" s="145">
      <c r="A19" s="98" t="inlineStr">
        <is>
          <t xml:space="preserve">                        (подпись, инициалы, фамилия)</t>
        </is>
      </c>
      <c r="B19" s="145" t="n"/>
      <c r="C19" s="145" t="n"/>
    </row>
    <row r="20" ht="15.75" customFormat="1" customHeight="1" s="145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A16" sqref="A16"/>
    </sheetView>
  </sheetViews>
  <sheetFormatPr baseColWidth="8" defaultColWidth="8.85546875" defaultRowHeight="15"/>
  <cols>
    <col width="14.42578125" customWidth="1" style="143" min="1" max="1"/>
    <col width="29.5703125" customWidth="1" style="143" min="2" max="2"/>
    <col width="39.140625" customWidth="1" style="143" min="3" max="3"/>
    <col width="24.42578125" customWidth="1" style="143" min="4" max="4"/>
    <col width="8.85546875" customWidth="1" style="143" min="5" max="5"/>
  </cols>
  <sheetData>
    <row r="1">
      <c r="B1" s="128" t="n"/>
      <c r="C1" s="128" t="n"/>
      <c r="D1" s="125" t="inlineStr">
        <is>
          <t>Приложение №7</t>
        </is>
      </c>
    </row>
    <row r="2">
      <c r="A2" s="125" t="n"/>
      <c r="B2" s="125" t="n"/>
      <c r="C2" s="125" t="n"/>
      <c r="D2" s="125" t="n"/>
    </row>
    <row r="3" ht="24.75" customHeight="1" s="143">
      <c r="A3" s="184" t="inlineStr">
        <is>
          <t>Расчет показателя УНЦ</t>
        </is>
      </c>
    </row>
    <row r="4" ht="24.75" customHeight="1" s="143">
      <c r="A4" s="184" t="n"/>
      <c r="B4" s="184" t="n"/>
      <c r="C4" s="184" t="n"/>
      <c r="D4" s="184" t="n"/>
    </row>
    <row r="5" ht="24.6" customHeight="1" s="143">
      <c r="A5" s="185" t="inlineStr">
        <is>
          <t xml:space="preserve">Наименование разрабатываемого показателя УНЦ - </t>
        </is>
      </c>
      <c r="D5" s="185">
        <f>'Прил.5 Расчет СМР и ОБ'!D6:J6</f>
        <v/>
      </c>
    </row>
    <row r="6" ht="19.9" customHeight="1" s="143">
      <c r="A6" s="185" t="inlineStr">
        <is>
          <t>Единица измерения  — 1 м3</t>
        </is>
      </c>
      <c r="D6" s="185" t="n"/>
    </row>
    <row r="7">
      <c r="A7" s="128" t="n"/>
      <c r="B7" s="128" t="n"/>
      <c r="C7" s="128" t="n"/>
      <c r="D7" s="128" t="n"/>
    </row>
    <row r="8" ht="14.45" customHeight="1" s="143">
      <c r="A8" s="168" t="inlineStr">
        <is>
          <t>Код показателя</t>
        </is>
      </c>
      <c r="B8" s="168" t="inlineStr">
        <is>
          <t>Наименование показателя</t>
        </is>
      </c>
      <c r="C8" s="168" t="inlineStr">
        <is>
          <t>Наименование РМ, входящих в состав показателя</t>
        </is>
      </c>
      <c r="D8" s="168" t="inlineStr">
        <is>
          <t>Норматив цены на 01.01.2023, тыс.руб.</t>
        </is>
      </c>
    </row>
    <row r="9" ht="15" customHeight="1" s="143">
      <c r="A9" s="202" t="n"/>
      <c r="B9" s="202" t="n"/>
      <c r="C9" s="202" t="n"/>
      <c r="D9" s="202" t="n"/>
    </row>
    <row r="10">
      <c r="A10" s="129" t="n">
        <v>1</v>
      </c>
      <c r="B10" s="129" t="n">
        <v>2</v>
      </c>
      <c r="C10" s="129" t="n">
        <v>3</v>
      </c>
      <c r="D10" s="129" t="n">
        <v>4</v>
      </c>
    </row>
    <row r="11" ht="41.45" customHeight="1" s="143">
      <c r="A11" s="129" t="inlineStr">
        <is>
          <t>З8-13</t>
        </is>
      </c>
      <c r="B11" s="129" t="inlineStr">
        <is>
          <t>УНЦ прочих здания и сооружений ПС</t>
        </is>
      </c>
      <c r="C11" s="130">
        <f>D5</f>
        <v/>
      </c>
      <c r="D11" s="131">
        <f>'Прил.4 РМ'!C41/1000</f>
        <v/>
      </c>
      <c r="E11" s="122" t="n"/>
    </row>
    <row r="12">
      <c r="A12" s="132" t="n"/>
      <c r="B12" s="133" t="n"/>
      <c r="C12" s="132" t="n"/>
      <c r="D12" s="132" t="n"/>
    </row>
    <row r="13">
      <c r="A13" s="128" t="inlineStr">
        <is>
          <t>Составил ______________________      М.С. Колотиевская</t>
        </is>
      </c>
      <c r="B13" s="134" t="n"/>
      <c r="C13" s="134" t="n"/>
      <c r="D13" s="132" t="n"/>
    </row>
    <row r="14">
      <c r="A14" s="135" t="inlineStr">
        <is>
          <t xml:space="preserve">                         (подпись, инициалы, фамилия)</t>
        </is>
      </c>
      <c r="B14" s="134" t="n"/>
      <c r="C14" s="134" t="n"/>
      <c r="D14" s="132" t="n"/>
    </row>
    <row r="15">
      <c r="A15" s="128" t="n"/>
      <c r="B15" s="134" t="n"/>
      <c r="C15" s="134" t="n"/>
      <c r="D15" s="132" t="n"/>
    </row>
    <row r="16" ht="15.75" customHeight="1" s="143">
      <c r="A16" s="145" t="inlineStr">
        <is>
          <t>Проверил ______________________          А.В. Костянецкая</t>
        </is>
      </c>
      <c r="B16" s="134" t="n"/>
      <c r="C16" s="134" t="n"/>
      <c r="D16" s="132" t="n"/>
    </row>
    <row r="17">
      <c r="A17" s="135" t="inlineStr">
        <is>
          <t xml:space="preserve">                        (подпись, инициалы, фамилия)</t>
        </is>
      </c>
      <c r="B17" s="134" t="n"/>
      <c r="C17" s="134" t="n"/>
      <c r="D17" s="13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6" zoomScale="60" zoomScaleNormal="100" workbookViewId="0">
      <selection activeCell="B29" sqref="B29"/>
    </sheetView>
  </sheetViews>
  <sheetFormatPr baseColWidth="8" defaultRowHeight="15"/>
  <cols>
    <col width="9.140625" customWidth="1" style="143" min="1" max="1"/>
    <col width="40.7109375" customWidth="1" style="143" min="2" max="2"/>
    <col width="37" customWidth="1" style="143" min="3" max="3"/>
    <col width="32" customWidth="1" style="143" min="4" max="4"/>
    <col width="9.140625" customWidth="1" style="143" min="5" max="5"/>
  </cols>
  <sheetData>
    <row r="4" ht="15.75" customHeight="1" s="143">
      <c r="B4" s="150" t="inlineStr">
        <is>
          <t>Приложение № 10</t>
        </is>
      </c>
    </row>
    <row r="5" ht="18.75" customHeight="1" s="143">
      <c r="B5" s="8" t="n"/>
    </row>
    <row r="6" ht="15.75" customHeight="1" s="143">
      <c r="B6" s="151" t="inlineStr">
        <is>
          <t>Используемые индексы изменений сметной стоимости и нормы сопутствующих затрат</t>
        </is>
      </c>
    </row>
    <row r="7" ht="18.75" customHeight="1" s="143">
      <c r="B7" s="111" t="n"/>
    </row>
    <row r="8" ht="47.25" customFormat="1" customHeight="1" s="145">
      <c r="B8" s="168" t="inlineStr">
        <is>
          <t>Наименование индекса / норм сопутствующих затрат</t>
        </is>
      </c>
      <c r="C8" s="168" t="inlineStr">
        <is>
          <t>Дата применения и обоснование индекса / норм сопутствующих затрат</t>
        </is>
      </c>
      <c r="D8" s="168" t="inlineStr">
        <is>
          <t>Размер индекса / норма сопутствующих затрат</t>
        </is>
      </c>
    </row>
    <row r="9" ht="15.75" customFormat="1" customHeight="1" s="145">
      <c r="B9" s="168" t="n">
        <v>1</v>
      </c>
      <c r="C9" s="168" t="n">
        <v>2</v>
      </c>
      <c r="D9" s="168" t="n">
        <v>3</v>
      </c>
    </row>
    <row r="10" ht="31.7" customFormat="1" customHeight="1" s="145">
      <c r="B10" s="168" t="inlineStr">
        <is>
          <t xml:space="preserve">Индекс изменения сметной стоимости на 1 квартал 2023 года. ОЗП </t>
        </is>
      </c>
      <c r="C10" s="168" t="inlineStr">
        <is>
          <t>Письмо Минстроя России от 30.03.2023г. №17106-ИФ/09  прил.1</t>
        </is>
      </c>
      <c r="D10" s="168" t="n">
        <v>44.29</v>
      </c>
    </row>
    <row r="11" ht="31.7" customFormat="1" customHeight="1" s="145">
      <c r="B11" s="168" t="inlineStr">
        <is>
          <t>Индекс изменения сметной стоимости на 1 квартал 2023 года. ЭМ</t>
        </is>
      </c>
      <c r="C11" s="168" t="inlineStr">
        <is>
          <t>Письмо Минстроя России от 30.03.2023г. №17106-ИФ/09  прил.1</t>
        </is>
      </c>
      <c r="D11" s="168" t="n">
        <v>13.47</v>
      </c>
    </row>
    <row r="12" ht="31.7" customFormat="1" customHeight="1" s="145">
      <c r="B12" s="168" t="inlineStr">
        <is>
          <t>Индекс изменения сметной стоимости на 1 квартал 2023 года. МАТ</t>
        </is>
      </c>
      <c r="C12" s="168" t="inlineStr">
        <is>
          <t>Письмо Минстроя России от 30.03.2023г. №17106-ИФ/09  прил.1</t>
        </is>
      </c>
      <c r="D12" s="168" t="n">
        <v>8.039999999999999</v>
      </c>
    </row>
    <row r="13" ht="31.7" customFormat="1" customHeight="1" s="145">
      <c r="B13" s="168" t="inlineStr">
        <is>
          <t>Индекс изменения сметной стоимости на 1 квартал 2023 года. ОБ</t>
        </is>
      </c>
      <c r="C13" s="104" t="inlineStr">
        <is>
          <t>Письмо Минстроя России от 23.02.2023г. №9791-ИФ/09 прил.6</t>
        </is>
      </c>
      <c r="D13" s="168" t="n">
        <v>6.26</v>
      </c>
    </row>
    <row r="14" ht="78.75" customFormat="1" customHeight="1" s="145">
      <c r="B14" s="168" t="inlineStr">
        <is>
          <t>Временные здания и сооружения</t>
        </is>
      </c>
      <c r="C14" s="16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12" t="n">
        <v>0.039</v>
      </c>
    </row>
    <row r="15" ht="78.75" customFormat="1" customHeight="1" s="145">
      <c r="B15" s="168" t="inlineStr">
        <is>
          <t>Дополнительные затраты при производстве строительно-монтажных работ в зимнее время</t>
        </is>
      </c>
      <c r="C15" s="16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12" t="n">
        <v>0.021</v>
      </c>
      <c r="E15" s="101" t="n"/>
    </row>
    <row r="16" ht="31.7" customFormat="1" customHeight="1" s="145">
      <c r="B16" s="168" t="inlineStr">
        <is>
          <t>Пусконаладочные работы</t>
        </is>
      </c>
      <c r="C16" s="168" t="n"/>
      <c r="D16" s="168" t="inlineStr">
        <is>
          <t>Расчёт</t>
        </is>
      </c>
    </row>
    <row r="17" ht="31.7" customFormat="1" customHeight="1" s="145">
      <c r="B17" s="168" t="inlineStr">
        <is>
          <t>Строительный контроль</t>
        </is>
      </c>
      <c r="C17" s="168" t="inlineStr">
        <is>
          <t>Постановление Правительства РФ от 21.06.10 г. № 468</t>
        </is>
      </c>
      <c r="D17" s="12" t="n">
        <v>0.0214</v>
      </c>
    </row>
    <row r="18" ht="15.75" customFormat="1" customHeight="1" s="145">
      <c r="B18" s="168" t="inlineStr">
        <is>
          <t>Авторский надзор</t>
        </is>
      </c>
      <c r="C18" s="168" t="inlineStr">
        <is>
          <t>Приказ от 4.08.2020 № 421/пр п.173</t>
        </is>
      </c>
      <c r="D18" s="12" t="n">
        <v>0.002</v>
      </c>
    </row>
    <row r="19" ht="15.75" customFormat="1" customHeight="1" s="145">
      <c r="B19" s="168" t="inlineStr">
        <is>
          <t>Непредвиденные расходы</t>
        </is>
      </c>
      <c r="C19" s="168" t="inlineStr">
        <is>
          <t>Приказ от 4.08.2020 № 421/пр п.179</t>
        </is>
      </c>
      <c r="D19" s="12" t="n">
        <v>0.03</v>
      </c>
    </row>
    <row r="20" ht="15.75" customFormat="1" customHeight="1" s="145">
      <c r="B20" s="152" t="n"/>
    </row>
    <row r="21" ht="15.75" customFormat="1" customHeight="1" s="145">
      <c r="B21" s="152" t="n"/>
    </row>
    <row r="22" ht="15.75" customFormat="1" customHeight="1" s="145">
      <c r="B22" s="152" t="n"/>
    </row>
    <row r="23" ht="15.75" customFormat="1" customHeight="1" s="145">
      <c r="B23" s="152" t="n"/>
    </row>
    <row r="24" ht="15.75" customFormat="1" customHeight="1" s="145"/>
    <row r="25" ht="15.75" customFormat="1" customHeight="1" s="145"/>
    <row r="26" ht="15.75" customFormat="1" customHeight="1" s="145">
      <c r="B26" s="145" t="inlineStr">
        <is>
          <t>Составил ______________________        М.С. Колотиевская</t>
        </is>
      </c>
      <c r="C26" s="145" t="n"/>
    </row>
    <row r="27" ht="15.75" customFormat="1" customHeight="1" s="145">
      <c r="B27" s="98" t="inlineStr">
        <is>
          <t xml:space="preserve">                         (подпись, инициалы, фамилия)</t>
        </is>
      </c>
      <c r="C27" s="145" t="n"/>
    </row>
    <row r="28" ht="15.75" customFormat="1" customHeight="1" s="145">
      <c r="B28" s="145" t="n"/>
      <c r="C28" s="145" t="n"/>
    </row>
    <row r="29" ht="15.75" customFormat="1" customHeight="1" s="145">
      <c r="B29" s="145" t="inlineStr">
        <is>
          <t>Проверил ______________________          А.В. Костянецкая</t>
        </is>
      </c>
      <c r="C29" s="145" t="n"/>
    </row>
    <row r="30" ht="15.75" customFormat="1" customHeight="1" s="145">
      <c r="B30" s="98" t="inlineStr">
        <is>
          <t xml:space="preserve">                        (подпись, инициалы, фамилия)</t>
        </is>
      </c>
      <c r="C30" s="145" t="n"/>
    </row>
    <row r="31" ht="15.75" customFormat="1" customHeight="1" s="145"/>
    <row r="32" ht="15.75" customFormat="1" customHeight="1" s="145"/>
  </sheetData>
  <mergeCells count="2">
    <mergeCell ref="B6:D6"/>
    <mergeCell ref="B4:D4"/>
  </mergeCells>
  <pageMargins left="0.7" right="0.7" top="0.75" bottom="0.75" header="0.3" footer="0.3"/>
  <pageSetup orientation="portrait" scale="76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13" sqref="A5:F13"/>
    </sheetView>
  </sheetViews>
  <sheetFormatPr baseColWidth="8" defaultColWidth="9.140625" defaultRowHeight="15"/>
  <cols>
    <col width="44.85546875" customWidth="1" style="143" min="2" max="2"/>
    <col width="13" customWidth="1" style="143" min="3" max="3"/>
    <col width="22.85546875" customWidth="1" style="143" min="4" max="4"/>
    <col width="21.5703125" customWidth="1" style="143" min="5" max="5"/>
    <col width="43.85546875" customWidth="1" style="143" min="6" max="6"/>
  </cols>
  <sheetData>
    <row r="1" s="143"/>
    <row r="2" ht="17.25" customHeight="1" s="143">
      <c r="A2" s="151" t="inlineStr">
        <is>
          <t>Расчет размера средств на оплату труда рабочих-строителей в текущем уровне цен (ФОТр.тек.)</t>
        </is>
      </c>
    </row>
    <row r="3" s="143"/>
    <row r="4" ht="18" customHeight="1" s="143">
      <c r="A4" s="144" t="inlineStr">
        <is>
          <t>Составлен в уровне цен на 01.01.2023 г.</t>
        </is>
      </c>
      <c r="B4" s="145" t="n"/>
      <c r="C4" s="145" t="n"/>
      <c r="D4" s="145" t="n"/>
      <c r="E4" s="145" t="n"/>
      <c r="F4" s="145" t="n"/>
      <c r="G4" s="145" t="n"/>
    </row>
    <row r="5" ht="15.75" customHeight="1" s="143">
      <c r="A5" s="186" t="inlineStr">
        <is>
          <t>№ пп.</t>
        </is>
      </c>
      <c r="B5" s="186" t="inlineStr">
        <is>
          <t>Наименование элемента</t>
        </is>
      </c>
      <c r="C5" s="186" t="inlineStr">
        <is>
          <t>Обозначение</t>
        </is>
      </c>
      <c r="D5" s="186" t="inlineStr">
        <is>
          <t>Формула</t>
        </is>
      </c>
      <c r="E5" s="186" t="inlineStr">
        <is>
          <t>Величина элемента</t>
        </is>
      </c>
      <c r="F5" s="186" t="inlineStr">
        <is>
          <t>Наименования обосновывающих документов</t>
        </is>
      </c>
      <c r="G5" s="145" t="n"/>
    </row>
    <row r="6" ht="15.75" customHeight="1" s="143">
      <c r="A6" s="186" t="n">
        <v>1</v>
      </c>
      <c r="B6" s="186" t="n">
        <v>2</v>
      </c>
      <c r="C6" s="186" t="n">
        <v>3</v>
      </c>
      <c r="D6" s="186" t="n">
        <v>4</v>
      </c>
      <c r="E6" s="186" t="n">
        <v>5</v>
      </c>
      <c r="F6" s="186" t="n">
        <v>6</v>
      </c>
      <c r="G6" s="145" t="n"/>
    </row>
    <row r="7" ht="110.25" customHeight="1" s="143">
      <c r="A7" s="187" t="inlineStr">
        <is>
          <t>1.1</t>
        </is>
      </c>
      <c r="B7" s="18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89" t="inlineStr">
        <is>
          <t>С1ср</t>
        </is>
      </c>
      <c r="D7" s="189" t="inlineStr">
        <is>
          <t>-</t>
        </is>
      </c>
      <c r="E7" s="190" t="n">
        <v>47872.94</v>
      </c>
      <c r="F7" s="18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5" t="n"/>
    </row>
    <row r="8" ht="31.5" customHeight="1" s="143">
      <c r="A8" s="187" t="inlineStr">
        <is>
          <t>1.2</t>
        </is>
      </c>
      <c r="B8" s="188" t="inlineStr">
        <is>
          <t>Среднегодовое нормативное число часов работы одного рабочего в месяц, часы (ч.)</t>
        </is>
      </c>
      <c r="C8" s="189" t="inlineStr">
        <is>
          <t>tср</t>
        </is>
      </c>
      <c r="D8" s="189" t="inlineStr">
        <is>
          <t>1973ч/12мес.</t>
        </is>
      </c>
      <c r="E8" s="191">
        <f>1973/12</f>
        <v/>
      </c>
      <c r="F8" s="188" t="inlineStr">
        <is>
          <t>Производственный календарь 2023 год
(40-часов.неделя)</t>
        </is>
      </c>
      <c r="G8" s="147" t="n"/>
    </row>
    <row r="9" ht="15.75" customHeight="1" s="143">
      <c r="A9" s="187" t="inlineStr">
        <is>
          <t>1.3</t>
        </is>
      </c>
      <c r="B9" s="188" t="inlineStr">
        <is>
          <t>Коэффициент увеличения</t>
        </is>
      </c>
      <c r="C9" s="189" t="inlineStr">
        <is>
          <t>Кув</t>
        </is>
      </c>
      <c r="D9" s="189" t="inlineStr">
        <is>
          <t>-</t>
        </is>
      </c>
      <c r="E9" s="191" t="n">
        <v>1</v>
      </c>
      <c r="F9" s="188" t="n"/>
      <c r="G9" s="147" t="n"/>
    </row>
    <row r="10" ht="15.75" customHeight="1" s="143">
      <c r="A10" s="187" t="inlineStr">
        <is>
          <t>1.4</t>
        </is>
      </c>
      <c r="B10" s="188" t="inlineStr">
        <is>
          <t>Средний разряд работ</t>
        </is>
      </c>
      <c r="C10" s="189" t="n"/>
      <c r="D10" s="189" t="n"/>
      <c r="E10" s="206" t="n">
        <v>3.1</v>
      </c>
      <c r="F10" s="188" t="inlineStr">
        <is>
          <t>РТМ</t>
        </is>
      </c>
      <c r="G10" s="147" t="n"/>
    </row>
    <row r="11" ht="78.75" customHeight="1" s="143">
      <c r="A11" s="187" t="inlineStr">
        <is>
          <t>1.5</t>
        </is>
      </c>
      <c r="B11" s="188" t="inlineStr">
        <is>
          <t>Тарифный коэффициент среднего разряда работ</t>
        </is>
      </c>
      <c r="C11" s="189" t="inlineStr">
        <is>
          <t>КТ</t>
        </is>
      </c>
      <c r="D11" s="189" t="inlineStr">
        <is>
          <t>-</t>
        </is>
      </c>
      <c r="E11" s="207" t="n">
        <v>1.202</v>
      </c>
      <c r="F11" s="18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5" t="n"/>
    </row>
    <row r="12" ht="78.75" customHeight="1" s="143">
      <c r="A12" s="187" t="inlineStr">
        <is>
          <t>1.6</t>
        </is>
      </c>
      <c r="B12" s="194" t="inlineStr">
        <is>
          <t>Коэффициент инфляции, определяемый поквартально</t>
        </is>
      </c>
      <c r="C12" s="189" t="inlineStr">
        <is>
          <t>Кинф</t>
        </is>
      </c>
      <c r="D12" s="189" t="inlineStr">
        <is>
          <t>-</t>
        </is>
      </c>
      <c r="E12" s="208" t="n">
        <v>1.139</v>
      </c>
      <c r="F12" s="19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47" t="n"/>
    </row>
    <row r="13" ht="63" customHeight="1" s="143">
      <c r="A13" s="187" t="inlineStr">
        <is>
          <t>1.7</t>
        </is>
      </c>
      <c r="B13" s="197" t="inlineStr">
        <is>
          <t>Размер средств на оплату труда рабочих-строителей в текущем уровне цен (ФОТр.тек.), руб/чел.-ч</t>
        </is>
      </c>
      <c r="C13" s="189" t="inlineStr">
        <is>
          <t>ФОТр.тек.</t>
        </is>
      </c>
      <c r="D13" s="189" t="inlineStr">
        <is>
          <t>(С1ср/tср*КТ*Т*Кув)*Кинф</t>
        </is>
      </c>
      <c r="E13" s="198">
        <f>((E7*E9/E8)*E11)*E12</f>
        <v/>
      </c>
      <c r="F13" s="18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5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KM</dc:creator>
  <dcterms:created xsi:type="dcterms:W3CDTF">2023-08-25T11:34:46Z</dcterms:created>
  <dcterms:modified xsi:type="dcterms:W3CDTF">2025-01-24T12:00:01Z</dcterms:modified>
  <cp:lastModifiedBy>Nikolay Ivanov</cp:lastModifiedBy>
  <cp:lastPrinted>2023-11-30T09:27:15Z</cp:lastPrinted>
</cp:coreProperties>
</file>