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4370" windowHeight="11805" tabRatio="600" firstSheet="1" activeTab="8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xlnm.Print_Area" localSheetId="0">'Прил.1 Сравнит табл'!$A$1:$G$31</definedName>
    <definedName name="_xlnm.Print_Area" localSheetId="1">'Прил.2 Расч стоим'!$A$1:$J$41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Ицпп" localSheetId="6">#REF!</definedName>
    <definedName name="й" localSheetId="6">#REF!</definedName>
    <definedName name="йцйу3йк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ительства" localSheetId="6">#REF!</definedName>
    <definedName name="Наименование_стройки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0.0%"/>
    <numFmt numFmtId="165" formatCode="_-* #,##0.00\ _₽_-;\-* #,##0.00\ _₽_-;_-* &quot;-&quot;??\ _₽_-;_-@_-"/>
    <numFmt numFmtId="166" formatCode="#,##0.0"/>
    <numFmt numFmtId="167" formatCode="#,##0.000"/>
    <numFmt numFmtId="168" formatCode="0.0000"/>
  </numFmts>
  <fonts count="14">
    <font>
      <name val="Calibri"/>
      <color rgb="FF000000"/>
      <sz val="11"/>
    </font>
    <font>
      <name val="Times New Roman"/>
      <color rgb="FF000000"/>
      <sz val="12"/>
    </font>
    <font>
      <name val="Times New Roman"/>
      <color rgb="FFFF0000"/>
      <sz val="12"/>
    </font>
    <font>
      <name val="Times New Roman"/>
      <color rgb="FF000000"/>
      <sz val="14"/>
    </font>
    <font>
      <name val="Times New Roman"/>
      <b val="1"/>
      <color rgb="FF000000"/>
      <sz val="14"/>
    </font>
    <font>
      <name val="Times New Roman"/>
      <b val="1"/>
      <color rgb="FF000000"/>
      <sz val="12"/>
    </font>
    <font>
      <name val="Arial"/>
      <color rgb="FF000000"/>
      <sz val="10"/>
    </font>
    <font>
      <name val="Arial"/>
      <color rgb="FF000000"/>
      <sz val="11"/>
    </font>
    <font>
      <name val="Arial"/>
      <b val="1"/>
      <color rgb="FF000000"/>
      <sz val="10"/>
    </font>
    <font>
      <name val="Arial"/>
      <color rgb="FF000000"/>
      <sz val="9"/>
    </font>
    <font>
      <name val="Arial"/>
      <color rgb="FF000000"/>
      <sz val="8"/>
    </font>
    <font>
      <name val="Times New Roman"/>
      <color rgb="FF0000FF"/>
      <sz val="12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</fonts>
  <fills count="3">
    <fill>
      <patternFill/>
    </fill>
    <fill>
      <patternFill patternType="gray125"/>
    </fill>
    <fill>
      <patternFill patternType="solid">
        <fgColor rgb="FFFFFF00"/>
        <bgColor rgb="FFFFFFFF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26"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justify" vertical="center"/>
    </xf>
    <xf numFmtId="0" fontId="2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0" fillId="0" borderId="0" pivotButton="0" quotePrefix="0" xfId="0"/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justify"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justify" vertical="center" wrapText="1"/>
    </xf>
    <xf numFmtId="10" fontId="1" fillId="0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5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 wrapText="1"/>
    </xf>
    <xf numFmtId="0" fontId="5" fillId="0" borderId="1" applyAlignment="1" pivotButton="0" quotePrefix="0" xfId="0">
      <alignment vertical="top"/>
    </xf>
    <xf numFmtId="4" fontId="5" fillId="0" borderId="1" applyAlignment="1" pivotButton="0" quotePrefix="0" xfId="0">
      <alignment vertical="top"/>
    </xf>
    <xf numFmtId="0" fontId="1" fillId="0" borderId="1" applyAlignment="1" pivotButton="0" quotePrefix="0" xfId="0">
      <alignment vertical="top"/>
    </xf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vertical="top"/>
    </xf>
    <xf numFmtId="4" fontId="1" fillId="0" borderId="1" applyAlignment="1" pivotButton="0" quotePrefix="0" xfId="0">
      <alignment vertical="top"/>
    </xf>
    <xf numFmtId="49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0" fontId="6" fillId="0" borderId="0" pivotButton="0" quotePrefix="0" xfId="0"/>
    <xf numFmtId="0" fontId="7" fillId="0" borderId="0" pivotButton="0" quotePrefix="0" xfId="0"/>
    <xf numFmtId="0" fontId="1" fillId="0" borderId="0" pivotButton="0" quotePrefix="0" xfId="0"/>
    <xf numFmtId="0" fontId="5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2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center" wrapText="1"/>
    </xf>
    <xf numFmtId="0" fontId="1" fillId="0" borderId="1" pivotButton="0" quotePrefix="0" xfId="0"/>
    <xf numFmtId="0" fontId="1" fillId="0" borderId="1" pivotButton="0" quotePrefix="0" xfId="0"/>
    <xf numFmtId="0" fontId="1" fillId="0" borderId="1" applyAlignment="1" pivotButton="0" quotePrefix="0" xfId="0">
      <alignment vertical="top"/>
    </xf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vertical="top"/>
    </xf>
    <xf numFmtId="4" fontId="1" fillId="0" borderId="1" applyAlignment="1" pivotButton="0" quotePrefix="0" xfId="0">
      <alignment vertical="top"/>
    </xf>
    <xf numFmtId="164" fontId="1" fillId="0" borderId="1" applyAlignment="1" pivotButton="0" quotePrefix="0" xfId="0">
      <alignment vertical="top"/>
    </xf>
    <xf numFmtId="49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/>
    </xf>
    <xf numFmtId="0" fontId="1" fillId="0" borderId="1" pivotButton="0" quotePrefix="0" xfId="0"/>
    <xf numFmtId="0" fontId="1" fillId="0" borderId="1" pivotButton="0" quotePrefix="0" xfId="0"/>
    <xf numFmtId="0" fontId="1" fillId="0" borderId="1" pivotButton="0" quotePrefix="0" xfId="0"/>
    <xf numFmtId="4" fontId="1" fillId="0" borderId="1" pivotButton="0" quotePrefix="0" xfId="0"/>
    <xf numFmtId="0" fontId="5" fillId="0" borderId="1" pivotButton="0" quotePrefix="0" xfId="0"/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10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vertical="top"/>
    </xf>
    <xf numFmtId="9" fontId="1" fillId="0" borderId="1" applyAlignment="1" pivotButton="0" quotePrefix="0" xfId="0">
      <alignment horizontal="center" vertical="top" wrapText="1"/>
    </xf>
    <xf numFmtId="0" fontId="1" fillId="0" borderId="0" pivotButton="0" quotePrefix="0" xfId="0"/>
    <xf numFmtId="4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vertical="top" wrapText="1"/>
    </xf>
    <xf numFmtId="0" fontId="5" fillId="0" borderId="1" applyAlignment="1" pivotButton="0" quotePrefix="0" xfId="0">
      <alignment horizontal="left" vertical="top" wrapText="1"/>
    </xf>
    <xf numFmtId="0" fontId="5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0" fontId="6" fillId="0" borderId="0" applyAlignment="1" pivotButton="0" quotePrefix="0" xfId="0">
      <alignment horizontal="center" vertical="center" wrapText="1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horizontal="justify" vertical="center"/>
    </xf>
    <xf numFmtId="0" fontId="6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10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horizontal="right" vertical="center"/>
    </xf>
    <xf numFmtId="4" fontId="1" fillId="0" borderId="1" applyAlignment="1" pivotButton="0" quotePrefix="0" xfId="0">
      <alignment horizontal="right" vertical="center"/>
    </xf>
    <xf numFmtId="0" fontId="1" fillId="0" borderId="2" applyAlignment="1" pivotButton="0" quotePrefix="0" xfId="0">
      <alignment vertical="center" wrapText="1"/>
    </xf>
    <xf numFmtId="4" fontId="1" fillId="0" borderId="2" applyAlignment="1" pivotButton="0" quotePrefix="0" xfId="0">
      <alignment horizontal="right" vertical="center"/>
    </xf>
    <xf numFmtId="10" fontId="1" fillId="0" borderId="2" applyAlignment="1" pivotButton="0" quotePrefix="0" xfId="0">
      <alignment vertical="center" wrapText="1"/>
    </xf>
    <xf numFmtId="10" fontId="1" fillId="0" borderId="2" applyAlignment="1" pivotButton="0" quotePrefix="0" xfId="0">
      <alignment vertical="center"/>
    </xf>
    <xf numFmtId="4" fontId="1" fillId="0" borderId="0" pivotButton="0" quotePrefix="0" xfId="0"/>
    <xf numFmtId="0" fontId="1" fillId="0" borderId="1" pivotButton="0" quotePrefix="0" xfId="0"/>
    <xf numFmtId="10" fontId="1" fillId="0" borderId="1" pivotButton="0" quotePrefix="0" xfId="0"/>
    <xf numFmtId="0" fontId="1" fillId="0" borderId="3" applyAlignment="1" pivotButton="0" quotePrefix="0" xfId="0">
      <alignment vertical="center" wrapText="1"/>
    </xf>
    <xf numFmtId="4" fontId="1" fillId="0" borderId="3" applyAlignment="1" pivotButton="0" quotePrefix="0" xfId="0">
      <alignment vertical="center" wrapText="1"/>
    </xf>
    <xf numFmtId="10" fontId="1" fillId="0" borderId="3" applyAlignment="1" pivotButton="0" quotePrefix="0" xfId="0">
      <alignment vertical="center" wrapText="1"/>
    </xf>
    <xf numFmtId="10" fontId="1" fillId="0" borderId="3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horizontal="center" vertical="center"/>
    </xf>
    <xf numFmtId="0" fontId="2" fillId="0" borderId="0" pivotButton="0" quotePrefix="0" xfId="0"/>
    <xf numFmtId="0" fontId="1" fillId="0" borderId="1" applyAlignment="1" pivotButton="0" quotePrefix="0" xfId="0">
      <alignment horizontal="justify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justify" vertical="center" wrapText="1"/>
    </xf>
    <xf numFmtId="0" fontId="1" fillId="0" borderId="4" applyAlignment="1" pivotButton="0" quotePrefix="0" xfId="0">
      <alignment horizontal="justify" vertical="center" wrapText="1"/>
    </xf>
    <xf numFmtId="43" fontId="1" fillId="0" borderId="0" pivotButton="0" quotePrefix="0" xfId="0"/>
    <xf numFmtId="49" fontId="1" fillId="0" borderId="1" applyAlignment="1" pivotButton="0" quotePrefix="0" xfId="0">
      <alignment horizontal="center" vertical="center"/>
    </xf>
    <xf numFmtId="0" fontId="1" fillId="0" borderId="3" applyAlignment="1" pivotButton="0" quotePrefix="0" xfId="0">
      <alignment horizontal="center" vertical="center" wrapText="1"/>
    </xf>
    <xf numFmtId="0" fontId="1" fillId="0" borderId="3" applyAlignment="1" pivotButton="0" quotePrefix="0" xfId="0">
      <alignment horizontal="center" vertical="center" wrapText="1"/>
    </xf>
    <xf numFmtId="165" fontId="1" fillId="0" borderId="0" pivotButton="0" quotePrefix="0" xfId="0"/>
    <xf numFmtId="0" fontId="1" fillId="0" borderId="1" applyAlignment="1" pivotButton="0" quotePrefix="0" xfId="0">
      <alignment horizontal="center" vertical="center"/>
    </xf>
    <xf numFmtId="43" fontId="1" fillId="0" borderId="1" applyAlignment="1" pivotButton="0" quotePrefix="0" xfId="0">
      <alignment horizontal="center" vertical="center" wrapText="1"/>
    </xf>
    <xf numFmtId="43" fontId="1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justify" vertical="center"/>
    </xf>
    <xf numFmtId="0" fontId="1" fillId="2" borderId="0" pivotButton="0" quotePrefix="0" xfId="0"/>
    <xf numFmtId="49" fontId="1" fillId="0" borderId="1" pivotButton="0" quotePrefix="0" xfId="0"/>
    <xf numFmtId="43" fontId="5" fillId="0" borderId="1" applyAlignment="1" pivotButton="0" quotePrefix="0" xfId="0">
      <alignment vertical="center" wrapText="1"/>
    </xf>
    <xf numFmtId="0" fontId="1" fillId="0" borderId="0" pivotButton="0" quotePrefix="0" xfId="0"/>
    <xf numFmtId="49" fontId="1" fillId="0" borderId="1" applyAlignment="1" pivotButton="0" quotePrefix="0" xfId="0">
      <alignment vertical="top" wrapText="1"/>
    </xf>
    <xf numFmtId="43" fontId="1" fillId="0" borderId="1" applyAlignment="1" pivotButton="0" quotePrefix="0" xfId="0">
      <alignment vertical="top" wrapText="1"/>
    </xf>
    <xf numFmtId="43" fontId="1" fillId="0" borderId="5" applyAlignment="1" pivotButton="0" quotePrefix="0" xfId="0">
      <alignment horizontal="left" vertical="top"/>
    </xf>
    <xf numFmtId="43" fontId="1" fillId="0" borderId="1" applyAlignment="1" pivotButton="0" quotePrefix="0" xfId="0">
      <alignment horizontal="right" vertical="top" wrapText="1"/>
    </xf>
    <xf numFmtId="43" fontId="1" fillId="0" borderId="1" pivotButton="0" quotePrefix="0" xfId="0"/>
    <xf numFmtId="2" fontId="1" fillId="0" borderId="1" applyAlignment="1" pivotButton="0" quotePrefix="0" xfId="0">
      <alignment horizontal="center" vertical="center"/>
    </xf>
    <xf numFmtId="2" fontId="1" fillId="0" borderId="1" applyAlignment="1" pivotButton="0" quotePrefix="0" xfId="0">
      <alignment horizontal="left" vertical="center" wrapText="1"/>
    </xf>
    <xf numFmtId="43" fontId="1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horizontal="right" vertical="center" wrapText="1"/>
    </xf>
    <xf numFmtId="43" fontId="5" fillId="0" borderId="0" applyAlignment="1" pivotButton="0" quotePrefix="0" xfId="0">
      <alignment vertical="center" wrapText="1"/>
    </xf>
    <xf numFmtId="4" fontId="1" fillId="0" borderId="0" pivotButton="0" quotePrefix="0" xfId="0"/>
    <xf numFmtId="0" fontId="1" fillId="0" borderId="6" applyAlignment="1" pivotButton="0" quotePrefix="0" xfId="0">
      <alignment horizontal="left" vertical="center"/>
    </xf>
    <xf numFmtId="0" fontId="6" fillId="0" borderId="0" applyAlignment="1" pivotButton="0" quotePrefix="0" xfId="0">
      <alignment vertical="center"/>
    </xf>
    <xf numFmtId="0" fontId="0" fillId="0" borderId="0" pivotButton="0" quotePrefix="0" xfId="0"/>
    <xf numFmtId="0" fontId="6" fillId="0" borderId="0" pivotButton="0" quotePrefix="0" xfId="0"/>
    <xf numFmtId="0" fontId="6" fillId="0" borderId="0" applyAlignment="1" pivotButton="0" quotePrefix="0" xfId="0">
      <alignment horizontal="right"/>
    </xf>
    <xf numFmtId="0" fontId="8" fillId="0" borderId="0" applyAlignment="1" pivotButton="0" quotePrefix="0" xfId="0">
      <alignment horizontal="center" vertical="center"/>
    </xf>
    <xf numFmtId="4" fontId="6" fillId="0" borderId="0" applyAlignment="1" pivotButton="0" quotePrefix="0" xfId="0">
      <alignment horizontal="left" vertical="center" wrapText="1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vertical="center" wrapText="1"/>
    </xf>
    <xf numFmtId="4" fontId="6" fillId="0" borderId="1" applyAlignment="1" pivotButton="0" quotePrefix="0" xfId="0">
      <alignment horizontal="center" vertical="center"/>
    </xf>
    <xf numFmtId="0" fontId="9" fillId="0" borderId="0" pivotButton="0" quotePrefix="0" xfId="0"/>
    <xf numFmtId="0" fontId="9" fillId="0" borderId="0" applyAlignment="1" pivotButton="0" quotePrefix="0" xfId="0">
      <alignment horizontal="right"/>
    </xf>
    <xf numFmtId="0" fontId="7" fillId="0" borderId="0" pivotButton="0" quotePrefix="0" xfId="0"/>
    <xf numFmtId="0" fontId="10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justify"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" fillId="0" borderId="0" applyAlignment="1" pivotButton="0" quotePrefix="0" xfId="0">
      <alignment horizontal="left" vertical="center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/>
    </xf>
    <xf numFmtId="49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11" fillId="0" borderId="0" applyAlignment="1" pivotButton="0" quotePrefix="0" xfId="0">
      <alignment vertical="center"/>
    </xf>
    <xf numFmtId="0" fontId="11" fillId="0" borderId="0" applyAlignment="1" pivotButton="0" quotePrefix="0" xfId="0">
      <alignment vertical="center"/>
    </xf>
    <xf numFmtId="166" fontId="1" fillId="0" borderId="1" applyAlignment="1" pivotButton="0" quotePrefix="0" xfId="0">
      <alignment horizontal="center" vertical="center"/>
    </xf>
    <xf numFmtId="167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vertical="center" wrapText="1"/>
    </xf>
    <xf numFmtId="168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wrapText="1"/>
    </xf>
    <xf numFmtId="0" fontId="6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 vertical="center"/>
    </xf>
    <xf numFmtId="0" fontId="5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left" vertical="center"/>
    </xf>
    <xf numFmtId="0" fontId="1" fillId="0" borderId="2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3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8" applyAlignment="1" pivotButton="0" quotePrefix="0" xfId="0">
      <alignment horizontal="center" vertical="center" wrapText="1"/>
    </xf>
    <xf numFmtId="0" fontId="5" fillId="0" borderId="4" applyAlignment="1" pivotButton="0" quotePrefix="0" xfId="0">
      <alignment horizontal="right" vertical="center" wrapText="1"/>
    </xf>
    <xf numFmtId="0" fontId="5" fillId="0" borderId="7" applyAlignment="1" pivotButton="0" quotePrefix="0" xfId="0">
      <alignment horizontal="right" vertical="center" wrapText="1"/>
    </xf>
    <xf numFmtId="0" fontId="5" fillId="0" borderId="8" applyAlignment="1" pivotButton="0" quotePrefix="0" xfId="0">
      <alignment horizontal="right" vertical="center" wrapText="1"/>
    </xf>
    <xf numFmtId="0" fontId="5" fillId="0" borderId="1" applyAlignment="1" pivotButton="0" quotePrefix="0" xfId="0">
      <alignment vertical="top"/>
    </xf>
    <xf numFmtId="0" fontId="1" fillId="0" borderId="1" applyAlignment="1" pivotButton="0" quotePrefix="0" xfId="0">
      <alignment vertical="top"/>
    </xf>
    <xf numFmtId="0" fontId="1" fillId="0" borderId="1" applyAlignment="1" pivotButton="0" quotePrefix="0" xfId="0">
      <alignment vertical="top" wrapText="1"/>
    </xf>
    <xf numFmtId="0" fontId="4" fillId="0" borderId="0" applyAlignment="1" pivotButton="0" quotePrefix="0" xfId="0">
      <alignment horizontal="center" vertical="center"/>
    </xf>
    <xf numFmtId="49" fontId="6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top"/>
    </xf>
    <xf numFmtId="0" fontId="5" fillId="0" borderId="1" pivotButton="0" quotePrefix="0" xfId="0"/>
    <xf numFmtId="0" fontId="1" fillId="0" borderId="1" applyAlignment="1" pivotButton="0" quotePrefix="0" xfId="0">
      <alignment wrapText="1"/>
    </xf>
    <xf numFmtId="0" fontId="1" fillId="0" borderId="1" pivotButton="0" quotePrefix="0" xfId="0"/>
    <xf numFmtId="49" fontId="1" fillId="0" borderId="1" applyAlignment="1" pivotButton="0" quotePrefix="0" xfId="0">
      <alignment horizontal="left" vertical="top" wrapText="1"/>
    </xf>
    <xf numFmtId="4" fontId="1" fillId="0" borderId="1" pivotButton="0" quotePrefix="0" xfId="0"/>
    <xf numFmtId="0" fontId="1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8" fillId="0" borderId="0" applyAlignment="1" pivotButton="0" quotePrefix="0" xfId="0">
      <alignment horizontal="center" vertical="center"/>
    </xf>
    <xf numFmtId="4" fontId="6" fillId="0" borderId="0" applyAlignment="1" pivotButton="0" quotePrefix="0" xfId="0">
      <alignment horizontal="left" vertical="center" wrapText="1"/>
    </xf>
    <xf numFmtId="49" fontId="1" fillId="0" borderId="9" applyAlignment="1" pivotButton="0" quotePrefix="0" xfId="0">
      <alignment horizontal="center" vertical="center"/>
    </xf>
    <xf numFmtId="0" fontId="5" fillId="0" borderId="9" applyAlignment="1" pivotButton="0" quotePrefix="0" xfId="0">
      <alignment vertical="center" wrapText="1"/>
    </xf>
    <xf numFmtId="0" fontId="1" fillId="0" borderId="9" applyAlignment="1" pivotButton="0" quotePrefix="0" xfId="0">
      <alignment horizontal="center" vertical="center" wrapText="1"/>
    </xf>
    <xf numFmtId="4" fontId="5" fillId="0" borderId="9" applyAlignment="1" pivotButton="0" quotePrefix="0" xfId="0">
      <alignment horizontal="center" vertical="center"/>
    </xf>
    <xf numFmtId="0" fontId="1" fillId="0" borderId="9" applyAlignment="1" pivotButton="0" quotePrefix="0" xfId="0">
      <alignment horizontal="left" vertical="center" wrapText="1"/>
    </xf>
    <xf numFmtId="43" fontId="1" fillId="0" borderId="0" pivotButton="0" quotePrefix="0" xfId="0"/>
    <xf numFmtId="165" fontId="1" fillId="0" borderId="0" pivotButton="0" quotePrefix="0" xfId="0"/>
    <xf numFmtId="43" fontId="1" fillId="0" borderId="1" applyAlignment="1" pivotButton="0" quotePrefix="0" xfId="0">
      <alignment horizontal="center" vertical="center" wrapText="1"/>
    </xf>
    <xf numFmtId="43" fontId="1" fillId="0" borderId="1" applyAlignment="1" pivotButton="0" quotePrefix="0" xfId="0">
      <alignment vertical="center" wrapText="1"/>
    </xf>
    <xf numFmtId="0" fontId="0" fillId="0" borderId="7" pivotButton="0" quotePrefix="0" xfId="0"/>
    <xf numFmtId="0" fontId="0" fillId="0" borderId="8" pivotButton="0" quotePrefix="0" xfId="0"/>
    <xf numFmtId="0" fontId="0" fillId="0" borderId="5" pivotButton="0" quotePrefix="0" xfId="0"/>
    <xf numFmtId="0" fontId="0" fillId="0" borderId="3" pivotButton="0" quotePrefix="0" xfId="0"/>
    <xf numFmtId="43" fontId="1" fillId="0" borderId="1" applyAlignment="1" pivotButton="0" quotePrefix="0" xfId="0">
      <alignment horizontal="right" vertical="top" wrapText="1"/>
    </xf>
    <xf numFmtId="0" fontId="5" fillId="0" borderId="1" applyAlignment="1" pivotButton="0" quotePrefix="0" xfId="0">
      <alignment horizontal="right" vertical="center" wrapText="1"/>
    </xf>
    <xf numFmtId="43" fontId="1" fillId="0" borderId="1" pivotButton="0" quotePrefix="0" xfId="0"/>
    <xf numFmtId="43" fontId="5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vertical="top" wrapText="1"/>
    </xf>
    <xf numFmtId="43" fontId="1" fillId="0" borderId="5" applyAlignment="1" pivotButton="0" quotePrefix="0" xfId="0">
      <alignment horizontal="left" vertical="top"/>
    </xf>
    <xf numFmtId="43" fontId="1" fillId="0" borderId="1" applyAlignment="1" pivotButton="0" quotePrefix="0" xfId="0">
      <alignment horizontal="center" vertical="center"/>
    </xf>
    <xf numFmtId="43" fontId="5" fillId="0" borderId="0" applyAlignment="1" pivotButton="0" quotePrefix="0" xfId="0">
      <alignment vertical="center" wrapText="1"/>
    </xf>
    <xf numFmtId="0" fontId="0" fillId="0" borderId="14" pivotButton="0" quotePrefix="0" xfId="0"/>
  </cellXfs>
  <cellStyles count="1">
    <cellStyle name="Обычный" xfId="0" builtinId="0"/>
  </cellStyles>
  <dxfs count="2">
    <dxf>
      <numFmt numFmtId="169" formatCode="#,##0.0000"/>
    </dxf>
    <dxf>
      <numFmt numFmtId="169" formatCode="#,##0.000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L31"/>
  <sheetViews>
    <sheetView view="pageBreakPreview" topLeftCell="A18" zoomScale="115" zoomScaleNormal="85" zoomScaleSheetLayoutView="115" workbookViewId="0">
      <selection activeCell="C30" sqref="C30"/>
    </sheetView>
  </sheetViews>
  <sheetFormatPr baseColWidth="8" defaultColWidth="9.140625" defaultRowHeight="15.75"/>
  <cols>
    <col width="5.5703125" customWidth="1" style="152" min="1" max="1"/>
    <col width="30.42578125" customWidth="1" style="152" min="2" max="2"/>
    <col width="30.85546875" customWidth="1" style="152" min="3" max="3"/>
    <col width="33.42578125" customWidth="1" style="152" min="4" max="4"/>
    <col width="31.85546875" customWidth="1" style="152" min="5" max="5"/>
    <col width="9.140625" customWidth="1" style="152" min="6" max="6"/>
    <col width="12.42578125" customWidth="1" style="152" min="7" max="7"/>
    <col width="15.42578125" customWidth="1" style="152" min="8" max="8"/>
    <col width="11.42578125" customWidth="1" style="152" min="9" max="9"/>
    <col width="9.140625" customWidth="1" style="152" min="10" max="10"/>
  </cols>
  <sheetData>
    <row r="1" customFormat="1" s="152">
      <c r="B1" s="168" t="inlineStr">
        <is>
          <t>Приложение № 1</t>
        </is>
      </c>
    </row>
    <row r="2" customFormat="1" s="152">
      <c r="B2" s="169" t="inlineStr">
        <is>
          <t>Сравнительная таблица отбора объекта-представителя</t>
        </is>
      </c>
    </row>
    <row r="3" customFormat="1" s="152">
      <c r="B3" s="100" t="n"/>
      <c r="C3" s="100" t="n"/>
      <c r="D3" s="100" t="n"/>
      <c r="E3" s="100" t="n"/>
      <c r="F3" s="100" t="n"/>
      <c r="G3" s="100" t="n"/>
    </row>
    <row r="4" customFormat="1" s="152">
      <c r="B4" s="100" t="n"/>
      <c r="C4" s="100" t="n"/>
      <c r="D4" s="100" t="n"/>
      <c r="E4" s="100" t="n"/>
      <c r="F4" s="100" t="n"/>
      <c r="G4" s="100" t="n"/>
    </row>
    <row r="5" customFormat="1" s="152">
      <c r="B5" s="170" t="inlineStr">
        <is>
          <t>Наименование разрабатываемого показателя УНЦ — Наружные сети водопровода/канализации</t>
        </is>
      </c>
      <c r="I5" s="101" t="n"/>
    </row>
    <row r="6" ht="31.7" customFormat="1" customHeight="1" s="152">
      <c r="B6" s="170" t="inlineStr">
        <is>
          <t>Сопоставимый уровень цен: базовый уровень цен</t>
        </is>
      </c>
    </row>
    <row r="7" ht="15.75" customFormat="1" customHeight="1" s="152">
      <c r="B7" s="170" t="inlineStr">
        <is>
          <t>Единица измерения  — пог. м</t>
        </is>
      </c>
      <c r="I7" s="101" t="n"/>
    </row>
    <row r="10" s="150">
      <c r="A10" s="152" t="n"/>
      <c r="B10" s="152" t="n"/>
      <c r="C10" s="152" t="n"/>
      <c r="D10" s="152" t="n"/>
      <c r="E10" s="152" t="n"/>
      <c r="F10" s="152" t="n"/>
      <c r="G10" s="152" t="n"/>
      <c r="H10" s="152" t="n"/>
      <c r="I10" s="152" t="n"/>
      <c r="J10" s="152" t="n"/>
    </row>
    <row r="11" ht="31.35" customHeight="1" s="150">
      <c r="A11" s="186" t="inlineStr">
        <is>
          <t>№ п/п</t>
        </is>
      </c>
      <c r="B11" s="186" t="inlineStr">
        <is>
          <t>Параметр</t>
        </is>
      </c>
      <c r="C11" s="186" t="inlineStr">
        <is>
          <t>Объект-представитель 1</t>
        </is>
      </c>
      <c r="D11" s="186" t="inlineStr">
        <is>
          <t>Объект-представитель 2</t>
        </is>
      </c>
      <c r="E11" s="186" t="inlineStr">
        <is>
          <t>Объект-представитель 3</t>
        </is>
      </c>
    </row>
    <row r="12" ht="78" customHeight="1" s="150">
      <c r="A12" s="186" t="n">
        <v>1</v>
      </c>
      <c r="B12" s="102" t="inlineStr">
        <is>
          <t>Наименование объекта-представителя</t>
        </is>
      </c>
      <c r="C12" s="186" t="inlineStr">
        <is>
          <t>Строительство ВЛ 220 кВ Зилово – Холбон (II этапы строительства)</t>
        </is>
      </c>
      <c r="D12" s="186" t="inlineStr">
        <is>
          <t>ВЛ 220 кВ Означенное-Степная (участок от опоры 64 до ПС 220 кВ Степная и ПС 220 кВ Степная с заходами ВЛ 220 кВ. Корректировка</t>
        </is>
      </c>
      <c r="E12" s="186" t="inlineStr">
        <is>
          <t xml:space="preserve">Строительство ПС 500 кВ Нижнеангарская </t>
        </is>
      </c>
    </row>
    <row r="13" ht="31.35" customHeight="1" s="150">
      <c r="A13" s="186" t="n">
        <v>2</v>
      </c>
      <c r="B13" s="102" t="inlineStr">
        <is>
          <t>Наименование субъекта Российской Федерации</t>
        </is>
      </c>
      <c r="C13" s="186" t="inlineStr">
        <is>
          <t>Забайкальский край</t>
        </is>
      </c>
      <c r="D13" s="186" t="inlineStr">
        <is>
          <t>Республика Хакассия</t>
        </is>
      </c>
      <c r="E13" s="186" t="inlineStr">
        <is>
          <t>Республика Бурятия</t>
        </is>
      </c>
    </row>
    <row r="14" ht="31.35" customHeight="1" s="150">
      <c r="A14" s="186" t="n">
        <v>3</v>
      </c>
      <c r="B14" s="102" t="inlineStr">
        <is>
          <t>Климатический район и подрайон</t>
        </is>
      </c>
      <c r="C14" s="186" t="inlineStr">
        <is>
          <t>IД</t>
        </is>
      </c>
      <c r="D14" s="186" t="inlineStr">
        <is>
          <t>IД</t>
        </is>
      </c>
      <c r="E14" s="186" t="inlineStr">
        <is>
          <t>IД</t>
        </is>
      </c>
    </row>
    <row r="15">
      <c r="A15" s="186" t="n">
        <v>4</v>
      </c>
      <c r="B15" s="102" t="inlineStr">
        <is>
          <t>Мощность объекта</t>
        </is>
      </c>
      <c r="C15" s="186">
        <f>220+38+12</f>
        <v/>
      </c>
      <c r="D15" s="186">
        <f>91.5</f>
        <v/>
      </c>
      <c r="E15" s="186" t="n">
        <v>45</v>
      </c>
    </row>
    <row r="16" ht="189" customHeight="1" s="150">
      <c r="A16" s="186" t="n">
        <v>5</v>
      </c>
      <c r="B16" s="102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C16" s="104" t="inlineStr">
        <is>
          <t>Подземная прокладка инженерных сетей водоснабжения и канализации. Проектируемые сети бытовой Ø110 мм, Ø225 мм канализации и дождевой Ø200 мм, Ø300 мм канализации прокладываются из труб полимерных со структурированной стенкой по ГОСТ Р 54475-2011 для систем наружной канализации. Предусмотрено устройство колодцев полимерных по ГОСТ 32972-2014 на плиту основания по ГОСТ 8020-2016.</t>
        </is>
      </c>
      <c r="D16" s="104" t="inlineStr">
        <is>
          <t>Внутриплощадочные наружные сети водопровода и канализации</t>
        </is>
      </c>
      <c r="E16" s="104" t="inlineStr">
        <is>
          <t>Сети хозяйственного питьевого водопровода</t>
        </is>
      </c>
      <c r="I16" s="209" t="n"/>
      <c r="J16" s="209" t="n"/>
      <c r="K16" s="209" t="n"/>
    </row>
    <row r="17" ht="109.15" customHeight="1" s="150">
      <c r="A17" s="186" t="n">
        <v>6</v>
      </c>
      <c r="B17" s="105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C17" s="186" t="inlineStr">
        <is>
          <t>293,350/2970,238 – водоснабжение 3 616,76/33 194 – водоотведение (с резервуаром) 1 квартал 2022 г.</t>
        </is>
      </c>
      <c r="D17" s="186" t="inlineStr">
        <is>
          <t>1898,22/12 319,95 ТЕР 3 квартал 2019 г.</t>
        </is>
      </c>
      <c r="E17" s="186" t="inlineStr">
        <is>
          <t>521,5/6 142,02 4 квартал 2022 г.</t>
        </is>
      </c>
      <c r="I17" s="209" t="n"/>
      <c r="J17" s="209" t="n"/>
      <c r="K17" s="209" t="n"/>
    </row>
    <row r="18" ht="31.35" customHeight="1" s="150">
      <c r="A18" s="154" t="inlineStr">
        <is>
          <t>6.1</t>
        </is>
      </c>
      <c r="B18" s="105" t="inlineStr">
        <is>
          <t>строительно-монтажные работы</t>
        </is>
      </c>
      <c r="C18" s="186" t="n"/>
      <c r="D18" s="186" t="inlineStr">
        <is>
          <t>1695,86/11 379,22</t>
        </is>
      </c>
      <c r="E18" s="186" t="inlineStr">
        <is>
          <t>478,45/5 875,56</t>
        </is>
      </c>
      <c r="I18" s="209" t="n"/>
      <c r="J18" s="209" t="n"/>
      <c r="K18" s="209" t="n"/>
    </row>
    <row r="19" ht="63.75" customHeight="1" s="150">
      <c r="A19" s="154" t="inlineStr">
        <is>
          <t>6.2</t>
        </is>
      </c>
      <c r="B19" s="105" t="inlineStr">
        <is>
          <t>оборудование и инвентарь</t>
        </is>
      </c>
      <c r="C19" s="186" t="n"/>
      <c r="D19" s="186" t="inlineStr">
        <is>
          <t>202,306/940,73</t>
        </is>
      </c>
      <c r="E19" s="186" t="inlineStr">
        <is>
          <t>43,05/266,46</t>
        </is>
      </c>
      <c r="I19" s="210" t="n"/>
      <c r="J19" s="210" t="n"/>
      <c r="K19" s="210" t="n"/>
    </row>
    <row r="20">
      <c r="A20" s="154" t="inlineStr">
        <is>
          <t>6.3</t>
        </is>
      </c>
      <c r="B20" s="102" t="inlineStr">
        <is>
          <t>пусконаладочные работы</t>
        </is>
      </c>
      <c r="C20" s="174" t="n"/>
      <c r="D20" s="174" t="n"/>
      <c r="E20" s="174" t="n"/>
      <c r="K20" s="152" t="n"/>
    </row>
    <row r="21" ht="31.35" customHeight="1" s="150">
      <c r="A21" s="154" t="inlineStr">
        <is>
          <t>6.4</t>
        </is>
      </c>
      <c r="B21" s="102" t="inlineStr">
        <is>
          <t>прочие и лимитированные затраты</t>
        </is>
      </c>
      <c r="C21" s="186" t="n"/>
      <c r="D21" s="186" t="n"/>
      <c r="E21" s="186" t="n"/>
    </row>
    <row r="22">
      <c r="A22" s="153" t="n">
        <v>7</v>
      </c>
      <c r="B22" s="102" t="inlineStr">
        <is>
          <t>Сопоставимый уровень цен</t>
        </is>
      </c>
      <c r="C22" s="186" t="inlineStr">
        <is>
          <t xml:space="preserve">4 квартал 2022  </t>
        </is>
      </c>
      <c r="D22" s="186" t="inlineStr">
        <is>
          <t xml:space="preserve">4 квартал 2022  </t>
        </is>
      </c>
      <c r="E22" s="186" t="inlineStr">
        <is>
          <t xml:space="preserve">4 квартал 2022  </t>
        </is>
      </c>
    </row>
    <row r="23" ht="140.45" customHeight="1" s="150">
      <c r="A23" s="153" t="n">
        <v>8</v>
      </c>
      <c r="B23" s="102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C23" s="211" t="n">
        <v>36164.238</v>
      </c>
      <c r="D23" s="211" t="n">
        <v>12319.95</v>
      </c>
      <c r="E23" s="211" t="n">
        <v>6142.02</v>
      </c>
    </row>
    <row r="24" ht="62.45" customHeight="1" s="150">
      <c r="A24" s="153" t="n">
        <v>9</v>
      </c>
      <c r="B24" s="102" t="inlineStr">
        <is>
          <t>Приведенная сметная стоимость на единицу мощности, тыс. руб. (строка 8/строку 4)</t>
        </is>
      </c>
      <c r="C24" s="212" t="n">
        <v>133.94162222222</v>
      </c>
      <c r="D24" s="212" t="n">
        <v>134.64426229508</v>
      </c>
      <c r="E24" s="212" t="n">
        <v>136.48933333333</v>
      </c>
    </row>
    <row r="25">
      <c r="A25" s="153" t="n">
        <v>10</v>
      </c>
      <c r="B25" s="102" t="inlineStr">
        <is>
          <t>Примечание</t>
        </is>
      </c>
      <c r="C25" s="186" t="inlineStr">
        <is>
          <t>Объект-аналог</t>
        </is>
      </c>
      <c r="D25" s="186" t="n"/>
      <c r="E25" s="186" t="n"/>
    </row>
    <row r="27" s="150">
      <c r="A27" s="152" t="n"/>
      <c r="B27" s="152" t="n"/>
      <c r="C27" s="152" t="inlineStr">
        <is>
          <t>Составил ______________________         М.С. Колотиевская</t>
        </is>
      </c>
      <c r="D27" s="152" t="n"/>
      <c r="E27" s="152" t="n"/>
      <c r="F27" s="152" t="n"/>
      <c r="G27" s="152" t="n"/>
      <c r="H27" s="152" t="n"/>
      <c r="I27" s="152" t="n"/>
      <c r="J27" s="152" t="n"/>
      <c r="K27" s="152" t="n"/>
      <c r="L27" s="152" t="n"/>
    </row>
    <row r="28" s="150">
      <c r="A28" s="152" t="n"/>
      <c r="B28" s="152" t="n"/>
      <c r="C28" s="98" t="inlineStr">
        <is>
          <t xml:space="preserve">                         (подпись, инициалы, фамилия)</t>
        </is>
      </c>
      <c r="D28" s="152" t="n"/>
      <c r="E28" s="152" t="n"/>
      <c r="F28" s="152" t="n"/>
      <c r="G28" s="152" t="n"/>
      <c r="H28" s="152" t="n"/>
      <c r="I28" s="152" t="n"/>
      <c r="J28" s="152" t="n"/>
      <c r="K28" s="152" t="n"/>
      <c r="L28" s="152" t="n"/>
    </row>
    <row r="29" s="150">
      <c r="A29" s="152" t="n"/>
      <c r="B29" s="152" t="n"/>
      <c r="C29" s="152" t="n"/>
      <c r="D29" s="152" t="n"/>
      <c r="E29" s="152" t="n"/>
      <c r="F29" s="152" t="n"/>
      <c r="G29" s="152" t="n"/>
      <c r="H29" s="152" t="n"/>
      <c r="I29" s="152" t="n"/>
      <c r="J29" s="152" t="n"/>
      <c r="K29" s="152" t="n"/>
      <c r="L29" s="152" t="n"/>
    </row>
    <row r="30" s="150">
      <c r="A30" s="152" t="n"/>
      <c r="B30" s="152" t="n"/>
      <c r="C30" s="152" t="inlineStr">
        <is>
          <t>Проверил ______________________          А.В. Костянецкая</t>
        </is>
      </c>
      <c r="D30" s="152" t="n"/>
      <c r="E30" s="152" t="n"/>
      <c r="F30" s="152" t="n"/>
      <c r="G30" s="152" t="n"/>
      <c r="H30" s="152" t="n"/>
      <c r="I30" s="152" t="n"/>
      <c r="J30" s="152" t="n"/>
      <c r="K30" s="152" t="n"/>
      <c r="L30" s="152" t="n"/>
    </row>
    <row r="31" s="150">
      <c r="A31" s="152" t="n"/>
      <c r="B31" s="152" t="n"/>
      <c r="C31" s="98" t="inlineStr">
        <is>
          <t xml:space="preserve">                        (подпись, инициалы, фамилия)</t>
        </is>
      </c>
      <c r="D31" s="152" t="n"/>
      <c r="E31" s="152" t="n"/>
      <c r="F31" s="152" t="n"/>
      <c r="G31" s="152" t="n"/>
      <c r="H31" s="152" t="n"/>
      <c r="I31" s="152" t="n"/>
      <c r="J31" s="152" t="n"/>
      <c r="K31" s="152" t="n"/>
      <c r="L31" s="152" t="n"/>
    </row>
  </sheetData>
  <mergeCells count="5">
    <mergeCell ref="B2:G2"/>
    <mergeCell ref="B5:G5"/>
    <mergeCell ref="B1:G1"/>
    <mergeCell ref="B7:G7"/>
    <mergeCell ref="B6:G6"/>
  </mergeCells>
  <pageMargins left="0.7" right="0.7" top="0.75" bottom="0.75" header="0.3" footer="0.3"/>
  <pageSetup orientation="portrait" paperSize="9" scale="56" fitToHeight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L41"/>
  <sheetViews>
    <sheetView view="pageBreakPreview" topLeftCell="A16" zoomScaleNormal="85" workbookViewId="0">
      <selection activeCell="C40" sqref="C40"/>
    </sheetView>
  </sheetViews>
  <sheetFormatPr baseColWidth="8" defaultColWidth="9.140625" defaultRowHeight="15.75"/>
  <cols>
    <col width="5.42578125" customWidth="1" style="152" min="1" max="1"/>
    <col width="9.140625" customWidth="1" style="152" min="2" max="2"/>
    <col width="28.140625" customWidth="1" style="152" min="3" max="3"/>
    <col width="15.42578125" customWidth="1" style="152" min="4" max="4"/>
    <col width="39" customWidth="1" style="152" min="5" max="5"/>
    <col width="15.42578125" customWidth="1" style="152" min="6" max="6"/>
    <col width="21.42578125" customWidth="1" style="152" min="7" max="7"/>
    <col width="19.42578125" customWidth="1" style="152" min="8" max="8"/>
    <col width="13" customWidth="1" style="152" min="9" max="9"/>
    <col width="20.85546875" customWidth="1" style="152" min="10" max="10"/>
    <col width="18" customWidth="1" style="152" min="11" max="11"/>
    <col width="9.140625" customWidth="1" style="152" min="12" max="12"/>
  </cols>
  <sheetData>
    <row r="3">
      <c r="B3" s="168" t="inlineStr">
        <is>
          <t>Приложение № 2</t>
        </is>
      </c>
    </row>
    <row r="4">
      <c r="B4" s="169" t="inlineStr">
        <is>
          <t>Расчет стоимости основных видов работ для выбора объекта-представителя</t>
        </is>
      </c>
    </row>
    <row r="5">
      <c r="B5" s="100" t="n"/>
      <c r="C5" s="100" t="n"/>
      <c r="D5" s="100" t="n"/>
      <c r="E5" s="100" t="n"/>
      <c r="F5" s="100" t="n"/>
      <c r="G5" s="100" t="n"/>
      <c r="H5" s="100" t="n"/>
      <c r="I5" s="100" t="n"/>
      <c r="J5" s="100" t="n"/>
      <c r="K5" s="100" t="n"/>
    </row>
    <row r="6">
      <c r="B6" s="170">
        <f>'Прил.1 Сравнит табл'!B5:G5</f>
        <v/>
      </c>
      <c r="L6" s="101" t="n"/>
    </row>
    <row r="7">
      <c r="B7" s="171">
        <f>'Прил.1 Сравнит табл'!B7:G7</f>
        <v/>
      </c>
      <c r="L7" s="101" t="n"/>
    </row>
    <row r="8">
      <c r="B8" s="170" t="n"/>
      <c r="K8" s="115" t="n"/>
    </row>
    <row r="9" ht="15.75" customHeight="1" s="150">
      <c r="B9" s="186" t="inlineStr">
        <is>
          <t>№ п/п</t>
        </is>
      </c>
      <c r="C9" s="186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186" t="inlineStr">
        <is>
          <t>Строительство ВЛ 220 кВ Зилово – Холбон (II этапы строительства)</t>
        </is>
      </c>
      <c r="E9" s="213" t="n"/>
      <c r="F9" s="213" t="n"/>
      <c r="G9" s="213" t="n"/>
      <c r="H9" s="213" t="n"/>
      <c r="I9" s="213" t="n"/>
      <c r="J9" s="214" t="n"/>
    </row>
    <row r="10" ht="15.75" customHeight="1" s="150">
      <c r="B10" s="215" t="n"/>
      <c r="C10" s="215" t="n"/>
      <c r="D10" s="186" t="inlineStr">
        <is>
          <t>Номер сметы</t>
        </is>
      </c>
      <c r="E10" s="186" t="inlineStr">
        <is>
          <t>Наименование сметы</t>
        </is>
      </c>
      <c r="F10" s="186" t="inlineStr">
        <is>
          <t>Сметная стоимость в уровне цен 1 квартал 2022 г., тыс. руб.</t>
        </is>
      </c>
      <c r="G10" s="213" t="n"/>
      <c r="H10" s="213" t="n"/>
      <c r="I10" s="213" t="n"/>
      <c r="J10" s="214" t="n"/>
    </row>
    <row r="11" ht="31.35" customHeight="1" s="150">
      <c r="B11" s="216" t="n"/>
      <c r="C11" s="216" t="n"/>
      <c r="D11" s="216" t="n"/>
      <c r="E11" s="216" t="n"/>
      <c r="F11" s="186" t="inlineStr">
        <is>
          <t>Строительные работы</t>
        </is>
      </c>
      <c r="G11" s="186" t="inlineStr">
        <is>
          <t>Монтажные работы</t>
        </is>
      </c>
      <c r="H11" s="186" t="inlineStr">
        <is>
          <t>Оборудование</t>
        </is>
      </c>
      <c r="I11" s="186" t="inlineStr">
        <is>
          <t>Прочее</t>
        </is>
      </c>
      <c r="J11" s="186" t="inlineStr">
        <is>
          <t>Всего</t>
        </is>
      </c>
    </row>
    <row r="12" ht="31.35" customHeight="1" s="150">
      <c r="B12" s="186" t="n">
        <v>1</v>
      </c>
      <c r="C12" s="198" t="n"/>
      <c r="D12" s="116" t="inlineStr">
        <is>
          <t>02.06-01-01</t>
        </is>
      </c>
      <c r="E12" s="189" t="inlineStr">
        <is>
          <t>02.06-01-01 ПС 220 кВ Жирекен. Наружные сети водоотведения.</t>
        </is>
      </c>
      <c r="F12" s="217" t="n">
        <v>11102146</v>
      </c>
      <c r="G12" s="217" t="n">
        <v>22092236</v>
      </c>
      <c r="H12" s="217" t="n"/>
      <c r="I12" s="217" t="n"/>
      <c r="J12" s="217" t="n">
        <v>33194382</v>
      </c>
    </row>
    <row r="13" ht="31.35" customHeight="1" s="150">
      <c r="B13" s="186" t="n"/>
      <c r="C13" s="198" t="n"/>
      <c r="D13" s="116" t="inlineStr">
        <is>
          <t>02.06-01-02</t>
        </is>
      </c>
      <c r="E13" s="189" t="inlineStr">
        <is>
          <t>02.06-01-01 ПС 220 кВ Жирекен. Наружные сети водоснабжения.</t>
        </is>
      </c>
      <c r="F13" s="217" t="n">
        <v>2970238</v>
      </c>
      <c r="G13" s="217" t="n"/>
      <c r="H13" s="217" t="n"/>
      <c r="I13" s="217" t="n"/>
      <c r="J13" s="217" t="n">
        <v>2970238</v>
      </c>
    </row>
    <row r="14" ht="15.75" customHeight="1" s="150">
      <c r="B14" s="218" t="inlineStr">
        <is>
          <t>Всего по объекту:</t>
        </is>
      </c>
      <c r="C14" s="213" t="n"/>
      <c r="D14" s="213" t="n"/>
      <c r="E14" s="214" t="n"/>
      <c r="F14" s="219" t="n">
        <v>14072384</v>
      </c>
      <c r="G14" s="219" t="n">
        <v>22092236</v>
      </c>
      <c r="H14" s="219" t="n">
        <v>0</v>
      </c>
      <c r="I14" s="219" t="n">
        <v>0</v>
      </c>
      <c r="J14" s="219" t="n">
        <v>33194382</v>
      </c>
    </row>
    <row r="15" ht="15.75" customHeight="1" s="150">
      <c r="B15" s="218" t="inlineStr">
        <is>
          <t>Всего по объекту в сопоставимом уровне цен 4 кв. 2022г:</t>
        </is>
      </c>
      <c r="C15" s="213" t="n"/>
      <c r="D15" s="213" t="n"/>
      <c r="E15" s="214" t="n"/>
      <c r="F15" s="220" t="n">
        <v>14916727.04</v>
      </c>
      <c r="G15" s="220" t="n">
        <v>23417770.16</v>
      </c>
      <c r="H15" s="220" t="n">
        <v>0</v>
      </c>
      <c r="I15" s="220" t="n">
        <v>0</v>
      </c>
      <c r="J15" s="220" t="n">
        <v>35186044.92</v>
      </c>
    </row>
    <row r="16">
      <c r="B16" s="170" t="n"/>
      <c r="C16" s="152" t="n"/>
      <c r="D16" s="152" t="n"/>
      <c r="E16" s="152" t="n"/>
      <c r="F16" s="152" t="n"/>
      <c r="G16" s="152" t="n"/>
      <c r="H16" s="152" t="n"/>
      <c r="I16" s="152" t="n"/>
      <c r="J16" s="152" t="n"/>
    </row>
    <row r="17">
      <c r="B17" s="170" t="n"/>
      <c r="C17" s="152" t="n"/>
      <c r="D17" s="152" t="n"/>
      <c r="E17" s="152" t="n"/>
      <c r="F17" s="152" t="n"/>
      <c r="G17" s="152" t="n"/>
      <c r="H17" s="152" t="n"/>
      <c r="I17" s="152" t="n"/>
      <c r="J17" s="152" t="n"/>
      <c r="K17" s="115" t="n"/>
    </row>
    <row r="18" ht="25.5" customHeight="1" s="150">
      <c r="B18" s="186" t="inlineStr">
        <is>
          <t>№ п/п</t>
        </is>
      </c>
      <c r="C18" s="186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18" s="186" t="inlineStr">
        <is>
          <t>ВЛ 220 кВ Означенное-Степная (участок от опоры 64 до ПС 220 кВ Степная и ПС 220 кВ Степная с заходами ВЛ 220 кВ. Корректировка</t>
        </is>
      </c>
      <c r="E18" s="213" t="n"/>
      <c r="F18" s="213" t="n"/>
      <c r="G18" s="213" t="n"/>
      <c r="H18" s="213" t="n"/>
      <c r="I18" s="213" t="n"/>
      <c r="J18" s="214" t="n"/>
    </row>
    <row r="19" ht="15.75" customHeight="1" s="150">
      <c r="B19" s="215" t="n"/>
      <c r="C19" s="215" t="n"/>
      <c r="D19" s="186" t="inlineStr">
        <is>
          <t>Номер сметы</t>
        </is>
      </c>
      <c r="E19" s="186" t="inlineStr">
        <is>
          <t>Наименование сметы</t>
        </is>
      </c>
      <c r="F19" s="186" t="inlineStr">
        <is>
          <t>Сметная стоимость в уровне цен 3 кв. 2019г., тыс. руб.</t>
        </is>
      </c>
      <c r="G19" s="213" t="n"/>
      <c r="H19" s="213" t="n"/>
      <c r="I19" s="213" t="n"/>
      <c r="J19" s="214" t="n"/>
    </row>
    <row r="20" ht="45" customHeight="1" s="150">
      <c r="B20" s="216" t="n"/>
      <c r="C20" s="216" t="n"/>
      <c r="D20" s="216" t="n"/>
      <c r="E20" s="216" t="n"/>
      <c r="F20" s="186" t="inlineStr">
        <is>
          <t>Строительные работы</t>
        </is>
      </c>
      <c r="G20" s="186" t="inlineStr">
        <is>
          <t>Монтажные работы</t>
        </is>
      </c>
      <c r="H20" s="186" t="inlineStr">
        <is>
          <t>Оборудование</t>
        </is>
      </c>
      <c r="I20" s="186" t="inlineStr">
        <is>
          <t>Прочее</t>
        </is>
      </c>
      <c r="J20" s="186" t="inlineStr">
        <is>
          <t>Всего</t>
        </is>
      </c>
    </row>
    <row r="21" ht="31.35" customHeight="1" s="150">
      <c r="B21" s="186" t="n">
        <v>1</v>
      </c>
      <c r="C21" s="198" t="n"/>
      <c r="D21" s="116" t="inlineStr">
        <is>
          <t xml:space="preserve">06-04 </t>
        </is>
      </c>
      <c r="E21" s="119" t="inlineStr">
        <is>
          <t>- Внутриплощадочные сети водопровода,  канализации</t>
        </is>
      </c>
      <c r="F21" s="221" t="n">
        <v>11379.22</v>
      </c>
      <c r="G21" s="221" t="n"/>
      <c r="H21" s="222" t="n">
        <v>940.73</v>
      </c>
      <c r="I21" s="222" t="n">
        <v>0</v>
      </c>
      <c r="J21" s="217" t="n">
        <v>12319.95</v>
      </c>
    </row>
    <row r="22" ht="15.75" customHeight="1" s="150">
      <c r="B22" s="218" t="inlineStr">
        <is>
          <t>Всего по объекту:</t>
        </is>
      </c>
      <c r="C22" s="213" t="n"/>
      <c r="D22" s="213" t="n"/>
      <c r="E22" s="214" t="n"/>
      <c r="F22" s="219" t="n">
        <v>11379.22</v>
      </c>
      <c r="G22" s="219" t="n">
        <v>0</v>
      </c>
      <c r="H22" s="219" t="n">
        <v>940.73</v>
      </c>
      <c r="I22" s="219" t="n">
        <v>0</v>
      </c>
      <c r="J22" s="219" t="n">
        <v>12319.95</v>
      </c>
    </row>
    <row r="23" ht="15.75" customHeight="1" s="150">
      <c r="B23" s="218" t="inlineStr">
        <is>
          <t>Всего по объекту в сопоставимом уровне цен 4 кв. 2022г:</t>
        </is>
      </c>
      <c r="C23" s="213" t="n"/>
      <c r="D23" s="213" t="n"/>
      <c r="E23" s="214" t="n"/>
      <c r="F23" s="220" t="n">
        <v>11379.22</v>
      </c>
      <c r="G23" s="220" t="n">
        <v>0</v>
      </c>
      <c r="H23" s="220" t="n">
        <v>940.73</v>
      </c>
      <c r="I23" s="220" t="n">
        <v>0</v>
      </c>
      <c r="J23" s="220" t="n">
        <v>12319.95</v>
      </c>
    </row>
    <row r="24">
      <c r="B24" s="170" t="n"/>
      <c r="C24" s="152" t="n"/>
      <c r="D24" s="152" t="n"/>
      <c r="E24" s="152" t="n"/>
      <c r="F24" s="152" t="n"/>
      <c r="G24" s="152" t="n"/>
      <c r="H24" s="152" t="n"/>
      <c r="I24" s="152" t="n"/>
      <c r="J24" s="152" t="n"/>
    </row>
    <row r="25">
      <c r="B25" s="170" t="n"/>
      <c r="C25" s="152" t="n"/>
      <c r="D25" s="152" t="n"/>
      <c r="E25" s="152" t="n"/>
      <c r="F25" s="152" t="n"/>
      <c r="G25" s="152" t="n"/>
      <c r="H25" s="152" t="n"/>
      <c r="I25" s="152" t="n"/>
      <c r="J25" s="152" t="n"/>
      <c r="K25" s="115" t="n"/>
    </row>
    <row r="26" ht="15.75" customHeight="1" s="150">
      <c r="B26" s="186" t="inlineStr">
        <is>
          <t>№ п/п</t>
        </is>
      </c>
      <c r="C26" s="186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26" s="186" t="inlineStr">
        <is>
          <t xml:space="preserve">Строительство ПС 500 кВ Нижнеангарская </t>
        </is>
      </c>
      <c r="E26" s="213" t="n"/>
      <c r="F26" s="213" t="n"/>
      <c r="G26" s="213" t="n"/>
      <c r="H26" s="213" t="n"/>
      <c r="I26" s="213" t="n"/>
      <c r="J26" s="214" t="n"/>
    </row>
    <row r="27" ht="15.75" customHeight="1" s="150">
      <c r="B27" s="215" t="n"/>
      <c r="C27" s="215" t="n"/>
      <c r="D27" s="186" t="inlineStr">
        <is>
          <t>Номер сметы</t>
        </is>
      </c>
      <c r="E27" s="186" t="inlineStr">
        <is>
          <t>Наименование сметы</t>
        </is>
      </c>
      <c r="F27" s="186" t="inlineStr">
        <is>
          <t>Сметная стоимость в уровне цен 4 кв. 2022г., тыс. руб.</t>
        </is>
      </c>
      <c r="G27" s="213" t="n"/>
      <c r="H27" s="213" t="n"/>
      <c r="I27" s="213" t="n"/>
      <c r="J27" s="214" t="n"/>
    </row>
    <row r="28" ht="31.35" customHeight="1" s="150">
      <c r="B28" s="216" t="n"/>
      <c r="C28" s="216" t="n"/>
      <c r="D28" s="216" t="n"/>
      <c r="E28" s="216" t="n"/>
      <c r="F28" s="186" t="inlineStr">
        <is>
          <t>Строительные работы</t>
        </is>
      </c>
      <c r="G28" s="186" t="inlineStr">
        <is>
          <t>Монтажные работы</t>
        </is>
      </c>
      <c r="H28" s="186" t="inlineStr">
        <is>
          <t>Оборудование</t>
        </is>
      </c>
      <c r="I28" s="186" t="inlineStr">
        <is>
          <t>Прочее</t>
        </is>
      </c>
      <c r="J28" s="186" t="inlineStr">
        <is>
          <t>Всего</t>
        </is>
      </c>
    </row>
    <row r="29" ht="33.75" customHeight="1" s="150">
      <c r="B29" s="186" t="n"/>
      <c r="C29" s="152" t="n"/>
      <c r="D29" s="124" t="inlineStr">
        <is>
          <t>8.06-01-01</t>
        </is>
      </c>
      <c r="E29" s="125" t="inlineStr">
        <is>
          <t>Наружные сети водоснабжения</t>
        </is>
      </c>
      <c r="F29" s="223" t="n">
        <v>5873.59</v>
      </c>
      <c r="G29" s="223" t="n">
        <v>1.97</v>
      </c>
      <c r="H29" s="223" t="n">
        <v>266.46</v>
      </c>
      <c r="I29" s="217" t="n"/>
      <c r="J29" s="217" t="n">
        <v>6142.02</v>
      </c>
    </row>
    <row r="30" ht="15.75" customHeight="1" s="150">
      <c r="B30" s="218" t="inlineStr">
        <is>
          <t>Всего по объекту:</t>
        </is>
      </c>
      <c r="C30" s="213" t="n"/>
      <c r="D30" s="213" t="n"/>
      <c r="E30" s="214" t="n"/>
      <c r="F30" s="219" t="n">
        <v>5873.59</v>
      </c>
      <c r="G30" s="219" t="n">
        <v>1.97</v>
      </c>
      <c r="H30" s="219" t="n">
        <v>266.46</v>
      </c>
      <c r="I30" s="219" t="n">
        <v>0</v>
      </c>
      <c r="J30" s="219" t="n">
        <v>6142.02</v>
      </c>
    </row>
    <row r="31" ht="15.75" customHeight="1" s="150">
      <c r="B31" s="218" t="inlineStr">
        <is>
          <t>Всего по объекту в сопоставимом уровне цен 4 кв. 2022г:</t>
        </is>
      </c>
      <c r="C31" s="213" t="n"/>
      <c r="D31" s="213" t="n"/>
      <c r="E31" s="214" t="n"/>
      <c r="F31" s="220" t="n">
        <v>7271.50442</v>
      </c>
      <c r="G31" s="220" t="n">
        <v>2.43886</v>
      </c>
      <c r="H31" s="220" t="n">
        <v>329.87748</v>
      </c>
      <c r="I31" s="220" t="n">
        <v>0</v>
      </c>
      <c r="J31" s="220" t="n">
        <v>7603.82076</v>
      </c>
    </row>
    <row r="32">
      <c r="B32" s="127" t="n"/>
      <c r="C32" s="127" t="n"/>
      <c r="D32" s="127" t="n"/>
      <c r="E32" s="127" t="n"/>
      <c r="F32" s="224" t="n"/>
      <c r="G32" s="224" t="n"/>
      <c r="H32" s="224" t="n"/>
      <c r="I32" s="224" t="n"/>
      <c r="J32" s="224" t="n"/>
    </row>
    <row r="33">
      <c r="B33" s="170" t="n"/>
      <c r="K33" s="129" t="n"/>
    </row>
    <row r="34">
      <c r="B34" s="170" t="n"/>
    </row>
    <row r="35">
      <c r="B35" s="170" t="n"/>
    </row>
    <row r="37">
      <c r="C37" s="152" t="inlineStr">
        <is>
          <t>Составил ______________________         М.С. Колотиевская</t>
        </is>
      </c>
    </row>
    <row r="38">
      <c r="C38" s="98" t="inlineStr">
        <is>
          <t xml:space="preserve">                         (подпись, инициалы, фамилия)</t>
        </is>
      </c>
    </row>
    <row r="40">
      <c r="C40" s="152" t="inlineStr">
        <is>
          <t>Проверил ______________________          А.В. Костянецкая</t>
        </is>
      </c>
    </row>
    <row r="41">
      <c r="C41" s="98" t="inlineStr">
        <is>
          <t xml:space="preserve">                        (подпись, инициалы, фамилия)</t>
        </is>
      </c>
    </row>
  </sheetData>
  <mergeCells count="28">
    <mergeCell ref="D27:D28"/>
    <mergeCell ref="D18:J18"/>
    <mergeCell ref="D9:J9"/>
    <mergeCell ref="F10:J10"/>
    <mergeCell ref="B30:E30"/>
    <mergeCell ref="B15:E15"/>
    <mergeCell ref="F19:J19"/>
    <mergeCell ref="B6:K6"/>
    <mergeCell ref="E19:E20"/>
    <mergeCell ref="E10:E11"/>
    <mergeCell ref="B4:K4"/>
    <mergeCell ref="D26:J26"/>
    <mergeCell ref="B26:B28"/>
    <mergeCell ref="B7:K7"/>
    <mergeCell ref="C18:C20"/>
    <mergeCell ref="B22:E22"/>
    <mergeCell ref="B3:K3"/>
    <mergeCell ref="B31:E31"/>
    <mergeCell ref="E27:E28"/>
    <mergeCell ref="B18:B20"/>
    <mergeCell ref="B14:E14"/>
    <mergeCell ref="F27:J27"/>
    <mergeCell ref="C26:C28"/>
    <mergeCell ref="B23:E23"/>
    <mergeCell ref="D19:D20"/>
    <mergeCell ref="D10:D11"/>
    <mergeCell ref="B9:B11"/>
    <mergeCell ref="C9:C11"/>
  </mergeCells>
  <pageMargins left="0.7" right="0.7" top="0.75" bottom="0.75" header="0.3" footer="0.3"/>
  <pageSetup orientation="portrait" paperSize="9" scale="4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L102"/>
  <sheetViews>
    <sheetView view="pageBreakPreview" topLeftCell="A89" zoomScale="115" zoomScaleNormal="100" zoomScaleSheetLayoutView="115" workbookViewId="0">
      <selection activeCell="B101" sqref="B101"/>
    </sheetView>
  </sheetViews>
  <sheetFormatPr baseColWidth="8" defaultColWidth="9.140625" defaultRowHeight="15"/>
  <cols>
    <col width="9.140625" customWidth="1" style="150" min="1" max="1"/>
    <col width="12.42578125" customWidth="1" style="150" min="2" max="2"/>
    <col width="17" customWidth="1" style="150" min="3" max="3"/>
    <col width="49.5703125" customWidth="1" style="150" min="4" max="4"/>
    <col width="16.42578125" customWidth="1" style="150" min="5" max="5"/>
    <col width="20.5703125" customWidth="1" style="150" min="6" max="6"/>
    <col width="16.140625" customWidth="1" style="150" min="7" max="7"/>
    <col width="16.5703125" customWidth="1" style="150" min="8" max="8"/>
    <col width="9.140625" customWidth="1" style="150" min="9" max="9"/>
  </cols>
  <sheetData>
    <row r="2" ht="15.6" customHeight="1" s="150">
      <c r="A2" s="168" t="inlineStr">
        <is>
          <t xml:space="preserve">Приложение № 3 </t>
        </is>
      </c>
    </row>
    <row r="3" ht="17.45" customHeight="1" s="150">
      <c r="A3" s="184" t="inlineStr">
        <is>
          <t>Объектная ресурсная ведомость</t>
        </is>
      </c>
    </row>
    <row r="4" ht="18.75" customHeight="1" s="150">
      <c r="A4" s="184" t="n"/>
      <c r="B4" s="184" t="n"/>
      <c r="C4" s="185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  <c r="I4" s="152" t="n"/>
      <c r="J4" s="152" t="n"/>
      <c r="K4" s="152" t="n"/>
      <c r="L4" s="152" t="n"/>
    </row>
    <row r="5" ht="18" customHeight="1" s="150">
      <c r="A5" s="9" t="n"/>
    </row>
    <row r="6" ht="15.6" customHeight="1" s="150">
      <c r="A6" s="171" t="inlineStr">
        <is>
          <t>Наименование разрабатываемого показателя УНЦ -  Наружные сети водопровода/канализации</t>
        </is>
      </c>
    </row>
    <row r="7" ht="15.6" customFormat="1" customHeight="1" s="152">
      <c r="A7" s="130" t="n"/>
      <c r="B7" s="130" t="n"/>
      <c r="C7" s="130" t="n"/>
      <c r="D7" s="130" t="n"/>
      <c r="E7" s="130" t="n"/>
      <c r="F7" s="130" t="n"/>
      <c r="G7" s="130" t="n"/>
      <c r="H7" s="130" t="n"/>
    </row>
    <row r="8" ht="38.25" customFormat="1" customHeight="1" s="152">
      <c r="A8" s="174" t="inlineStr">
        <is>
          <t>п/п</t>
        </is>
      </c>
      <c r="B8" s="174" t="inlineStr">
        <is>
          <t>№ЛСР</t>
        </is>
      </c>
      <c r="C8" s="174" t="inlineStr">
        <is>
          <t>Код ресурса</t>
        </is>
      </c>
      <c r="D8" s="174" t="inlineStr">
        <is>
          <t>Наименование ресурса</t>
        </is>
      </c>
      <c r="E8" s="174" t="inlineStr">
        <is>
          <t>Ед. изм.</t>
        </is>
      </c>
      <c r="F8" s="174" t="inlineStr">
        <is>
          <t>Кол-во единиц по данным объекта-представителя</t>
        </is>
      </c>
      <c r="G8" s="174" t="inlineStr">
        <is>
          <t>Сметная стоимость в ценах на 01.01.2000 (руб.)</t>
        </is>
      </c>
      <c r="H8" s="225" t="n"/>
    </row>
    <row r="9" ht="40.7" customFormat="1" customHeight="1" s="152">
      <c r="A9" s="216" t="n"/>
      <c r="B9" s="216" t="n"/>
      <c r="C9" s="216" t="n"/>
      <c r="D9" s="216" t="n"/>
      <c r="E9" s="216" t="n"/>
      <c r="F9" s="216" t="n"/>
      <c r="G9" s="186" t="inlineStr">
        <is>
          <t>на ед.изм.</t>
        </is>
      </c>
      <c r="H9" s="186" t="inlineStr">
        <is>
          <t>общая</t>
        </is>
      </c>
    </row>
    <row r="10" ht="15.6" customFormat="1" customHeight="1" s="152">
      <c r="A10" s="186" t="n">
        <v>1</v>
      </c>
      <c r="B10" s="186" t="n"/>
      <c r="C10" s="186" t="n">
        <v>2</v>
      </c>
      <c r="D10" s="186" t="inlineStr">
        <is>
          <t>З</t>
        </is>
      </c>
      <c r="E10" s="186" t="n">
        <v>4</v>
      </c>
      <c r="F10" s="186" t="n">
        <v>5</v>
      </c>
      <c r="G10" s="17" t="n">
        <v>6</v>
      </c>
      <c r="H10" s="17" t="n">
        <v>7</v>
      </c>
    </row>
    <row r="11" ht="15.6" customFormat="1" customHeight="1" s="15">
      <c r="A11" s="181" t="inlineStr">
        <is>
          <t>Затраты труда рабочих</t>
        </is>
      </c>
      <c r="B11" s="213" t="n"/>
      <c r="C11" s="213" t="n"/>
      <c r="D11" s="213" t="n"/>
      <c r="E11" s="214" t="n"/>
      <c r="F11" s="181" t="n">
        <v>233.6834303</v>
      </c>
      <c r="G11" s="19" t="n"/>
      <c r="H11" s="19">
        <f>SUM(H12:H25)</f>
        <v/>
      </c>
    </row>
    <row r="12" ht="15.6" customFormat="1" customHeight="1" s="152">
      <c r="A12" s="182" t="n">
        <v>1</v>
      </c>
      <c r="B12" s="182" t="n"/>
      <c r="C12" s="183" t="inlineStr">
        <is>
          <t>1-100-15</t>
        </is>
      </c>
      <c r="D12" s="183" t="inlineStr">
        <is>
          <t>Затраты труда рабочих (ср 1,5)</t>
        </is>
      </c>
      <c r="E12" s="182" t="inlineStr">
        <is>
          <t>чел.-ч</t>
        </is>
      </c>
      <c r="F12" s="182" t="n">
        <v>84.4887075</v>
      </c>
      <c r="G12" s="187" t="n">
        <v>7.5</v>
      </c>
      <c r="H12" s="187">
        <f>ROUND(F12*G12,2)</f>
        <v/>
      </c>
    </row>
    <row r="13" ht="15.6" customFormat="1" customHeight="1" s="152">
      <c r="A13" s="182" t="n">
        <v>2</v>
      </c>
      <c r="B13" s="182" t="n"/>
      <c r="C13" s="183" t="inlineStr">
        <is>
          <t>1-100-34</t>
        </is>
      </c>
      <c r="D13" s="183" t="inlineStr">
        <is>
          <t>Затраты труда рабочих (ср 3,4)</t>
        </is>
      </c>
      <c r="E13" s="182" t="inlineStr">
        <is>
          <t>чел.-ч</t>
        </is>
      </c>
      <c r="F13" s="182" t="n">
        <v>32.568</v>
      </c>
      <c r="G13" s="187" t="n">
        <v>8.970000000000001</v>
      </c>
      <c r="H13" s="187">
        <f>ROUND(F13*G13,2)</f>
        <v/>
      </c>
    </row>
    <row r="14" ht="15.6" customFormat="1" customHeight="1" s="152">
      <c r="A14" s="182" t="n">
        <v>3</v>
      </c>
      <c r="B14" s="182" t="n"/>
      <c r="C14" s="183" t="inlineStr">
        <is>
          <t>1-100-37</t>
        </is>
      </c>
      <c r="D14" s="183" t="inlineStr">
        <is>
          <t>Затраты труда рабочих (ср 3,7)</t>
        </is>
      </c>
      <c r="E14" s="182" t="inlineStr">
        <is>
          <t>чел.-ч</t>
        </is>
      </c>
      <c r="F14" s="182" t="n">
        <v>31.3163063</v>
      </c>
      <c r="G14" s="187" t="n">
        <v>9.289999999999999</v>
      </c>
      <c r="H14" s="187">
        <f>ROUND(F14*G14,2)</f>
        <v/>
      </c>
    </row>
    <row r="15" ht="15.6" customFormat="1" customHeight="1" s="152">
      <c r="A15" s="182" t="n">
        <v>4</v>
      </c>
      <c r="B15" s="182" t="n"/>
      <c r="C15" s="183" t="inlineStr">
        <is>
          <t>1-100-36</t>
        </is>
      </c>
      <c r="D15" s="183" t="inlineStr">
        <is>
          <t>Затраты труда рабочих (ср 3,6)</t>
        </is>
      </c>
      <c r="E15" s="182" t="inlineStr">
        <is>
          <t>чел.-ч</t>
        </is>
      </c>
      <c r="F15" s="182" t="n">
        <v>30.870476</v>
      </c>
      <c r="G15" s="187" t="n">
        <v>9.18</v>
      </c>
      <c r="H15" s="187">
        <f>ROUND(F15*G15,2)</f>
        <v/>
      </c>
    </row>
    <row r="16" ht="15.6" customFormat="1" customHeight="1" s="152">
      <c r="A16" s="182" t="n">
        <v>5</v>
      </c>
      <c r="B16" s="182" t="n"/>
      <c r="C16" s="183" t="inlineStr">
        <is>
          <t>1-100-30</t>
        </is>
      </c>
      <c r="D16" s="183" t="inlineStr">
        <is>
          <t>Затраты труда рабочих (ср 3)</t>
        </is>
      </c>
      <c r="E16" s="182" t="inlineStr">
        <is>
          <t>чел.-ч</t>
        </is>
      </c>
      <c r="F16" s="182" t="n">
        <v>16.4867828</v>
      </c>
      <c r="G16" s="187" t="n">
        <v>8.529999999999999</v>
      </c>
      <c r="H16" s="187">
        <f>ROUND(F16*G16,2)</f>
        <v/>
      </c>
    </row>
    <row r="17" ht="15.6" customFormat="1" customHeight="1" s="152">
      <c r="A17" s="182" t="n">
        <v>6</v>
      </c>
      <c r="B17" s="182" t="n"/>
      <c r="C17" s="183" t="inlineStr">
        <is>
          <t>1-100-25</t>
        </is>
      </c>
      <c r="D17" s="183" t="inlineStr">
        <is>
          <t>Затраты труда рабочих (ср 2,5)</t>
        </is>
      </c>
      <c r="E17" s="182" t="inlineStr">
        <is>
          <t>чел.-ч</t>
        </is>
      </c>
      <c r="F17" s="182" t="n">
        <v>16.9596094</v>
      </c>
      <c r="G17" s="187" t="n">
        <v>8.17</v>
      </c>
      <c r="H17" s="187">
        <f>ROUND(F17*G17,2)</f>
        <v/>
      </c>
    </row>
    <row r="18" ht="15.6" customFormat="1" customHeight="1" s="152">
      <c r="A18" s="182" t="n">
        <v>7</v>
      </c>
      <c r="B18" s="182" t="n"/>
      <c r="C18" s="183" t="inlineStr">
        <is>
          <t>1-100-33</t>
        </is>
      </c>
      <c r="D18" s="183" t="inlineStr">
        <is>
          <t>Затраты труда рабочих (ср 3,3)</t>
        </is>
      </c>
      <c r="E18" s="182" t="inlineStr">
        <is>
          <t>чел.-ч</t>
        </is>
      </c>
      <c r="F18" s="182" t="n">
        <v>8.7791184</v>
      </c>
      <c r="G18" s="187" t="n">
        <v>8.859999999999999</v>
      </c>
      <c r="H18" s="187">
        <f>ROUND(F18*G18,2)</f>
        <v/>
      </c>
    </row>
    <row r="19" ht="15.6" customFormat="1" customHeight="1" s="152">
      <c r="A19" s="182" t="n">
        <v>8</v>
      </c>
      <c r="B19" s="182" t="n"/>
      <c r="C19" s="183" t="inlineStr">
        <is>
          <t>1-100-28</t>
        </is>
      </c>
      <c r="D19" s="183" t="inlineStr">
        <is>
          <t>Затраты труда рабочих (ср 2,8)</t>
        </is>
      </c>
      <c r="E19" s="182" t="inlineStr">
        <is>
          <t>чел.-ч</t>
        </is>
      </c>
      <c r="F19" s="182" t="n">
        <v>7.3374788</v>
      </c>
      <c r="G19" s="187" t="n">
        <v>8.380000000000001</v>
      </c>
      <c r="H19" s="187">
        <f>ROUND(F19*G19,2)</f>
        <v/>
      </c>
    </row>
    <row r="20" ht="15.6" customFormat="1" customHeight="1" s="152">
      <c r="A20" s="182" t="n">
        <v>9</v>
      </c>
      <c r="B20" s="182" t="n"/>
      <c r="C20" s="183" t="inlineStr">
        <is>
          <t>1-100-35</t>
        </is>
      </c>
      <c r="D20" s="183" t="inlineStr">
        <is>
          <t>Затраты труда рабочих (ср 3,5)</t>
        </is>
      </c>
      <c r="E20" s="182" t="inlineStr">
        <is>
          <t>чел.-ч</t>
        </is>
      </c>
      <c r="F20" s="182" t="n">
        <v>2.63166</v>
      </c>
      <c r="G20" s="187" t="n">
        <v>9.07</v>
      </c>
      <c r="H20" s="187">
        <f>ROUND(F20*G20,2)</f>
        <v/>
      </c>
    </row>
    <row r="21" ht="15.6" customFormat="1" customHeight="1" s="152">
      <c r="A21" s="182" t="n">
        <v>10</v>
      </c>
      <c r="B21" s="182" t="n"/>
      <c r="C21" s="183" t="inlineStr">
        <is>
          <t>1-100-38</t>
        </is>
      </c>
      <c r="D21" s="183" t="inlineStr">
        <is>
          <t>Затраты труда рабочих (ср 3,8)</t>
        </is>
      </c>
      <c r="E21" s="182" t="inlineStr">
        <is>
          <t>чел.-ч</t>
        </is>
      </c>
      <c r="F21" s="182" t="n">
        <v>0.6374872</v>
      </c>
      <c r="G21" s="187" t="n">
        <v>9.4</v>
      </c>
      <c r="H21" s="187">
        <f>ROUND(F21*G21,2)</f>
        <v/>
      </c>
    </row>
    <row r="22" ht="15.6" customFormat="1" customHeight="1" s="152">
      <c r="A22" s="182" t="n">
        <v>11</v>
      </c>
      <c r="B22" s="182" t="n"/>
      <c r="C22" s="183" t="inlineStr">
        <is>
          <t>1-100-27</t>
        </is>
      </c>
      <c r="D22" s="183" t="inlineStr">
        <is>
          <t>Затраты труда рабочих (ср 2,7)</t>
        </is>
      </c>
      <c r="E22" s="182" t="inlineStr">
        <is>
          <t>чел.-ч</t>
        </is>
      </c>
      <c r="F22" s="182" t="n">
        <v>0.621</v>
      </c>
      <c r="G22" s="187" t="n">
        <v>8.31</v>
      </c>
      <c r="H22" s="187">
        <f>ROUND(F22*G22,2)</f>
        <v/>
      </c>
    </row>
    <row r="23" ht="15.6" customFormat="1" customHeight="1" s="152">
      <c r="A23" s="182" t="n">
        <v>12</v>
      </c>
      <c r="B23" s="182" t="n"/>
      <c r="C23" s="183" t="inlineStr">
        <is>
          <t>1-100-40</t>
        </is>
      </c>
      <c r="D23" s="183" t="inlineStr">
        <is>
          <t>Затраты труда рабочих (ср 4)</t>
        </is>
      </c>
      <c r="E23" s="182" t="inlineStr">
        <is>
          <t>чел.-ч</t>
        </is>
      </c>
      <c r="F23" s="182" t="n">
        <v>0.5146909</v>
      </c>
      <c r="G23" s="187" t="n">
        <v>9.619999999999999</v>
      </c>
      <c r="H23" s="187">
        <f>ROUND(F23*G23,2)</f>
        <v/>
      </c>
    </row>
    <row r="24" ht="15.6" customFormat="1" customHeight="1" s="152">
      <c r="A24" s="182" t="n">
        <v>13</v>
      </c>
      <c r="B24" s="182" t="n"/>
      <c r="C24" s="183" t="inlineStr">
        <is>
          <t>1-100-39</t>
        </is>
      </c>
      <c r="D24" s="183" t="inlineStr">
        <is>
          <t>Затраты труда рабочих (ср 3,9)</t>
        </is>
      </c>
      <c r="E24" s="182" t="inlineStr">
        <is>
          <t>чел.-ч</t>
        </is>
      </c>
      <c r="F24" s="182" t="n">
        <v>0.4675109</v>
      </c>
      <c r="G24" s="187" t="n">
        <v>9.51</v>
      </c>
      <c r="H24" s="187">
        <f>ROUND(F24*G24,2)</f>
        <v/>
      </c>
    </row>
    <row r="25" ht="15.6" customFormat="1" customHeight="1" s="152">
      <c r="A25" s="182" t="n">
        <v>14</v>
      </c>
      <c r="B25" s="182" t="n"/>
      <c r="C25" s="183" t="inlineStr">
        <is>
          <t>1-100-31</t>
        </is>
      </c>
      <c r="D25" s="183" t="inlineStr">
        <is>
          <t>Затраты труда рабочих (ср 3,1)</t>
        </is>
      </c>
      <c r="E25" s="182" t="inlineStr">
        <is>
          <t>чел.-ч</t>
        </is>
      </c>
      <c r="F25" s="182" t="n">
        <v>0.0046021</v>
      </c>
      <c r="G25" s="187" t="n">
        <v>8.640000000000001</v>
      </c>
      <c r="H25" s="187">
        <f>ROUND(F25*G25,2)</f>
        <v/>
      </c>
    </row>
    <row r="26" ht="15.6" customFormat="1" customHeight="1" s="15">
      <c r="A26" s="181" t="inlineStr">
        <is>
          <t>Затраты труда машинистов</t>
        </is>
      </c>
      <c r="B26" s="213" t="n"/>
      <c r="C26" s="213" t="n"/>
      <c r="D26" s="213" t="n"/>
      <c r="E26" s="214" t="n"/>
      <c r="F26" s="181" t="n">
        <v>28.7450528</v>
      </c>
      <c r="G26" s="19" t="n"/>
      <c r="H26" s="19">
        <f>SUM(H27:H27)</f>
        <v/>
      </c>
    </row>
    <row r="27" ht="15.6" customFormat="1" customHeight="1" s="152">
      <c r="A27" s="182" t="n">
        <v>15</v>
      </c>
      <c r="B27" s="182" t="n"/>
      <c r="C27" s="183" t="n">
        <v>2</v>
      </c>
      <c r="D27" s="183" t="inlineStr">
        <is>
          <t>Затраты труда машинистов</t>
        </is>
      </c>
      <c r="E27" s="182" t="inlineStr">
        <is>
          <t>чел.-ч</t>
        </is>
      </c>
      <c r="F27" s="182" t="n">
        <v>28.7450528</v>
      </c>
      <c r="G27" s="187" t="n">
        <v>13.19</v>
      </c>
      <c r="H27" s="187">
        <f>ROUND(F27*G27,2)</f>
        <v/>
      </c>
    </row>
    <row r="28" ht="15.6" customFormat="1" customHeight="1" s="15">
      <c r="A28" s="181" t="inlineStr">
        <is>
          <t>Машины и механизмы</t>
        </is>
      </c>
      <c r="B28" s="213" t="n"/>
      <c r="C28" s="213" t="n"/>
      <c r="D28" s="213" t="n"/>
      <c r="E28" s="214" t="n"/>
      <c r="F28" s="181" t="n"/>
      <c r="G28" s="19" t="n"/>
      <c r="H28" s="19">
        <f>SUM(H29:H46)</f>
        <v/>
      </c>
    </row>
    <row r="29" ht="15.6" customFormat="1" customHeight="1" s="152">
      <c r="A29" s="182" t="n">
        <v>16</v>
      </c>
      <c r="B29" s="182" t="n"/>
      <c r="C29" s="119" t="inlineStr">
        <is>
          <t>91.17.04-031</t>
        </is>
      </c>
      <c r="D29" s="183" t="inlineStr">
        <is>
          <t>Агрегаты для сварки полиэтиленовых труб</t>
        </is>
      </c>
      <c r="E29" s="182" t="inlineStr">
        <is>
          <t>маш.час</t>
        </is>
      </c>
      <c r="F29" s="182" t="n">
        <v>8.7712895</v>
      </c>
      <c r="G29" s="187" t="n">
        <v>100.1</v>
      </c>
      <c r="H29" s="187">
        <f>ROUND(F29*G29,2)</f>
        <v/>
      </c>
    </row>
    <row r="30" ht="15.6" customFormat="1" customHeight="1" s="152">
      <c r="A30" s="182" t="n">
        <v>17</v>
      </c>
      <c r="B30" s="182" t="n"/>
      <c r="C30" s="119" t="inlineStr">
        <is>
          <t>91.14.01-011</t>
        </is>
      </c>
      <c r="D30" s="183" t="inlineStr">
        <is>
          <t>Автобетоносмесители, емкость до 6,3 м3</t>
        </is>
      </c>
      <c r="E30" s="182" t="inlineStr">
        <is>
          <t>маш.час</t>
        </is>
      </c>
      <c r="F30" s="182" t="n">
        <v>7.176</v>
      </c>
      <c r="G30" s="187" t="n">
        <v>105.81</v>
      </c>
      <c r="H30" s="187">
        <f>ROUND(F30*G30,2)</f>
        <v/>
      </c>
    </row>
    <row r="31" ht="46.9" customFormat="1" customHeight="1" s="152">
      <c r="A31" s="182" t="n">
        <v>18</v>
      </c>
      <c r="B31" s="182" t="n"/>
      <c r="C31" s="119" t="inlineStr">
        <is>
          <t>91.07.11-570</t>
        </is>
      </c>
      <c r="D31" s="183" t="inlineStr">
        <is>
          <t>Бетононасосы-миксеры прицепные с двигателем внутреннего сгорания, производительность до 12 м3/ч</t>
        </is>
      </c>
      <c r="E31" s="182" t="inlineStr">
        <is>
          <t>маш.час</t>
        </is>
      </c>
      <c r="F31" s="182" t="n">
        <v>7.176</v>
      </c>
      <c r="G31" s="187" t="n">
        <v>71</v>
      </c>
      <c r="H31" s="187">
        <f>ROUND(F31*G31,2)</f>
        <v/>
      </c>
    </row>
    <row r="32" ht="31.35" customFormat="1" customHeight="1" s="152">
      <c r="A32" s="182" t="n">
        <v>19</v>
      </c>
      <c r="B32" s="182" t="n"/>
      <c r="C32" s="119" t="inlineStr">
        <is>
          <t>91.05.13-025</t>
        </is>
      </c>
      <c r="D32" s="183" t="inlineStr">
        <is>
          <t>Краны-манипуляторы на автомобильном ходу, грузоподъемность до 3,2 т</t>
        </is>
      </c>
      <c r="E32" s="182" t="inlineStr">
        <is>
          <t>маш.час</t>
        </is>
      </c>
      <c r="F32" s="182" t="n">
        <v>2.2632</v>
      </c>
      <c r="G32" s="187" t="n">
        <v>112.36</v>
      </c>
      <c r="H32" s="187">
        <f>ROUND(F32*G32,2)</f>
        <v/>
      </c>
    </row>
    <row r="33" ht="31.35" customFormat="1" customHeight="1" s="152">
      <c r="A33" s="182" t="n">
        <v>20</v>
      </c>
      <c r="B33" s="182" t="n"/>
      <c r="C33" s="119" t="inlineStr">
        <is>
          <t>91.05.05-015</t>
        </is>
      </c>
      <c r="D33" s="183" t="inlineStr">
        <is>
          <t>Краны на автомобильном ходу, грузоподъемность 16 т</t>
        </is>
      </c>
      <c r="E33" s="182" t="inlineStr">
        <is>
          <t>маш.час</t>
        </is>
      </c>
      <c r="F33" s="182" t="n">
        <v>1.2474639</v>
      </c>
      <c r="G33" s="187" t="n">
        <v>115.4</v>
      </c>
      <c r="H33" s="187">
        <f>ROUND(F33*G33,2)</f>
        <v/>
      </c>
    </row>
    <row r="34" ht="62.45" customFormat="1" customHeight="1" s="152">
      <c r="A34" s="182" t="n">
        <v>21</v>
      </c>
      <c r="B34" s="182" t="n"/>
      <c r="C34" s="119" t="inlineStr">
        <is>
          <t>91.10.09-012</t>
        </is>
      </c>
      <c r="D34" s="183" t="inlineStr">
        <is>
          <t>Установки для гидравлических испытаний трубопроводов, давление нагнетания низкое 0,1 МПа (1 кгс/см2), высокое 10 МПа (100 кгс/см2) при работе от передвижных электростанций</t>
        </is>
      </c>
      <c r="E34" s="182" t="inlineStr">
        <is>
          <t>маш.час</t>
        </is>
      </c>
      <c r="F34" s="182" t="n">
        <v>3.9165642</v>
      </c>
      <c r="G34" s="187" t="n">
        <v>26.32</v>
      </c>
      <c r="H34" s="187">
        <f>ROUND(F34*G34,2)</f>
        <v/>
      </c>
    </row>
    <row r="35" ht="15.6" customFormat="1" customHeight="1" s="152">
      <c r="A35" s="182" t="n">
        <v>22</v>
      </c>
      <c r="B35" s="182" t="n"/>
      <c r="C35" s="119" t="inlineStr">
        <is>
          <t>91.06.05-011</t>
        </is>
      </c>
      <c r="D35" s="183" t="inlineStr">
        <is>
          <t>Погрузчики, грузоподъемность 5 т</t>
        </is>
      </c>
      <c r="E35" s="182" t="inlineStr">
        <is>
          <t>маш.час</t>
        </is>
      </c>
      <c r="F35" s="182" t="n">
        <v>0.5342742</v>
      </c>
      <c r="G35" s="187" t="n">
        <v>89.98999999999999</v>
      </c>
      <c r="H35" s="187">
        <f>ROUND(F35*G35,2)</f>
        <v/>
      </c>
    </row>
    <row r="36" ht="15.6" customFormat="1" customHeight="1" s="152">
      <c r="A36" s="182" t="n">
        <v>23</v>
      </c>
      <c r="B36" s="182" t="n"/>
      <c r="C36" s="119" t="inlineStr">
        <is>
          <t>91.14.02-001</t>
        </is>
      </c>
      <c r="D36" s="183" t="inlineStr">
        <is>
          <t>Автомобили бортовые, грузоподъемность до 5 т</t>
        </is>
      </c>
      <c r="E36" s="182" t="inlineStr">
        <is>
          <t>маш.час</t>
        </is>
      </c>
      <c r="F36" s="182" t="n">
        <v>0.5914336</v>
      </c>
      <c r="G36" s="187" t="n">
        <v>65.70999999999999</v>
      </c>
      <c r="H36" s="187">
        <f>ROUND(F36*G36,2)</f>
        <v/>
      </c>
    </row>
    <row r="37" ht="31.35" customFormat="1" customHeight="1" s="152">
      <c r="A37" s="182" t="n">
        <v>24</v>
      </c>
      <c r="B37" s="182" t="n"/>
      <c r="C37" s="119" t="inlineStr">
        <is>
          <t>91.01.05-085</t>
        </is>
      </c>
      <c r="D37" s="183" t="inlineStr">
        <is>
          <t>Экскаваторы одноковшовые дизельные на гусеничном ходу, емкость ковша 0,5 м3</t>
        </is>
      </c>
      <c r="E37" s="182" t="inlineStr">
        <is>
          <t>маш.час</t>
        </is>
      </c>
      <c r="F37" s="182" t="n">
        <v>0.265394</v>
      </c>
      <c r="G37" s="187" t="n">
        <v>100</v>
      </c>
      <c r="H37" s="187">
        <f>ROUND(F37*G37,2)</f>
        <v/>
      </c>
    </row>
    <row r="38" ht="15.6" customFormat="1" customHeight="1" s="152">
      <c r="A38" s="182" t="n">
        <v>25</v>
      </c>
      <c r="B38" s="182" t="n"/>
      <c r="C38" s="119" t="inlineStr">
        <is>
          <t>91.05.01-017</t>
        </is>
      </c>
      <c r="D38" s="183" t="inlineStr">
        <is>
          <t>Краны башенные, грузоподъемность 8 т</t>
        </is>
      </c>
      <c r="E38" s="182" t="inlineStr">
        <is>
          <t>маш.час</t>
        </is>
      </c>
      <c r="F38" s="182" t="n">
        <v>0.2301619</v>
      </c>
      <c r="G38" s="187" t="n">
        <v>86.40000000000001</v>
      </c>
      <c r="H38" s="187">
        <f>ROUND(F38*G38,2)</f>
        <v/>
      </c>
    </row>
    <row r="39" ht="15.6" customFormat="1" customHeight="1" s="152">
      <c r="A39" s="182" t="n">
        <v>26</v>
      </c>
      <c r="B39" s="182" t="n"/>
      <c r="C39" s="119" t="inlineStr">
        <is>
          <t>91.16.01-002</t>
        </is>
      </c>
      <c r="D39" s="183" t="inlineStr">
        <is>
          <t>Электростанции передвижные, мощность 4 кВт</t>
        </is>
      </c>
      <c r="E39" s="182" t="inlineStr">
        <is>
          <t>маш.час</t>
        </is>
      </c>
      <c r="F39" s="182" t="n">
        <v>0.454478</v>
      </c>
      <c r="G39" s="187" t="n">
        <v>27.11</v>
      </c>
      <c r="H39" s="187">
        <f>ROUND(F39*G39,2)</f>
        <v/>
      </c>
    </row>
    <row r="40" ht="31.35" customFormat="1" customHeight="1" s="152">
      <c r="A40" s="182" t="n">
        <v>27</v>
      </c>
      <c r="B40" s="182" t="n"/>
      <c r="C40" s="119" t="inlineStr">
        <is>
          <t>91.10.05-007</t>
        </is>
      </c>
      <c r="D40" s="183" t="inlineStr">
        <is>
          <t>Трубоукладчики, номинальная грузоподъемность 12,5 т</t>
        </is>
      </c>
      <c r="E40" s="182" t="inlineStr">
        <is>
          <t>маш.час</t>
        </is>
      </c>
      <c r="F40" s="182" t="n">
        <v>0.0258877</v>
      </c>
      <c r="G40" s="187" t="n">
        <v>239.44</v>
      </c>
      <c r="H40" s="187">
        <f>ROUND(F40*G40,2)</f>
        <v/>
      </c>
    </row>
    <row r="41" ht="15.6" customFormat="1" customHeight="1" s="152">
      <c r="A41" s="182" t="n">
        <v>28</v>
      </c>
      <c r="B41" s="182" t="n"/>
      <c r="C41" s="119" t="inlineStr">
        <is>
          <t>91.08.04-021</t>
        </is>
      </c>
      <c r="D41" s="183" t="inlineStr">
        <is>
          <t>Котлы битумные передвижные 400 л</t>
        </is>
      </c>
      <c r="E41" s="182" t="inlineStr">
        <is>
          <t>маш.час</t>
        </is>
      </c>
      <c r="F41" s="182" t="n">
        <v>0.0430022</v>
      </c>
      <c r="G41" s="187" t="n">
        <v>30</v>
      </c>
      <c r="H41" s="187">
        <f>ROUND(F41*G41,2)</f>
        <v/>
      </c>
    </row>
    <row r="42" ht="15.6" customFormat="1" customHeight="1" s="152">
      <c r="A42" s="182" t="n">
        <v>29</v>
      </c>
      <c r="B42" s="182" t="n"/>
      <c r="C42" s="119" t="inlineStr">
        <is>
          <t>91.14.04-002</t>
        </is>
      </c>
      <c r="D42" s="183" t="inlineStr">
        <is>
          <t>Тягачи седельные, грузоподъемность 15 т</t>
        </is>
      </c>
      <c r="E42" s="182" t="inlineStr">
        <is>
          <t>маш.час</t>
        </is>
      </c>
      <c r="F42" s="182" t="n">
        <v>0.0094704</v>
      </c>
      <c r="G42" s="187" t="n">
        <v>94.38</v>
      </c>
      <c r="H42" s="187">
        <f>ROUND(F42*G42,2)</f>
        <v/>
      </c>
    </row>
    <row r="43" ht="31.35" customFormat="1" customHeight="1" s="152">
      <c r="A43" s="182" t="n">
        <v>30</v>
      </c>
      <c r="B43" s="182" t="n"/>
      <c r="C43" s="119" t="inlineStr">
        <is>
          <t>91.06.03-061</t>
        </is>
      </c>
      <c r="D43" s="183" t="inlineStr">
        <is>
          <t>Лебедки электрические тяговым усилием до 12,26 кН (1,25 т)</t>
        </is>
      </c>
      <c r="E43" s="182" t="inlineStr">
        <is>
          <t>маш.час</t>
        </is>
      </c>
      <c r="F43" s="182" t="n">
        <v>0.1518534</v>
      </c>
      <c r="G43" s="187" t="n">
        <v>3.28</v>
      </c>
      <c r="H43" s="187">
        <f>ROUND(F43*G43,2)</f>
        <v/>
      </c>
    </row>
    <row r="44" ht="31.35" customFormat="1" customHeight="1" s="152">
      <c r="A44" s="182" t="n">
        <v>31</v>
      </c>
      <c r="B44" s="182" t="n"/>
      <c r="C44" s="119" t="inlineStr">
        <is>
          <t>91.17.04-233</t>
        </is>
      </c>
      <c r="D44" s="183" t="inlineStr">
        <is>
          <t>Установки для сварки ручной дуговой (постоянного тока)</t>
        </is>
      </c>
      <c r="E44" s="182" t="inlineStr">
        <is>
          <t>маш.час</t>
        </is>
      </c>
      <c r="F44" s="182" t="n">
        <v>0.0379776</v>
      </c>
      <c r="G44" s="187" t="n">
        <v>8.1</v>
      </c>
      <c r="H44" s="187">
        <f>ROUND(F44*G44,2)</f>
        <v/>
      </c>
    </row>
    <row r="45" ht="31.35" customFormat="1" customHeight="1" s="152">
      <c r="A45" s="182" t="n">
        <v>32</v>
      </c>
      <c r="B45" s="182" t="n"/>
      <c r="C45" s="119" t="inlineStr">
        <is>
          <t>91.14.05-012</t>
        </is>
      </c>
      <c r="D45" s="183" t="inlineStr">
        <is>
          <t>Полуприцепы общего назначения, грузоподъемность 15 т</t>
        </is>
      </c>
      <c r="E45" s="182" t="inlineStr">
        <is>
          <t>маш.час</t>
        </is>
      </c>
      <c r="F45" s="182" t="n">
        <v>0.0094704</v>
      </c>
      <c r="G45" s="187" t="n">
        <v>19.76</v>
      </c>
      <c r="H45" s="187">
        <f>ROUND(F45*G45,2)</f>
        <v/>
      </c>
    </row>
    <row r="46" ht="15.6" customFormat="1" customHeight="1" s="152">
      <c r="A46" s="182" t="n">
        <v>33</v>
      </c>
      <c r="B46" s="182" t="n"/>
      <c r="C46" s="119" t="inlineStr">
        <is>
          <t>91.07.04-001</t>
        </is>
      </c>
      <c r="D46" s="183" t="inlineStr">
        <is>
          <t>Вибраторы глубинные</t>
        </is>
      </c>
      <c r="E46" s="182" t="inlineStr">
        <is>
          <t>маш.час</t>
        </is>
      </c>
      <c r="F46" s="182" t="n">
        <v>0.079488</v>
      </c>
      <c r="G46" s="187" t="n">
        <v>1.9</v>
      </c>
      <c r="H46" s="187">
        <f>ROUND(F46*G46,2)</f>
        <v/>
      </c>
    </row>
    <row r="47" ht="15.6" customFormat="1" customHeight="1" s="15">
      <c r="A47" s="181" t="inlineStr">
        <is>
          <t>Материалы</t>
        </is>
      </c>
      <c r="B47" s="213" t="n"/>
      <c r="C47" s="213" t="n"/>
      <c r="D47" s="213" t="n"/>
      <c r="E47" s="214" t="n"/>
      <c r="F47" s="181" t="n"/>
      <c r="G47" s="19" t="n"/>
      <c r="H47" s="19">
        <f>SUM(H48:H93)</f>
        <v/>
      </c>
    </row>
    <row r="48" ht="46.9" customFormat="1" customHeight="1" s="152">
      <c r="A48" s="182" t="n">
        <v>34</v>
      </c>
      <c r="B48" s="182" t="n"/>
      <c r="C48" s="119" t="inlineStr">
        <is>
          <t>ТЦ_18.2.04.05_77_7711090903_25.10.2022_02</t>
        </is>
      </c>
      <c r="D48" s="183" t="inlineStr">
        <is>
          <t>Колодец стеклопластиковый (O1000х4500мм), с крышкой (O800мм), лестницей</t>
        </is>
      </c>
      <c r="E48" s="182" t="inlineStr">
        <is>
          <t>шт</t>
        </is>
      </c>
      <c r="F48" s="182" t="n">
        <v>20</v>
      </c>
      <c r="G48" s="187" t="n">
        <v>31632.65</v>
      </c>
      <c r="H48" s="187">
        <f>ROUND(F48*G48,2)</f>
        <v/>
      </c>
    </row>
    <row r="49" ht="15.6" customFormat="1" customHeight="1" s="152">
      <c r="A49" s="182" t="n">
        <v>35</v>
      </c>
      <c r="B49" s="182" t="n"/>
      <c r="C49" s="119" t="inlineStr">
        <is>
          <t>02.3.01.02-1011</t>
        </is>
      </c>
      <c r="D49" s="183" t="inlineStr">
        <is>
          <t>Песок природный I класс, средний, круглые сита</t>
        </is>
      </c>
      <c r="E49" s="182" t="inlineStr">
        <is>
          <t>м3</t>
        </is>
      </c>
      <c r="F49" s="182" t="n">
        <v>6718.155</v>
      </c>
      <c r="G49" s="187" t="n">
        <v>54.95</v>
      </c>
      <c r="H49" s="187">
        <f>ROUND(F49*G49,2)</f>
        <v/>
      </c>
    </row>
    <row r="50" ht="62.45" customFormat="1" customHeight="1" s="152">
      <c r="A50" s="182" t="n">
        <v>36</v>
      </c>
      <c r="B50" s="182" t="n"/>
      <c r="C50" s="119" t="inlineStr">
        <is>
          <t>18.2.04.01-0012</t>
        </is>
      </c>
      <c r="D50" s="183" t="inlineStr">
        <is>
          <t>Колодец водопроводный полиэтиленовый, диаметр 1600 мм, с запорной арматурой (1,2), для трубопровода номинальным диаметром 150, 200 мм</t>
        </is>
      </c>
      <c r="E50" s="182" t="inlineStr">
        <is>
          <t>м</t>
        </is>
      </c>
      <c r="F50" s="182" t="n">
        <v>5</v>
      </c>
      <c r="G50" s="187" t="n">
        <v>20759.1</v>
      </c>
      <c r="H50" s="187">
        <f>ROUND(F50*G50,2)</f>
        <v/>
      </c>
    </row>
    <row r="51" ht="15.6" customFormat="1" customHeight="1" s="152">
      <c r="A51" s="182" t="n">
        <v>37</v>
      </c>
      <c r="B51" s="182" t="n"/>
      <c r="C51" s="119" t="inlineStr">
        <is>
          <t>11.2.13.04-0011</t>
        </is>
      </c>
      <c r="D51" s="183" t="inlineStr">
        <is>
          <t>Щиты из досок, толщина 25 мм</t>
        </is>
      </c>
      <c r="E51" s="182" t="inlineStr">
        <is>
          <t>м2</t>
        </is>
      </c>
      <c r="F51" s="182" t="n">
        <v>1683.264</v>
      </c>
      <c r="G51" s="187" t="n">
        <v>35.53</v>
      </c>
      <c r="H51" s="187">
        <f>ROUND(F51*G51,2)</f>
        <v/>
      </c>
    </row>
    <row r="52" ht="46.9" customFormat="1" customHeight="1" s="152">
      <c r="A52" s="182" t="n">
        <v>38</v>
      </c>
      <c r="B52" s="182" t="n"/>
      <c r="C52" s="119" t="inlineStr">
        <is>
          <t>04.1.02.05-0059</t>
        </is>
      </c>
      <c r="D52" s="183" t="inlineStr">
        <is>
          <t>Смеси бетонные тяжелого бетона (БСТ), крупность заполнителя 40 мм, класс В12,5 (М150)</t>
        </is>
      </c>
      <c r="E52" s="182" t="inlineStr">
        <is>
          <t>м3</t>
        </is>
      </c>
      <c r="F52" s="182" t="n">
        <v>64.95999999999999</v>
      </c>
      <c r="G52" s="187" t="n">
        <v>622.63</v>
      </c>
      <c r="H52" s="187">
        <f>ROUND(F52*G52,2)</f>
        <v/>
      </c>
    </row>
    <row r="53" ht="62.45" customFormat="1" customHeight="1" s="152">
      <c r="A53" s="182" t="n">
        <v>39</v>
      </c>
      <c r="B53" s="182" t="n"/>
      <c r="C53" s="119" t="inlineStr">
        <is>
          <t>24.3.03.13-0055</t>
        </is>
      </c>
      <c r="D53" s="183" t="inlineStr">
        <is>
          <t>Трубы напорные полиэтиленовые ПЭ100, стандартное размерное отношение SDR17, номинальный наружный диаметр 315 мм, толщина стенки 18,7 мм</t>
        </is>
      </c>
      <c r="E53" s="182" t="inlineStr">
        <is>
          <t>м</t>
        </is>
      </c>
      <c r="F53" s="182" t="n">
        <v>38.1275</v>
      </c>
      <c r="G53" s="187" t="n">
        <v>1019.54</v>
      </c>
      <c r="H53" s="187">
        <f>ROUND(F53*G53,2)</f>
        <v/>
      </c>
    </row>
    <row r="54" ht="62.45" customFormat="1" customHeight="1" s="152">
      <c r="A54" s="182" t="n">
        <v>40</v>
      </c>
      <c r="B54" s="182" t="n"/>
      <c r="C54" s="119" t="inlineStr">
        <is>
          <t>24.3.03.06-0025</t>
        </is>
      </c>
      <c r="D54" s="183" t="inlineStr">
        <is>
          <t>Трубы дренажные полиэтиленовые гофрированные двухслойные, класс кольцевой жесткости SN8, номинальный внутренний диаметр 200 мм</t>
        </is>
      </c>
      <c r="E54" s="182" t="inlineStr">
        <is>
          <t>м</t>
        </is>
      </c>
      <c r="F54" s="182" t="n">
        <v>257.497729</v>
      </c>
      <c r="G54" s="187" t="n">
        <v>148.57</v>
      </c>
      <c r="H54" s="187">
        <f>ROUND(F54*G54,2)</f>
        <v/>
      </c>
    </row>
    <row r="55" ht="62.45" customFormat="1" customHeight="1" s="152">
      <c r="A55" s="182" t="n">
        <v>41</v>
      </c>
      <c r="B55" s="182" t="n"/>
      <c r="C55" s="119" t="inlineStr">
        <is>
          <t>24.3.03.13-0058</t>
        </is>
      </c>
      <c r="D55" s="183" t="inlineStr">
        <is>
          <t>Трубы напорные полиэтиленовые ПЭ100, стандартное размерное отношение SDR17, номинальный наружный диаметр 450 мм, толщина стенки 26,7 мм</t>
        </is>
      </c>
      <c r="E55" s="182" t="inlineStr">
        <is>
          <t>м</t>
        </is>
      </c>
      <c r="F55" s="182" t="n">
        <v>12.625</v>
      </c>
      <c r="G55" s="187" t="n">
        <v>2072.58</v>
      </c>
      <c r="H55" s="187">
        <f>ROUND(F55*G55,2)</f>
        <v/>
      </c>
    </row>
    <row r="56" ht="62.45" customFormat="1" customHeight="1" s="152">
      <c r="A56" s="182" t="n">
        <v>42</v>
      </c>
      <c r="B56" s="182" t="n"/>
      <c r="C56" s="119" t="inlineStr">
        <is>
          <t>24.3.03.13-0043</t>
        </is>
      </c>
      <c r="D56" s="183" t="inlineStr">
        <is>
          <t>Трубы напорные полиэтиленовые ПЭ100, стандартное размерное отношение SDR17, номинальный наружный диаметр 63 мм, толщина стенки 3,8 мм</t>
        </is>
      </c>
      <c r="E56" s="182" t="inlineStr">
        <is>
          <t>м</t>
        </is>
      </c>
      <c r="F56" s="182" t="n">
        <v>220.12</v>
      </c>
      <c r="G56" s="187" t="n">
        <v>41.6</v>
      </c>
      <c r="H56" s="187">
        <f>ROUND(F56*G56,2)</f>
        <v/>
      </c>
    </row>
    <row r="57" ht="46.9" customFormat="1" customHeight="1" s="152">
      <c r="A57" s="182" t="n">
        <v>43</v>
      </c>
      <c r="B57" s="182" t="n"/>
      <c r="C57" s="119" t="inlineStr">
        <is>
          <t>02.3.01.02-0016</t>
        </is>
      </c>
      <c r="D57" s="183" t="inlineStr">
        <is>
          <t>Песок природный для строительных: работ средний с крупностью зерен размером свыше 5 мм - до 5% по массе</t>
        </is>
      </c>
      <c r="E57" s="182" t="inlineStr">
        <is>
          <t>м3</t>
        </is>
      </c>
      <c r="F57" s="182" t="n">
        <v>151.1796</v>
      </c>
      <c r="G57" s="187" t="n">
        <v>55.26</v>
      </c>
      <c r="H57" s="187">
        <f>ROUND(F57*G57,2)</f>
        <v/>
      </c>
    </row>
    <row r="58" ht="15.6" customFormat="1" customHeight="1" s="152">
      <c r="A58" s="182" t="n">
        <v>44</v>
      </c>
      <c r="B58" s="182" t="n"/>
      <c r="C58" s="119" t="inlineStr">
        <is>
          <t>08.1.02.06-0023</t>
        </is>
      </c>
      <c r="D58" s="183" t="inlineStr">
        <is>
          <t>Люк чугунный круглый средний Л(B125)-К-1-60</t>
        </is>
      </c>
      <c r="E58" s="182" t="inlineStr">
        <is>
          <t>шт</t>
        </is>
      </c>
      <c r="F58" s="182" t="n">
        <v>17</v>
      </c>
      <c r="G58" s="187" t="n">
        <v>442.11</v>
      </c>
      <c r="H58" s="187">
        <f>ROUND(F58*G58,2)</f>
        <v/>
      </c>
    </row>
    <row r="59" ht="31.35" customFormat="1" customHeight="1" s="152">
      <c r="A59" s="182" t="n">
        <v>45</v>
      </c>
      <c r="B59" s="182" t="n"/>
      <c r="C59" s="119" t="inlineStr">
        <is>
          <t>04.1.02.01-0006</t>
        </is>
      </c>
      <c r="D59" s="183" t="inlineStr">
        <is>
          <t>Смеси бетонные мелкозернистого бетона (БСМ), класс В15 (М200)</t>
        </is>
      </c>
      <c r="E59" s="182" t="inlineStr">
        <is>
          <t>м3</t>
        </is>
      </c>
      <c r="F59" s="182" t="n">
        <v>8.19</v>
      </c>
      <c r="G59" s="187" t="n">
        <v>490</v>
      </c>
      <c r="H59" s="187">
        <f>ROUND(F59*G59,2)</f>
        <v/>
      </c>
    </row>
    <row r="60" ht="31.35" customFormat="1" customHeight="1" s="152">
      <c r="A60" s="182" t="n">
        <v>46</v>
      </c>
      <c r="B60" s="182" t="n"/>
      <c r="C60" s="119" t="inlineStr">
        <is>
          <t>08.1.02.06-0042</t>
        </is>
      </c>
      <c r="D60" s="183" t="inlineStr">
        <is>
          <t>Люк чугунный с решеткой для дождеприемного колодца ЛР</t>
        </is>
      </c>
      <c r="E60" s="182" t="inlineStr">
        <is>
          <t>шт</t>
        </is>
      </c>
      <c r="F60" s="182" t="n">
        <v>4</v>
      </c>
      <c r="G60" s="187" t="n">
        <v>592.2</v>
      </c>
      <c r="H60" s="187">
        <f>ROUND(F60*G60,2)</f>
        <v/>
      </c>
    </row>
    <row r="61" ht="15.6" customFormat="1" customHeight="1" s="152">
      <c r="A61" s="182" t="n">
        <v>47</v>
      </c>
      <c r="B61" s="182" t="n"/>
      <c r="C61" s="119" t="inlineStr">
        <is>
          <t>01.2.03.03-0013</t>
        </is>
      </c>
      <c r="D61" s="183" t="inlineStr">
        <is>
          <t>Мастика битумная кровельная горячая</t>
        </is>
      </c>
      <c r="E61" s="182" t="inlineStr">
        <is>
          <t>т</t>
        </is>
      </c>
      <c r="F61" s="182" t="n">
        <v>0.38352</v>
      </c>
      <c r="G61" s="187" t="n">
        <v>3390</v>
      </c>
      <c r="H61" s="187">
        <f>ROUND(F61*G61,2)</f>
        <v/>
      </c>
    </row>
    <row r="62" ht="31.35" customFormat="1" customHeight="1" s="152">
      <c r="A62" s="182" t="n">
        <v>48</v>
      </c>
      <c r="B62" s="182" t="n"/>
      <c r="C62" s="119" t="inlineStr">
        <is>
          <t>08.4.03.02-0007</t>
        </is>
      </c>
      <c r="D62" s="183" t="inlineStr">
        <is>
          <t>Сталь арматурная, горячекатаная, гладкая, класс А-I, диаметр 20-22 мм</t>
        </is>
      </c>
      <c r="E62" s="182" t="inlineStr">
        <is>
          <t>т</t>
        </is>
      </c>
      <c r="F62" s="182" t="n">
        <v>0.14758</v>
      </c>
      <c r="G62" s="187" t="n">
        <v>5520</v>
      </c>
      <c r="H62" s="187">
        <f>ROUND(F62*G62,2)</f>
        <v/>
      </c>
    </row>
    <row r="63" ht="62.45" customFormat="1" customHeight="1" s="152">
      <c r="A63" s="182" t="n">
        <v>49</v>
      </c>
      <c r="B63" s="182" t="n"/>
      <c r="C63" s="119" t="inlineStr">
        <is>
          <t>18.1.02.01-0201</t>
        </is>
      </c>
      <c r="D63" s="183" t="inlineStr">
        <is>
          <t>Задвижка параллельная с выдвижным шпинделем 30ч6бр, номинальное давление 1,0 МПа (10 кгс/см2), присоединение к трубопроводу фланцевое, номинальный диаметр 50 мм</t>
        </is>
      </c>
      <c r="E63" s="182" t="inlineStr">
        <is>
          <t>шт</t>
        </is>
      </c>
      <c r="F63" s="182" t="n">
        <v>2</v>
      </c>
      <c r="G63" s="187" t="n">
        <v>257.08</v>
      </c>
      <c r="H63" s="187">
        <f>ROUND(F63*G63,2)</f>
        <v/>
      </c>
    </row>
    <row r="64" ht="46.9" customFormat="1" customHeight="1" s="152">
      <c r="A64" s="182" t="n">
        <v>50</v>
      </c>
      <c r="B64" s="182" t="n"/>
      <c r="C64" s="119" t="inlineStr">
        <is>
          <t>08.4.03.03-0022</t>
        </is>
      </c>
      <c r="D64" s="183" t="inlineStr">
        <is>
          <t>Сталь арматурная, горячекатаная, периодического профиля, класс А-II, диаметр 12 мм</t>
        </is>
      </c>
      <c r="E64" s="182" t="inlineStr">
        <is>
          <t>т</t>
        </is>
      </c>
      <c r="F64" s="182" t="n">
        <v>0.073515</v>
      </c>
      <c r="G64" s="187" t="n">
        <v>5950</v>
      </c>
      <c r="H64" s="187">
        <f>ROUND(F64*G64,2)</f>
        <v/>
      </c>
    </row>
    <row r="65" ht="62.45" customFormat="1" customHeight="1" s="152">
      <c r="A65" s="182" t="n">
        <v>51</v>
      </c>
      <c r="B65" s="182" t="n"/>
      <c r="C65" s="119" t="inlineStr">
        <is>
          <t>24.3.03.06-0023</t>
        </is>
      </c>
      <c r="D65" s="183" t="inlineStr">
        <is>
          <t>Трубы дренажные полиэтиленовые гофрированные двухслойные, класс кольцевой жесткости SN8, номинальный внутренний диаметр 110 мм</t>
        </is>
      </c>
      <c r="E65" s="182" t="inlineStr">
        <is>
          <t>м</t>
        </is>
      </c>
      <c r="F65" s="182" t="n">
        <v>8.888</v>
      </c>
      <c r="G65" s="187" t="n">
        <v>49.1</v>
      </c>
      <c r="H65" s="187">
        <f>ROUND(F65*G65,2)</f>
        <v/>
      </c>
    </row>
    <row r="66" ht="31.35" customFormat="1" customHeight="1" s="152">
      <c r="A66" s="182" t="n">
        <v>52</v>
      </c>
      <c r="B66" s="182" t="n"/>
      <c r="C66" s="119" t="inlineStr">
        <is>
          <t>24.3.05.08-0112</t>
        </is>
      </c>
      <c r="D66" s="183" t="inlineStr">
        <is>
          <t>Отвод полиэтиленовый удлиненный 90°, номинальный внутренний диаметр 63 мм</t>
        </is>
      </c>
      <c r="E66" s="182" t="inlineStr">
        <is>
          <t>шт</t>
        </is>
      </c>
      <c r="F66" s="182" t="n">
        <v>5</v>
      </c>
      <c r="G66" s="187" t="n">
        <v>82.2</v>
      </c>
      <c r="H66" s="187">
        <f>ROUND(F66*G66,2)</f>
        <v/>
      </c>
    </row>
    <row r="67" ht="31.35" customFormat="1" customHeight="1" s="152">
      <c r="A67" s="182" t="n">
        <v>53</v>
      </c>
      <c r="B67" s="182" t="n"/>
      <c r="C67" s="119" t="inlineStr">
        <is>
          <t>18.1.02.02-0101</t>
        </is>
      </c>
      <c r="D67" s="183" t="inlineStr">
        <is>
          <t>Штурвал № 7800 для задвижек Hawle диаметром 50 мм</t>
        </is>
      </c>
      <c r="E67" s="182" t="inlineStr">
        <is>
          <t>шт</t>
        </is>
      </c>
      <c r="F67" s="182" t="n">
        <v>2</v>
      </c>
      <c r="G67" s="187" t="n">
        <v>65.13</v>
      </c>
      <c r="H67" s="187">
        <f>ROUND(F67*G67,2)</f>
        <v/>
      </c>
    </row>
    <row r="68" ht="15.6" customFormat="1" customHeight="1" s="152">
      <c r="A68" s="182" t="n">
        <v>54</v>
      </c>
      <c r="B68" s="182" t="n"/>
      <c r="C68" s="119" t="inlineStr">
        <is>
          <t>01.2.01.02-0001</t>
        </is>
      </c>
      <c r="D68" s="183" t="inlineStr">
        <is>
          <t>Битум горячий</t>
        </is>
      </c>
      <c r="E68" s="182" t="inlineStr">
        <is>
          <t>т</t>
        </is>
      </c>
      <c r="F68" s="182" t="n">
        <v>0.025568</v>
      </c>
      <c r="G68" s="187" t="n">
        <v>1946.91</v>
      </c>
      <c r="H68" s="187">
        <f>ROUND(F68*G68,2)</f>
        <v/>
      </c>
    </row>
    <row r="69" ht="31.35" customFormat="1" customHeight="1" s="152">
      <c r="A69" s="182" t="n">
        <v>55</v>
      </c>
      <c r="B69" s="182" t="n"/>
      <c r="C69" s="119" t="inlineStr">
        <is>
          <t>11.1.02.04-0031</t>
        </is>
      </c>
      <c r="D69" s="183" t="inlineStr">
        <is>
          <t>Лесоматериалы круглые, хвойных пород, для строительства, диаметр 14-24 см, длина 3-6,5 м</t>
        </is>
      </c>
      <c r="E69" s="182" t="inlineStr">
        <is>
          <t>м3</t>
        </is>
      </c>
      <c r="F69" s="182" t="n">
        <v>0.08686140000000001</v>
      </c>
      <c r="G69" s="187" t="n">
        <v>558.33</v>
      </c>
      <c r="H69" s="187">
        <f>ROUND(F69*G69,2)</f>
        <v/>
      </c>
    </row>
    <row r="70" ht="46.9" customFormat="1" customHeight="1" s="152">
      <c r="A70" s="182" t="n">
        <v>56</v>
      </c>
      <c r="B70" s="182" t="n"/>
      <c r="C70" s="119" t="inlineStr">
        <is>
          <t>07.2.07.12-0021</t>
        </is>
      </c>
      <c r="D70" s="183" t="inlineStr">
        <is>
          <t>Элементы конструктивные зданий и сооружений с преобладанием горячекатаных профилей, средняя масса сборочной единицы от 0,5 до 1 т</t>
        </is>
      </c>
      <c r="E70" s="182" t="inlineStr">
        <is>
          <t>т</t>
        </is>
      </c>
      <c r="F70" s="182" t="n">
        <v>0.005882</v>
      </c>
      <c r="G70" s="187" t="n">
        <v>7008.5</v>
      </c>
      <c r="H70" s="187">
        <f>ROUND(F70*G70,2)</f>
        <v/>
      </c>
    </row>
    <row r="71" ht="31.35" customFormat="1" customHeight="1" s="152">
      <c r="A71" s="182" t="n">
        <v>57</v>
      </c>
      <c r="B71" s="182" t="n"/>
      <c r="C71" s="119" t="inlineStr">
        <is>
          <t>11.1.03.05-0086</t>
        </is>
      </c>
      <c r="D71" s="183" t="inlineStr">
        <is>
          <t>Доска необрезная, хвойных пород, длина 4-6,5 м, все ширины, толщина 44 мм и более, сорт IV</t>
        </is>
      </c>
      <c r="E71" s="182" t="inlineStr">
        <is>
          <t>м3</t>
        </is>
      </c>
      <c r="F71" s="182" t="n">
        <v>0.0501594</v>
      </c>
      <c r="G71" s="187" t="n">
        <v>550</v>
      </c>
      <c r="H71" s="187">
        <f>ROUND(F71*G71,2)</f>
        <v/>
      </c>
    </row>
    <row r="72" ht="15.6" customFormat="1" customHeight="1" s="152">
      <c r="A72" s="182" t="n">
        <v>58</v>
      </c>
      <c r="B72" s="182" t="n"/>
      <c r="C72" s="119" t="inlineStr">
        <is>
          <t>01.7.03.01-0001</t>
        </is>
      </c>
      <c r="D72" s="183" t="inlineStr">
        <is>
          <t>Вода</t>
        </is>
      </c>
      <c r="E72" s="182" t="inlineStr">
        <is>
          <t>м3</t>
        </is>
      </c>
      <c r="F72" s="182" t="n">
        <v>6.0369574</v>
      </c>
      <c r="G72" s="187" t="n">
        <v>2.44</v>
      </c>
      <c r="H72" s="187">
        <f>ROUND(F72*G72,2)</f>
        <v/>
      </c>
    </row>
    <row r="73" ht="31.35" customFormat="1" customHeight="1" s="152">
      <c r="A73" s="182" t="n">
        <v>59</v>
      </c>
      <c r="B73" s="182" t="n"/>
      <c r="C73" s="119" t="inlineStr">
        <is>
          <t>01.7.15.03-0014</t>
        </is>
      </c>
      <c r="D73" s="183" t="inlineStr">
        <is>
          <t>Болты с гайками и шайбами для санитарно-технических работ, диаметр 16 мм</t>
        </is>
      </c>
      <c r="E73" s="182" t="inlineStr">
        <is>
          <t>т</t>
        </is>
      </c>
      <c r="F73" s="182" t="n">
        <v>0.0008</v>
      </c>
      <c r="G73" s="187" t="n">
        <v>14830</v>
      </c>
      <c r="H73" s="187">
        <f>ROUND(F73*G73,2)</f>
        <v/>
      </c>
    </row>
    <row r="74" ht="15.6" customFormat="1" customHeight="1" s="152">
      <c r="A74" s="182" t="n">
        <v>60</v>
      </c>
      <c r="B74" s="182" t="n"/>
      <c r="C74" s="119" t="inlineStr">
        <is>
          <t>01.7.07.29-0031</t>
        </is>
      </c>
      <c r="D74" s="183" t="inlineStr">
        <is>
          <t>Каболка</t>
        </is>
      </c>
      <c r="E74" s="182" t="inlineStr">
        <is>
          <t>т</t>
        </is>
      </c>
      <c r="F74" s="182" t="n">
        <v>0.0003</v>
      </c>
      <c r="G74" s="187" t="n">
        <v>30030</v>
      </c>
      <c r="H74" s="187">
        <f>ROUND(F74*G74,2)</f>
        <v/>
      </c>
    </row>
    <row r="75" ht="15.6" customFormat="1" customHeight="1" s="152">
      <c r="A75" s="182" t="n">
        <v>61</v>
      </c>
      <c r="B75" s="182" t="n"/>
      <c r="C75" s="119" t="inlineStr">
        <is>
          <t>01.7.15.06-0111</t>
        </is>
      </c>
      <c r="D75" s="183" t="inlineStr">
        <is>
          <t>Гвозди строительные</t>
        </is>
      </c>
      <c r="E75" s="182" t="inlineStr">
        <is>
          <t>т</t>
        </is>
      </c>
      <c r="F75" s="182" t="n">
        <v>0.0004898</v>
      </c>
      <c r="G75" s="187" t="n">
        <v>11978</v>
      </c>
      <c r="H75" s="187">
        <f>ROUND(F75*G75,2)</f>
        <v/>
      </c>
    </row>
    <row r="76" ht="15.6" customFormat="1" customHeight="1" s="152">
      <c r="A76" s="182" t="n">
        <v>62</v>
      </c>
      <c r="B76" s="182" t="n"/>
      <c r="C76" s="119" t="inlineStr">
        <is>
          <t>08.1.02.11-0001</t>
        </is>
      </c>
      <c r="D76" s="183" t="inlineStr">
        <is>
          <t>Поковки из квадратных заготовок, масса 1,8 кг</t>
        </is>
      </c>
      <c r="E76" s="182" t="inlineStr">
        <is>
          <t>т</t>
        </is>
      </c>
      <c r="F76" s="182" t="n">
        <v>0.0002898</v>
      </c>
      <c r="G76" s="187" t="n">
        <v>5989</v>
      </c>
      <c r="H76" s="187">
        <f>ROUND(F76*G76,2)</f>
        <v/>
      </c>
    </row>
    <row r="77" ht="15.6" customFormat="1" customHeight="1" s="152">
      <c r="A77" s="182" t="n">
        <v>63</v>
      </c>
      <c r="B77" s="182" t="n"/>
      <c r="C77" s="119" t="inlineStr">
        <is>
          <t>11.2.13.04-0012</t>
        </is>
      </c>
      <c r="D77" s="183" t="inlineStr">
        <is>
          <t>Щиты из досок, толщина 40 мм</t>
        </is>
      </c>
      <c r="E77" s="182" t="inlineStr">
        <is>
          <t>м2</t>
        </is>
      </c>
      <c r="F77" s="182" t="n">
        <v>0.02304</v>
      </c>
      <c r="G77" s="187" t="n">
        <v>57.63</v>
      </c>
      <c r="H77" s="187">
        <f>ROUND(F77*G77,2)</f>
        <v/>
      </c>
    </row>
    <row r="78" ht="15.6" customFormat="1" customHeight="1" s="152">
      <c r="A78" s="182" t="n">
        <v>64</v>
      </c>
      <c r="B78" s="182" t="n"/>
      <c r="C78" s="119" t="inlineStr">
        <is>
          <t>01.7.19.07-0006</t>
        </is>
      </c>
      <c r="D78" s="183" t="inlineStr">
        <is>
          <t>Резина техническая листовая прессованная</t>
        </is>
      </c>
      <c r="E78" s="182" t="inlineStr">
        <is>
          <t>кг</t>
        </is>
      </c>
      <c r="F78" s="182" t="n">
        <v>0.1339874</v>
      </c>
      <c r="G78" s="187" t="n">
        <v>7.8</v>
      </c>
      <c r="H78" s="187">
        <f>ROUND(F78*G78,2)</f>
        <v/>
      </c>
    </row>
    <row r="79" ht="15.6" customFormat="1" customHeight="1" s="152">
      <c r="A79" s="182" t="n">
        <v>65</v>
      </c>
      <c r="B79" s="182" t="n"/>
      <c r="C79" s="119" t="inlineStr">
        <is>
          <t>12.1.02.06-0012</t>
        </is>
      </c>
      <c r="D79" s="183" t="inlineStr">
        <is>
          <t>Рубероид кровельный РКК-350</t>
        </is>
      </c>
      <c r="E79" s="182" t="inlineStr">
        <is>
          <t>м2</t>
        </is>
      </c>
      <c r="F79" s="182" t="n">
        <v>0.1385029</v>
      </c>
      <c r="G79" s="187" t="n">
        <v>7.46</v>
      </c>
      <c r="H79" s="187">
        <f>ROUND(F79*G79,2)</f>
        <v/>
      </c>
    </row>
    <row r="80" ht="15.6" customFormat="1" customHeight="1" s="152">
      <c r="A80" s="182" t="n">
        <v>66</v>
      </c>
      <c r="B80" s="182" t="n"/>
      <c r="C80" s="119" t="inlineStr">
        <is>
          <t>01.3.01.03-0002</t>
        </is>
      </c>
      <c r="D80" s="183" t="inlineStr">
        <is>
          <t>Керосин для технических целей</t>
        </is>
      </c>
      <c r="E80" s="182" t="inlineStr">
        <is>
          <t>т</t>
        </is>
      </c>
      <c r="F80" s="182" t="n">
        <v>0.0003835</v>
      </c>
      <c r="G80" s="187" t="n">
        <v>2606.9</v>
      </c>
      <c r="H80" s="187">
        <f>ROUND(F80*G80,2)</f>
        <v/>
      </c>
    </row>
    <row r="81" ht="15.6" customFormat="1" customHeight="1" s="152">
      <c r="A81" s="182" t="n">
        <v>67</v>
      </c>
      <c r="B81" s="182" t="n"/>
      <c r="C81" s="119" t="inlineStr">
        <is>
          <t>01.7.20.08-0051</t>
        </is>
      </c>
      <c r="D81" s="183" t="inlineStr">
        <is>
          <t>Ветошь</t>
        </is>
      </c>
      <c r="E81" s="182" t="inlineStr">
        <is>
          <t>кг</t>
        </is>
      </c>
      <c r="F81" s="182" t="n">
        <v>0.510898</v>
      </c>
      <c r="G81" s="187" t="n">
        <v>1.82</v>
      </c>
      <c r="H81" s="187">
        <f>ROUND(F81*G81,2)</f>
        <v/>
      </c>
    </row>
    <row r="82" ht="31.35" customFormat="1" customHeight="1" s="152">
      <c r="A82" s="182" t="n">
        <v>68</v>
      </c>
      <c r="B82" s="182" t="n"/>
      <c r="C82" s="119" t="inlineStr">
        <is>
          <t>01.7.19.04-0031</t>
        </is>
      </c>
      <c r="D82" s="183" t="inlineStr">
        <is>
          <t>Прокладки резиновые (пластина техническая прессованная)</t>
        </is>
      </c>
      <c r="E82" s="182" t="inlineStr">
        <is>
          <t>кг</t>
        </is>
      </c>
      <c r="F82" s="182" t="n">
        <v>0.04</v>
      </c>
      <c r="G82" s="187" t="n">
        <v>23.09</v>
      </c>
      <c r="H82" s="187">
        <f>ROUND(F82*G82,2)</f>
        <v/>
      </c>
    </row>
    <row r="83" ht="15.6" customFormat="1" customHeight="1" s="152">
      <c r="A83" s="182" t="n">
        <v>69</v>
      </c>
      <c r="B83" s="182" t="n"/>
      <c r="C83" s="119" t="inlineStr">
        <is>
          <t>01.7.07.12-0024</t>
        </is>
      </c>
      <c r="D83" s="183" t="inlineStr">
        <is>
          <t>Пленка полиэтиленовая, толщина 0,15 мм</t>
        </is>
      </c>
      <c r="E83" s="182" t="inlineStr">
        <is>
          <t>м2</t>
        </is>
      </c>
      <c r="F83" s="182" t="n">
        <v>0.192</v>
      </c>
      <c r="G83" s="187" t="n">
        <v>3.62</v>
      </c>
      <c r="H83" s="187">
        <f>ROUND(F83*G83,2)</f>
        <v/>
      </c>
    </row>
    <row r="84" ht="15.6" customFormat="1" customHeight="1" s="152">
      <c r="A84" s="182" t="n">
        <v>70</v>
      </c>
      <c r="B84" s="182" t="n"/>
      <c r="C84" s="119" t="inlineStr">
        <is>
          <t>01.7.11.07-0032</t>
        </is>
      </c>
      <c r="D84" s="183" t="inlineStr">
        <is>
          <t>Электроды сварочные Э42, диаметр 4 мм</t>
        </is>
      </c>
      <c r="E84" s="182" t="inlineStr">
        <is>
          <t>т</t>
        </is>
      </c>
      <c r="F84" s="182" t="n">
        <v>3.2e-05</v>
      </c>
      <c r="G84" s="187" t="n">
        <v>10315.01</v>
      </c>
      <c r="H84" s="187">
        <f>ROUND(F84*G84,2)</f>
        <v/>
      </c>
    </row>
    <row r="85" ht="31.35" customFormat="1" customHeight="1" s="152">
      <c r="A85" s="182" t="n">
        <v>71</v>
      </c>
      <c r="B85" s="182" t="n"/>
      <c r="C85" s="119" t="inlineStr">
        <is>
          <t>08.3.03.06-0002</t>
        </is>
      </c>
      <c r="D85" s="183" t="inlineStr">
        <is>
          <t>Проволока горячекатаная в мотках, диаметр 6,3-6,5 мм</t>
        </is>
      </c>
      <c r="E85" s="182" t="inlineStr">
        <is>
          <t>т</t>
        </is>
      </c>
      <c r="F85" s="182" t="n">
        <v>6.53e-05</v>
      </c>
      <c r="G85" s="187" t="n">
        <v>4455.2</v>
      </c>
      <c r="H85" s="187">
        <f>ROUND(F85*G85,2)</f>
        <v/>
      </c>
    </row>
    <row r="86" ht="46.9" customFormat="1" customHeight="1" s="152">
      <c r="A86" s="182" t="n">
        <v>72</v>
      </c>
      <c r="B86" s="182" t="n"/>
      <c r="C86" s="119" t="inlineStr">
        <is>
          <t>11.1.03.06-0095</t>
        </is>
      </c>
      <c r="D86" s="183" t="inlineStr">
        <is>
          <t>Доска обрезная, хвойных пород, ширина 75-150 мм, толщина 44 мм и более, длина 4-6,5 м, сорт III</t>
        </is>
      </c>
      <c r="E86" s="182" t="inlineStr">
        <is>
          <t>м3</t>
        </is>
      </c>
      <c r="F86" s="182" t="n">
        <v>0.000256</v>
      </c>
      <c r="G86" s="187" t="n">
        <v>1056</v>
      </c>
      <c r="H86" s="187">
        <f>ROUND(F86*G86,2)</f>
        <v/>
      </c>
    </row>
    <row r="87" ht="31.35" customFormat="1" customHeight="1" s="152">
      <c r="A87" s="182" t="n">
        <v>73</v>
      </c>
      <c r="B87" s="182" t="n"/>
      <c r="C87" s="119" t="inlineStr">
        <is>
          <t>05.1.08.14-1018</t>
        </is>
      </c>
      <c r="D87" s="183" t="inlineStr">
        <is>
          <t>Профиль гидроизолирующий для рабочих швов в монолитных железобетонных конструкциях</t>
        </is>
      </c>
      <c r="E87" s="182" t="inlineStr">
        <is>
          <t>м</t>
        </is>
      </c>
      <c r="F87" s="182" t="n">
        <v>0.004446</v>
      </c>
      <c r="G87" s="187" t="n">
        <v>53.61</v>
      </c>
      <c r="H87" s="187">
        <f>ROUND(F87*G87,2)</f>
        <v/>
      </c>
    </row>
    <row r="88" ht="62.45" customFormat="1" customHeight="1" s="152">
      <c r="A88" s="182" t="n">
        <v>74</v>
      </c>
      <c r="B88" s="182" t="n"/>
      <c r="C88" s="119" t="inlineStr">
        <is>
          <t>04.3.02.09-1092</t>
        </is>
      </c>
      <c r="D88" s="183" t="inlineStr">
        <is>
          <t>Состав эластичный двухкомпонентный из сухой смеси на цементных вяжущих и синтетических полимерах в водной дисперсии, для защиты и гидроизоляции бетона</t>
        </is>
      </c>
      <c r="E88" s="182" t="inlineStr">
        <is>
          <t>шт</t>
        </is>
      </c>
      <c r="F88" s="182" t="n">
        <v>0.000219</v>
      </c>
      <c r="G88" s="187" t="n">
        <v>506.63</v>
      </c>
      <c r="H88" s="187">
        <f>ROUND(F88*G88,2)</f>
        <v/>
      </c>
    </row>
    <row r="89" ht="46.9" customFormat="1" customHeight="1" s="152">
      <c r="A89" s="182" t="n">
        <v>75</v>
      </c>
      <c r="B89" s="182" t="n"/>
      <c r="C89" s="119" t="inlineStr">
        <is>
          <t>04.3.02.09-1056</t>
        </is>
      </c>
      <c r="D89" s="183" t="inlineStr">
        <is>
          <t>Смеси сухие безусадочные, быстротвердеющие, для восстановления, гидроизоляции и ремонта бетонных покрытий, с заполнителем 3 мм, М500</t>
        </is>
      </c>
      <c r="E89" s="182" t="inlineStr">
        <is>
          <t>кг</t>
        </is>
      </c>
      <c r="F89" s="182" t="n">
        <v>0.0180335</v>
      </c>
      <c r="G89" s="187" t="n">
        <v>6.17</v>
      </c>
      <c r="H89" s="187">
        <f>ROUND(F89*G89,2)</f>
        <v/>
      </c>
    </row>
    <row r="90" ht="15.6" customFormat="1" customHeight="1" s="152">
      <c r="A90" s="182" t="n">
        <v>76</v>
      </c>
      <c r="B90" s="182" t="n"/>
      <c r="C90" s="119" t="inlineStr">
        <is>
          <t>03.1.02.03-0011</t>
        </is>
      </c>
      <c r="D90" s="183" t="inlineStr">
        <is>
          <t>Известь строительная негашеная комовая, сорт I</t>
        </is>
      </c>
      <c r="E90" s="182" t="inlineStr">
        <is>
          <t>т</t>
        </is>
      </c>
      <c r="F90" s="182" t="n">
        <v>6.4e-05</v>
      </c>
      <c r="G90" s="187" t="n">
        <v>734.5</v>
      </c>
      <c r="H90" s="187">
        <f>ROUND(F90*G90,2)</f>
        <v/>
      </c>
    </row>
    <row r="91" ht="31.35" customFormat="1" customHeight="1" s="152">
      <c r="A91" s="182" t="n">
        <v>77</v>
      </c>
      <c r="B91" s="182" t="n"/>
      <c r="C91" s="119" t="inlineStr">
        <is>
          <t>12.2.07.05-0044</t>
        </is>
      </c>
      <c r="D91" s="183" t="inlineStr">
        <is>
          <t>Трубки из вспененного полиэтилена, внутренний диаметр 30 мм, толщина 9 мм</t>
        </is>
      </c>
      <c r="E91" s="182" t="inlineStr">
        <is>
          <t>100 м</t>
        </is>
      </c>
      <c r="F91" s="182" t="n">
        <v>4.8e-05</v>
      </c>
      <c r="G91" s="187" t="n">
        <v>342.82</v>
      </c>
      <c r="H91" s="187">
        <f>ROUND(F91*G91,2)</f>
        <v/>
      </c>
    </row>
    <row r="92" ht="15.6" customFormat="1" customHeight="1" s="152">
      <c r="A92" s="182" t="n">
        <v>78</v>
      </c>
      <c r="B92" s="182" t="n"/>
      <c r="C92" s="119" t="inlineStr">
        <is>
          <t>14.5.01.10-0003</t>
        </is>
      </c>
      <c r="D92" s="183" t="inlineStr">
        <is>
          <t>Пена монтажная</t>
        </is>
      </c>
      <c r="E92" s="182" t="inlineStr">
        <is>
          <t>л</t>
        </is>
      </c>
      <c r="F92" s="182" t="n">
        <v>0.0002685</v>
      </c>
      <c r="G92" s="187" t="n">
        <v>46.86</v>
      </c>
      <c r="H92" s="187">
        <f>ROUND(F92*G92,2)</f>
        <v/>
      </c>
    </row>
    <row r="93" ht="46.9" customFormat="1" customHeight="1" s="152">
      <c r="A93" s="182" t="n">
        <v>79</v>
      </c>
      <c r="B93" s="182" t="n"/>
      <c r="C93" s="119" t="inlineStr">
        <is>
          <t>14.3.01.01-0001</t>
        </is>
      </c>
      <c r="D93" s="183" t="inlineStr">
        <is>
          <t>Грунтовка адгезионная для обработки плотных, гладких, слабо-и не впитывающих влагу оснований</t>
        </is>
      </c>
      <c r="E93" s="182" t="inlineStr">
        <is>
          <t>кг</t>
        </is>
      </c>
      <c r="F93" s="182" t="n">
        <v>0.0001228</v>
      </c>
      <c r="G93" s="187" t="n">
        <v>15.09</v>
      </c>
      <c r="H93" s="187">
        <f>ROUND(F93*G93,2)</f>
        <v/>
      </c>
    </row>
    <row r="94" ht="15.6" customFormat="1" customHeight="1" s="152"/>
    <row r="95" ht="15.6" customFormat="1" customHeight="1" s="152"/>
    <row r="96" ht="15.6" customFormat="1" customHeight="1" s="152"/>
    <row r="97" ht="15.6" customFormat="1" customHeight="1" s="152"/>
    <row r="98" ht="15.6" customFormat="1" customHeight="1" s="152">
      <c r="B98" s="152" t="inlineStr">
        <is>
          <t>Составил ______________________        М.С. Колотиевская</t>
        </is>
      </c>
      <c r="C98" s="152" t="n"/>
    </row>
    <row r="99" ht="15.6" customFormat="1" customHeight="1" s="152">
      <c r="B99" s="98" t="inlineStr">
        <is>
          <t xml:space="preserve">                         (подпись, инициалы, фамилия)</t>
        </is>
      </c>
      <c r="C99" s="152" t="n"/>
    </row>
    <row r="100" ht="15.6" customFormat="1" customHeight="1" s="152">
      <c r="B100" s="152" t="n"/>
      <c r="C100" s="152" t="n"/>
    </row>
    <row r="101" ht="15.6" customFormat="1" customHeight="1" s="152">
      <c r="B101" s="152" t="inlineStr">
        <is>
          <t>Проверил ______________________          А.В. Костянецкая</t>
        </is>
      </c>
      <c r="C101" s="152" t="n"/>
    </row>
    <row r="102" ht="15.6" customFormat="1" customHeight="1" s="152">
      <c r="B102" s="98" t="inlineStr">
        <is>
          <t xml:space="preserve">                        (подпись, инициалы, фамилия)</t>
        </is>
      </c>
      <c r="C102" s="152" t="n"/>
    </row>
    <row r="103" ht="15.6" customFormat="1" customHeight="1" s="152"/>
  </sheetData>
  <mergeCells count="15">
    <mergeCell ref="A3:H3"/>
    <mergeCell ref="A8:A9"/>
    <mergeCell ref="E8:E9"/>
    <mergeCell ref="A26:E26"/>
    <mergeCell ref="C8:C9"/>
    <mergeCell ref="F8:F9"/>
    <mergeCell ref="A2:H2"/>
    <mergeCell ref="A28:E28"/>
    <mergeCell ref="A11:E11"/>
    <mergeCell ref="D8:D9"/>
    <mergeCell ref="A47:E47"/>
    <mergeCell ref="B8:B9"/>
    <mergeCell ref="C4:H4"/>
    <mergeCell ref="G8:H8"/>
    <mergeCell ref="A6:H6"/>
  </mergeCells>
  <conditionalFormatting sqref="F10:F93">
    <cfRule type="expression" priority="1" dxfId="0" stopIfTrue="1">
      <formula>ROUND(F10*10000,0)/10000=F10</formula>
    </cfRule>
  </conditionalFormatting>
  <pageMargins left="0.7" right="0.7" top="0.75" bottom="0.75" header="0.3" footer="0.3"/>
  <pageSetup orientation="portrait" paperSize="9" scale="52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47"/>
  <sheetViews>
    <sheetView view="pageBreakPreview" topLeftCell="A28" zoomScale="60" zoomScaleNormal="100" workbookViewId="0">
      <selection activeCell="B46" sqref="B46"/>
    </sheetView>
  </sheetViews>
  <sheetFormatPr baseColWidth="8" defaultColWidth="9.140625" defaultRowHeight="15"/>
  <cols>
    <col width="4.140625" customWidth="1" style="150" min="1" max="1"/>
    <col width="36.42578125" customWidth="1" style="150" min="2" max="2"/>
    <col width="18.85546875" customWidth="1" style="150" min="3" max="3"/>
    <col width="18.42578125" customWidth="1" style="150" min="4" max="4"/>
    <col width="20.85546875" customWidth="1" style="150" min="5" max="5"/>
    <col width="9.140625" customWidth="1" style="150" min="6" max="10"/>
    <col width="13.42578125" customWidth="1" style="150" min="11" max="11"/>
    <col width="9.140625" customWidth="1" style="150" min="12" max="12"/>
  </cols>
  <sheetData>
    <row r="1" ht="15.6" customHeight="1" s="150">
      <c r="A1" s="73" t="n"/>
      <c r="B1" s="152" t="n"/>
      <c r="C1" s="152" t="n"/>
      <c r="D1" s="152" t="n"/>
      <c r="E1" s="152" t="n"/>
    </row>
    <row r="2" ht="15.6" customHeight="1" s="150">
      <c r="B2" s="152" t="n"/>
      <c r="C2" s="152" t="n"/>
      <c r="D2" s="152" t="n"/>
      <c r="E2" s="193" t="inlineStr">
        <is>
          <t>Приложение № 4</t>
        </is>
      </c>
    </row>
    <row r="3" ht="15.6" customHeight="1" s="150">
      <c r="B3" s="152" t="n"/>
      <c r="C3" s="152" t="n"/>
      <c r="D3" s="152" t="n"/>
      <c r="E3" s="152" t="n"/>
    </row>
    <row r="4" ht="15.6" customHeight="1" s="150">
      <c r="B4" s="152" t="n"/>
      <c r="C4" s="152" t="n"/>
      <c r="D4" s="152" t="n"/>
      <c r="E4" s="152" t="n"/>
    </row>
    <row r="5" ht="15.6" customHeight="1" s="150">
      <c r="B5" s="169" t="inlineStr">
        <is>
          <t>Ресурсная модель</t>
        </is>
      </c>
    </row>
    <row r="6" ht="15.6" customHeight="1" s="150">
      <c r="B6" s="170" t="n"/>
      <c r="C6" s="152" t="n"/>
      <c r="D6" s="152" t="n"/>
      <c r="E6" s="152" t="n"/>
    </row>
    <row r="7" ht="15.6" customHeight="1" s="150">
      <c r="B7" s="171" t="inlineStr">
        <is>
          <t>Наименование разрабатываемой расценки УНЦ —  Наружные сети водопровода/канализации</t>
        </is>
      </c>
    </row>
    <row r="8" ht="15.6" customHeight="1" s="150">
      <c r="B8" s="171">
        <f>'Прил.2 Расч стоим'!B7:K7</f>
        <v/>
      </c>
    </row>
    <row r="9">
      <c r="B9" s="78" t="n"/>
      <c r="C9" s="137" t="n"/>
      <c r="D9" s="137" t="n"/>
      <c r="E9" s="137" t="n"/>
    </row>
    <row r="10" ht="62.45" customFormat="1" customHeight="1" s="152">
      <c r="B10" s="186" t="inlineStr">
        <is>
          <t>Наименование</t>
        </is>
      </c>
      <c r="C10" s="186" t="inlineStr">
        <is>
          <t>Сметная стоимость в ценах на 01.01.2023
 (руб.)</t>
        </is>
      </c>
      <c r="D10" s="186" t="inlineStr">
        <is>
          <t>Удельный вес, 
(в СМР)</t>
        </is>
      </c>
      <c r="E10" s="186" t="inlineStr">
        <is>
          <t>Удельный вес, % 
(от всего по РМ)</t>
        </is>
      </c>
    </row>
    <row r="11" ht="15" customFormat="1" customHeight="1" s="152">
      <c r="B11" s="197" t="inlineStr">
        <is>
          <t>Оплата труда рабочих</t>
        </is>
      </c>
      <c r="C11" s="82">
        <f>'Прил.5 Расчет СМР и ОБ'!J14</f>
        <v/>
      </c>
      <c r="D11" s="83">
        <f>C11/C24</f>
        <v/>
      </c>
      <c r="E11" s="83">
        <f>C11/C40</f>
        <v/>
      </c>
    </row>
    <row r="12" ht="15" customFormat="1" customHeight="1" s="152">
      <c r="B12" s="197" t="inlineStr">
        <is>
          <t>Эксплуатация машин основных</t>
        </is>
      </c>
      <c r="C12" s="82">
        <f>'Прил.5 Расчет СМР и ОБ'!J23</f>
        <v/>
      </c>
      <c r="D12" s="83">
        <f>C12/C24</f>
        <v/>
      </c>
      <c r="E12" s="83">
        <f>C12/C40</f>
        <v/>
      </c>
    </row>
    <row r="13" ht="15" customFormat="1" customHeight="1" s="152">
      <c r="B13" s="197" t="inlineStr">
        <is>
          <t>Эксплуатация машин прочих</t>
        </is>
      </c>
      <c r="C13" s="82">
        <f>'Прил.5 Расчет СМР и ОБ'!J38</f>
        <v/>
      </c>
      <c r="D13" s="83">
        <f>C13/C24</f>
        <v/>
      </c>
      <c r="E13" s="83">
        <f>C13/C40</f>
        <v/>
      </c>
    </row>
    <row r="14" ht="15" customFormat="1" customHeight="1" s="152">
      <c r="B14" s="197" t="inlineStr">
        <is>
          <t>ЭКСПЛУАТАЦИЯ МАШИН, ВСЕГО:</t>
        </is>
      </c>
      <c r="C14" s="82">
        <f>C13+C12</f>
        <v/>
      </c>
      <c r="D14" s="83">
        <f>C14/C24</f>
        <v/>
      </c>
      <c r="E14" s="83">
        <f>C14/C40</f>
        <v/>
      </c>
    </row>
    <row r="15" ht="15" customFormat="1" customHeight="1" s="152">
      <c r="B15" s="197" t="inlineStr">
        <is>
          <t>в том числе зарплата машинистов</t>
        </is>
      </c>
      <c r="C15" s="82">
        <f>'Прил.5 Расчет СМР и ОБ'!J16</f>
        <v/>
      </c>
      <c r="D15" s="83">
        <f>C15/C24</f>
        <v/>
      </c>
      <c r="E15" s="83">
        <f>C15/C40</f>
        <v/>
      </c>
    </row>
    <row r="16" ht="15" customFormat="1" customHeight="1" s="152">
      <c r="B16" s="197" t="inlineStr">
        <is>
          <t>Материалы основные</t>
        </is>
      </c>
      <c r="C16" s="82">
        <f>'Прил.5 Расчет СМР и ОБ'!J53</f>
        <v/>
      </c>
      <c r="D16" s="83">
        <f>C16/C24</f>
        <v/>
      </c>
      <c r="E16" s="83">
        <f>C16/C40</f>
        <v/>
      </c>
    </row>
    <row r="17" ht="15" customFormat="1" customHeight="1" s="152">
      <c r="B17" s="197" t="inlineStr">
        <is>
          <t>Материалы прочие</t>
        </is>
      </c>
      <c r="C17" s="82">
        <f>'Прил.5 Расчет СМР и ОБ'!J96</f>
        <v/>
      </c>
      <c r="D17" s="83">
        <f>C17/C24</f>
        <v/>
      </c>
      <c r="E17" s="83">
        <f>C17/C40</f>
        <v/>
      </c>
    </row>
    <row r="18" ht="15" customFormat="1" customHeight="1" s="152">
      <c r="B18" s="197" t="inlineStr">
        <is>
          <t>МАТЕРИАЛЫ, ВСЕГО:</t>
        </is>
      </c>
      <c r="C18" s="82">
        <f>C17+C16</f>
        <v/>
      </c>
      <c r="D18" s="83">
        <f>C18/C24</f>
        <v/>
      </c>
      <c r="E18" s="83">
        <f>C18/C40</f>
        <v/>
      </c>
    </row>
    <row r="19" ht="15" customFormat="1" customHeight="1" s="152">
      <c r="B19" s="197" t="inlineStr">
        <is>
          <t>ИТОГО</t>
        </is>
      </c>
      <c r="C19" s="82">
        <f>C18+C14+C11</f>
        <v/>
      </c>
      <c r="D19" s="83">
        <f>C19/C24</f>
        <v/>
      </c>
      <c r="E19" s="84">
        <f>C19/C40</f>
        <v/>
      </c>
    </row>
    <row r="20" ht="15" customFormat="1" customHeight="1" s="152">
      <c r="B20" s="197" t="inlineStr">
        <is>
          <t>Сметная прибыль, руб.</t>
        </is>
      </c>
      <c r="C20" s="82" t="n">
        <v>61763.76043327</v>
      </c>
      <c r="D20" s="83">
        <f>C20/C24</f>
        <v/>
      </c>
      <c r="E20" s="83">
        <f>C20/C40</f>
        <v/>
      </c>
    </row>
    <row r="21" ht="15" customFormat="1" customHeight="1" s="152">
      <c r="B21" s="197" t="inlineStr">
        <is>
          <t>Сметная прибыль, %</t>
        </is>
      </c>
      <c r="C21" s="85">
        <f>C20/(C11+C15)</f>
        <v/>
      </c>
      <c r="D21" s="83" t="n"/>
      <c r="E21" s="84" t="n"/>
    </row>
    <row r="22" ht="15" customFormat="1" customHeight="1" s="152">
      <c r="B22" s="197" t="inlineStr">
        <is>
          <t>Накладные расходы, руб.</t>
        </is>
      </c>
      <c r="C22" s="82" t="n">
        <v>107980.39543726</v>
      </c>
      <c r="D22" s="83">
        <f>C22/C24</f>
        <v/>
      </c>
      <c r="E22" s="83">
        <f>C22/C40</f>
        <v/>
      </c>
    </row>
    <row r="23" ht="15" customFormat="1" customHeight="1" s="152">
      <c r="B23" s="197" t="inlineStr">
        <is>
          <t>Накладные расходы, %</t>
        </is>
      </c>
      <c r="C23" s="85">
        <f>C22/(C11+C15)</f>
        <v/>
      </c>
      <c r="D23" s="83" t="n"/>
      <c r="E23" s="84" t="n"/>
    </row>
    <row r="24" ht="15" customFormat="1" customHeight="1" s="152">
      <c r="B24" s="197" t="inlineStr">
        <is>
          <t>ВСЕГО СМР с НР и СП</t>
        </is>
      </c>
      <c r="C24" s="82">
        <f>C19+C20+C22</f>
        <v/>
      </c>
      <c r="D24" s="83">
        <f>C24/C24</f>
        <v/>
      </c>
      <c r="E24" s="83">
        <f>C24/C40</f>
        <v/>
      </c>
    </row>
    <row r="25" ht="31.35" customFormat="1" customHeight="1" s="152">
      <c r="B25" s="197" t="inlineStr">
        <is>
          <t>ВСЕГО стоимость оборудования, в том числе</t>
        </is>
      </c>
      <c r="C25" s="82">
        <f>'Прил.5 Расчет СМР и ОБ'!J45</f>
        <v/>
      </c>
      <c r="D25" s="83" t="n"/>
      <c r="E25" s="83">
        <f>C25/C40</f>
        <v/>
      </c>
    </row>
    <row r="26" ht="31.35" customFormat="1" customHeight="1" s="152">
      <c r="B26" s="197" t="inlineStr">
        <is>
          <t>стоимость оборудования технологического</t>
        </is>
      </c>
      <c r="C26" s="82">
        <f>C25</f>
        <v/>
      </c>
      <c r="D26" s="83" t="n"/>
      <c r="E26" s="83">
        <f>C26/C40</f>
        <v/>
      </c>
    </row>
    <row r="27" ht="15" customFormat="1" customHeight="1" s="152">
      <c r="B27" s="197" t="inlineStr">
        <is>
          <t>ИТОГО (СМР + ОБОРУДОВАНИЕ)</t>
        </is>
      </c>
      <c r="C27" s="86">
        <f>C24+C25</f>
        <v/>
      </c>
      <c r="D27" s="83" t="n"/>
      <c r="E27" s="83">
        <f>C27/C40</f>
        <v/>
      </c>
    </row>
    <row r="28" ht="33" customFormat="1" customHeight="1" s="152">
      <c r="B28" s="197" t="inlineStr">
        <is>
          <t>ПРОЧ. ЗАТР., УЧТЕННЫЕ ПОКАЗАТЕЛЕМ,  в том числе</t>
        </is>
      </c>
      <c r="C28" s="197" t="n"/>
      <c r="D28" s="84" t="n"/>
      <c r="E28" s="84" t="n"/>
    </row>
    <row r="29" ht="31.35" customFormat="1" customHeight="1" s="152">
      <c r="B29" s="197" t="inlineStr">
        <is>
          <t>Временные здания и сооружения - 3,9%</t>
        </is>
      </c>
      <c r="C29" s="86">
        <f>ROUND(C24*0.039,2)</f>
        <v/>
      </c>
      <c r="D29" s="84" t="n"/>
      <c r="E29" s="83">
        <f>C29/C40</f>
        <v/>
      </c>
    </row>
    <row r="30" ht="62.45" customFormat="1" customHeight="1" s="152">
      <c r="B30" s="197" t="inlineStr">
        <is>
          <t>Дополнительные затраты при производстве строительно-монтажных работ в зимнее время - 2,1%</t>
        </is>
      </c>
      <c r="C30" s="86">
        <f>ROUND((C24+C29)*0.021,2)</f>
        <v/>
      </c>
      <c r="D30" s="84" t="n"/>
      <c r="E30" s="83">
        <f>C30/C40</f>
        <v/>
      </c>
    </row>
    <row r="31" ht="15.6" customFormat="1" customHeight="1" s="152">
      <c r="B31" s="197" t="inlineStr">
        <is>
          <t>Пусконаладочные работы</t>
        </is>
      </c>
      <c r="C31" s="86">
        <f>ROUND(C25*80%*7%,2)</f>
        <v/>
      </c>
      <c r="D31" s="84" t="n"/>
      <c r="E31" s="83">
        <f>C31/C40</f>
        <v/>
      </c>
    </row>
    <row r="32" ht="31.35" customFormat="1" customHeight="1" s="152">
      <c r="B32" s="197" t="inlineStr">
        <is>
          <t>Затраты по перевозке работников к месту работы и обратно</t>
        </is>
      </c>
      <c r="C32" s="86" t="n">
        <v>0</v>
      </c>
      <c r="D32" s="84" t="n"/>
      <c r="E32" s="83">
        <f>C32/C40</f>
        <v/>
      </c>
    </row>
    <row r="33" ht="46.9" customFormat="1" customHeight="1" s="152">
      <c r="B33" s="197" t="inlineStr">
        <is>
          <t>Затраты, связанные с осуществлением работ вахтовым методом</t>
        </is>
      </c>
      <c r="C33" s="86" t="n">
        <v>0</v>
      </c>
      <c r="D33" s="84" t="n"/>
      <c r="E33" s="83">
        <f>C33/C40</f>
        <v/>
      </c>
    </row>
    <row r="34" ht="62.45" customFormat="1" customHeight="1" s="152">
      <c r="B34" s="197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86" t="n">
        <v>0</v>
      </c>
      <c r="D34" s="84" t="n"/>
      <c r="E34" s="83">
        <f>C34/C40</f>
        <v/>
      </c>
    </row>
    <row r="35" ht="93.59999999999999" customFormat="1" customHeight="1" s="152">
      <c r="B35" s="197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86" t="n">
        <v>0</v>
      </c>
      <c r="D35" s="84" t="n"/>
      <c r="E35" s="83">
        <f>C35/C40</f>
        <v/>
      </c>
    </row>
    <row r="36" ht="46.9" customFormat="1" customHeight="1" s="152">
      <c r="B36" s="87" t="inlineStr">
        <is>
          <t>Строительный контроль и содержание службы заказчика - 2,14%</t>
        </is>
      </c>
      <c r="C36" s="88">
        <f>ROUND((C27+C29+C31+C30)*0.0214,2)</f>
        <v/>
      </c>
      <c r="D36" s="89" t="n"/>
      <c r="E36" s="90">
        <f>C36/C40</f>
        <v/>
      </c>
      <c r="K36" s="129" t="n"/>
    </row>
    <row r="37" ht="15.6" customFormat="1" customHeight="1" s="152">
      <c r="B37" s="190" t="inlineStr">
        <is>
          <t>Авторский надзор - 0,2%</t>
        </is>
      </c>
      <c r="C37" s="190">
        <f>ROUND((C27+C29+C30+C31)*0.002,2)</f>
        <v/>
      </c>
      <c r="D37" s="93" t="n"/>
      <c r="E37" s="93">
        <f>C37/C40</f>
        <v/>
      </c>
    </row>
    <row r="38" ht="62.45" customFormat="1" customHeight="1" s="152">
      <c r="B38" s="94" t="inlineStr">
        <is>
          <t>ИТОГО (СМР+ОБОРУДОВАНИЕ+ПРОЧ. ЗАТР., УЧТЕННЫЕ ПОКАЗАТЕЛЕМ)</t>
        </is>
      </c>
      <c r="C38" s="95">
        <f>C27+C29+C30+C31+C36+C37</f>
        <v/>
      </c>
      <c r="D38" s="96" t="n"/>
      <c r="E38" s="97">
        <f>C38/C40</f>
        <v/>
      </c>
    </row>
    <row r="39" ht="15.6" customFormat="1" customHeight="1" s="152">
      <c r="B39" s="197" t="inlineStr">
        <is>
          <t>Непредвиденные расходы</t>
        </is>
      </c>
      <c r="C39" s="82">
        <f>ROUND(C38*0.03,2)</f>
        <v/>
      </c>
      <c r="D39" s="84" t="n"/>
      <c r="E39" s="83">
        <f>C39/C40</f>
        <v/>
      </c>
    </row>
    <row r="40" ht="15.6" customFormat="1" customHeight="1" s="152">
      <c r="B40" s="197" t="inlineStr">
        <is>
          <t>ВСЕГО:</t>
        </is>
      </c>
      <c r="C40" s="82">
        <f>C39+C38</f>
        <v/>
      </c>
      <c r="D40" s="84" t="n"/>
      <c r="E40" s="83">
        <f>C40/C40</f>
        <v/>
      </c>
    </row>
    <row r="41" ht="31.35" customFormat="1" customHeight="1" s="152">
      <c r="B41" s="197" t="inlineStr">
        <is>
          <t>ИТОГО ПОКАЗАТЕЛЬ НА ЕД. ИЗМ.</t>
        </is>
      </c>
      <c r="C41" s="82">
        <f>C40/'Прил.5 Расчет СМР и ОБ'!E103</f>
        <v/>
      </c>
      <c r="D41" s="84" t="n"/>
      <c r="E41" s="84" t="n"/>
    </row>
    <row r="42" ht="15.6" customFormat="1" customHeight="1" s="152">
      <c r="B42" s="98" t="n"/>
    </row>
    <row r="43" ht="15.6" customFormat="1" customHeight="1" s="152">
      <c r="B43" s="98" t="inlineStr">
        <is>
          <t>Составил ____________________________ М.С. Колотиевская</t>
        </is>
      </c>
    </row>
    <row r="44" ht="15.6" customFormat="1" customHeight="1" s="152">
      <c r="B44" s="98" t="inlineStr">
        <is>
          <t xml:space="preserve">(должность, подпись, инициалы, фамилия) </t>
        </is>
      </c>
    </row>
    <row r="45" ht="15.6" customFormat="1" customHeight="1" s="152">
      <c r="B45" s="98" t="n"/>
    </row>
    <row r="46" ht="15.6" customFormat="1" customHeight="1" s="152">
      <c r="B46" s="152" t="inlineStr">
        <is>
          <t>Проверил ______________________          А.В. Костянецкая</t>
        </is>
      </c>
    </row>
    <row r="47" ht="15.6" customFormat="1" customHeight="1" s="152">
      <c r="B47" s="171" t="inlineStr">
        <is>
          <t>(должность, подпись, инициалы, фамилия)</t>
        </is>
      </c>
      <c r="C47" s="171" t="n"/>
    </row>
    <row r="48" ht="15.6" customFormat="1" customHeight="1" s="152"/>
  </sheetData>
  <mergeCells count="3">
    <mergeCell ref="B7:E7"/>
    <mergeCell ref="B8:E8"/>
    <mergeCell ref="B5:E5"/>
  </mergeCells>
  <pageMargins left="0.7" right="0.7" top="0.75" bottom="0.75" header="0.3" footer="0.3"/>
  <pageSetup orientation="portrait" paperSize="9" scale="88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K110"/>
  <sheetViews>
    <sheetView view="pageBreakPreview" topLeftCell="A13" zoomScale="60" zoomScaleNormal="100" workbookViewId="0">
      <selection activeCell="B108" sqref="B108"/>
    </sheetView>
  </sheetViews>
  <sheetFormatPr baseColWidth="8" defaultColWidth="9.140625" defaultRowHeight="15" outlineLevelRow="1"/>
  <cols>
    <col width="5.5703125" customWidth="1" style="143" min="1" max="1"/>
    <col width="22.42578125" customWidth="1" style="143" min="2" max="2"/>
    <col width="39.140625" customWidth="1" style="143" min="3" max="3"/>
    <col width="10.5703125" customWidth="1" style="143" min="4" max="4"/>
    <col width="12.5703125" customWidth="1" style="143" min="5" max="5"/>
    <col width="14.42578125" customWidth="1" style="143" min="6" max="6"/>
    <col width="13.42578125" customWidth="1" style="143" min="7" max="7"/>
    <col width="12.5703125" customWidth="1" style="143" min="8" max="8"/>
    <col width="14.42578125" customWidth="1" style="143" min="9" max="9"/>
    <col width="15.140625" customWidth="1" style="143" min="10" max="10"/>
    <col width="22.42578125" customWidth="1" style="143" min="11" max="11"/>
    <col width="16.42578125" customWidth="1" style="143" min="12" max="12"/>
    <col width="10.85546875" customWidth="1" style="143" min="13" max="13"/>
    <col width="9.140625" customWidth="1" style="143" min="14" max="14"/>
    <col width="9.140625" customWidth="1" style="150" min="15" max="15"/>
  </cols>
  <sheetData>
    <row r="1" ht="13.7" customFormat="1" customHeight="1" s="143">
      <c r="A1" s="137" t="n"/>
    </row>
    <row r="2" ht="15.6" customFormat="1" customHeight="1" s="143">
      <c r="A2" s="152" t="n"/>
      <c r="B2" s="152" t="n"/>
      <c r="C2" s="152" t="n"/>
      <c r="D2" s="152" t="n"/>
      <c r="E2" s="152" t="n"/>
      <c r="F2" s="152" t="n"/>
      <c r="G2" s="152" t="n"/>
      <c r="H2" s="193" t="inlineStr">
        <is>
          <t>Приложение №5</t>
        </is>
      </c>
    </row>
    <row r="3" ht="15.6" customFormat="1" customHeight="1" s="143">
      <c r="A3" s="152" t="n"/>
      <c r="B3" s="152" t="n"/>
      <c r="C3" s="152" t="n"/>
      <c r="D3" s="152" t="n"/>
      <c r="E3" s="152" t="n"/>
      <c r="F3" s="152" t="n"/>
      <c r="G3" s="152" t="n"/>
      <c r="H3" s="152" t="n"/>
      <c r="I3" s="152" t="n"/>
      <c r="J3" s="152" t="n"/>
    </row>
    <row r="4" ht="15.6" customFormat="1" customHeight="1" s="137">
      <c r="A4" s="169" t="inlineStr">
        <is>
          <t>Расчет стоимости СМР и оборудования</t>
        </is>
      </c>
      <c r="I4" s="169" t="n"/>
      <c r="J4" s="169" t="n"/>
    </row>
    <row r="5" ht="15.6" customFormat="1" customHeight="1" s="137">
      <c r="A5" s="169" t="n"/>
      <c r="B5" s="169" t="n"/>
      <c r="C5" s="169" t="n"/>
      <c r="D5" s="169" t="n"/>
      <c r="E5" s="169" t="n"/>
      <c r="F5" s="169" t="n"/>
      <c r="G5" s="169" t="n"/>
      <c r="H5" s="169" t="n"/>
      <c r="I5" s="169" t="n"/>
      <c r="J5" s="169" t="n"/>
    </row>
    <row r="6" customFormat="1" s="137">
      <c r="A6" s="194" t="inlineStr">
        <is>
          <t xml:space="preserve">Наименование разрабатываемого показателя УНЦ — </t>
        </is>
      </c>
      <c r="D6" s="194" t="inlineStr">
        <is>
          <t>Наружные сети водопровода/канализации</t>
        </is>
      </c>
    </row>
    <row r="7" ht="15.6" customFormat="1" customHeight="1" s="137">
      <c r="A7" s="171" t="inlineStr">
        <is>
          <t>Единица измерения  — пог.м</t>
        </is>
      </c>
      <c r="E7" s="32" t="n"/>
      <c r="F7" s="32" t="n"/>
      <c r="G7" s="32" t="n"/>
      <c r="H7" s="32" t="n"/>
      <c r="I7" s="32" t="n"/>
      <c r="J7" s="32" t="n"/>
    </row>
    <row r="8" ht="15.6" customFormat="1" customHeight="1" s="137">
      <c r="A8" s="152" t="n"/>
      <c r="B8" s="152" t="n"/>
      <c r="C8" s="152" t="n"/>
      <c r="D8" s="152" t="n"/>
      <c r="E8" s="152" t="n"/>
      <c r="F8" s="152" t="n"/>
      <c r="G8" s="152" t="n"/>
      <c r="H8" s="152" t="n"/>
      <c r="I8" s="152" t="n"/>
      <c r="J8" s="152" t="n"/>
    </row>
    <row r="9" ht="27" customFormat="1" customHeight="1" s="152">
      <c r="A9" s="197" t="inlineStr">
        <is>
          <t>№ пп.</t>
        </is>
      </c>
      <c r="B9" s="186" t="inlineStr">
        <is>
          <t>Код ресурса</t>
        </is>
      </c>
      <c r="C9" s="186" t="inlineStr">
        <is>
          <t>Наименование</t>
        </is>
      </c>
      <c r="D9" s="186" t="inlineStr">
        <is>
          <t>Ед. изм.</t>
        </is>
      </c>
      <c r="E9" s="186" t="inlineStr">
        <is>
          <t>Кол-во единиц по проектным данным</t>
        </is>
      </c>
      <c r="F9" s="186" t="inlineStr">
        <is>
          <t>Сметная стоимость в ценах на 01.01.2000 (руб.)</t>
        </is>
      </c>
      <c r="G9" s="214" t="n"/>
      <c r="H9" s="186" t="inlineStr">
        <is>
          <t>Удельный вес, %</t>
        </is>
      </c>
      <c r="I9" s="186" t="inlineStr">
        <is>
          <t>Сметная стоимость в ценах на 01.01.2023 (руб.)</t>
        </is>
      </c>
      <c r="J9" s="214" t="n"/>
      <c r="K9" s="101" t="n"/>
    </row>
    <row r="10" ht="28.5" customFormat="1" customHeight="1" s="152">
      <c r="A10" s="216" t="n"/>
      <c r="B10" s="216" t="n"/>
      <c r="C10" s="216" t="n"/>
      <c r="D10" s="216" t="n"/>
      <c r="E10" s="216" t="n"/>
      <c r="F10" s="186" t="inlineStr">
        <is>
          <t>на ед. изм.</t>
        </is>
      </c>
      <c r="G10" s="186" t="inlineStr">
        <is>
          <t>общая</t>
        </is>
      </c>
      <c r="H10" s="216" t="n"/>
      <c r="I10" s="186" t="inlineStr">
        <is>
          <t>на ед. изм.</t>
        </is>
      </c>
      <c r="J10" s="186" t="inlineStr">
        <is>
          <t>общая</t>
        </is>
      </c>
    </row>
    <row r="11" ht="15.6" customFormat="1" customHeight="1" s="152">
      <c r="A11" s="197" t="n">
        <v>1</v>
      </c>
      <c r="B11" s="186" t="n">
        <v>2</v>
      </c>
      <c r="C11" s="186" t="n">
        <v>3</v>
      </c>
      <c r="D11" s="186" t="n">
        <v>4</v>
      </c>
      <c r="E11" s="186" t="n">
        <v>5</v>
      </c>
      <c r="F11" s="186" t="n">
        <v>6</v>
      </c>
      <c r="G11" s="186" t="n">
        <v>7</v>
      </c>
      <c r="H11" s="186" t="n">
        <v>8</v>
      </c>
      <c r="I11" s="186" t="n">
        <v>9</v>
      </c>
      <c r="J11" s="186" t="n">
        <v>10</v>
      </c>
    </row>
    <row r="12" ht="15.6" customFormat="1" customHeight="1" s="152">
      <c r="A12" s="190" t="n"/>
      <c r="B12" s="188" t="inlineStr">
        <is>
          <t>Затраты труда рабочих-строителей</t>
        </is>
      </c>
      <c r="C12" s="213" t="n"/>
      <c r="D12" s="213" t="n"/>
      <c r="E12" s="213" t="n"/>
      <c r="F12" s="213" t="n"/>
      <c r="G12" s="213" t="n"/>
      <c r="H12" s="214" t="n"/>
      <c r="I12" s="190" t="n"/>
      <c r="J12" s="190" t="n"/>
    </row>
    <row r="13" ht="31.35" customFormat="1" customHeight="1" s="152">
      <c r="A13" s="182" t="n">
        <v>1</v>
      </c>
      <c r="B13" s="182" t="inlineStr">
        <is>
          <t>1-100-27</t>
        </is>
      </c>
      <c r="C13" s="183" t="inlineStr">
        <is>
          <t>Затраты труда рабочих (Средний разряд работы 2,7)</t>
        </is>
      </c>
      <c r="D13" s="182" t="inlineStr">
        <is>
          <t>чел.-ч</t>
        </is>
      </c>
      <c r="E13" s="182" t="n">
        <v>236.22623345367</v>
      </c>
      <c r="F13" s="187" t="n">
        <v>8.31</v>
      </c>
      <c r="G13" s="187">
        <f>ROUND(E13*F13,2)</f>
        <v/>
      </c>
      <c r="H13" s="42">
        <f>G13/G14</f>
        <v/>
      </c>
      <c r="I13" s="187">
        <f>ФОТр.тек.!E13</f>
        <v/>
      </c>
      <c r="J13" s="187">
        <f>ROUND(E13*I13,2)</f>
        <v/>
      </c>
    </row>
    <row r="14" ht="31.35" customFormat="1" customHeight="1" s="152">
      <c r="A14" s="182" t="n"/>
      <c r="B14" s="182" t="n"/>
      <c r="C14" s="183" t="inlineStr">
        <is>
          <t>Итого по разделу "Затраты труда рабочих-строителей"</t>
        </is>
      </c>
      <c r="D14" s="182" t="inlineStr">
        <is>
          <t>чел.-ч</t>
        </is>
      </c>
      <c r="E14" s="182">
        <f>SUM(E13:E13)</f>
        <v/>
      </c>
      <c r="F14" s="187" t="n"/>
      <c r="G14" s="187">
        <f>SUM(G13:G13)</f>
        <v/>
      </c>
      <c r="H14" s="42" t="n">
        <v>1</v>
      </c>
      <c r="I14" s="187" t="n"/>
      <c r="J14" s="187">
        <f>SUM(J13:J13)</f>
        <v/>
      </c>
    </row>
    <row r="15" ht="15.6" customFormat="1" customHeight="1" s="152">
      <c r="A15" s="182" t="n"/>
      <c r="B15" s="182" t="inlineStr">
        <is>
          <t>Затраты труда машинистов</t>
        </is>
      </c>
      <c r="C15" s="213" t="n"/>
      <c r="D15" s="213" t="n"/>
      <c r="E15" s="213" t="n"/>
      <c r="F15" s="213" t="n"/>
      <c r="G15" s="213" t="n"/>
      <c r="H15" s="214" t="n"/>
      <c r="I15" s="187" t="n"/>
      <c r="J15" s="187" t="n"/>
    </row>
    <row r="16" ht="15.6" customFormat="1" customHeight="1" s="152">
      <c r="A16" s="182" t="n">
        <v>2</v>
      </c>
      <c r="B16" s="182" t="n">
        <v>2</v>
      </c>
      <c r="C16" s="183" t="inlineStr">
        <is>
          <t>Затраты труда машинистов</t>
        </is>
      </c>
      <c r="D16" s="182" t="inlineStr">
        <is>
          <t>чел.-ч</t>
        </is>
      </c>
      <c r="E16" s="182" t="n">
        <v>28.7450528</v>
      </c>
      <c r="F16" s="187" t="n">
        <v>13.19</v>
      </c>
      <c r="G16" s="187">
        <f>ROUND(E16*F16,2)</f>
        <v/>
      </c>
      <c r="H16" s="42" t="n">
        <v>1</v>
      </c>
      <c r="I16" s="187">
        <f>ROUND(F16*'Прил. 10'!$D$10,2)</f>
        <v/>
      </c>
      <c r="J16" s="187">
        <f>ROUND(E16*I16,2)</f>
        <v/>
      </c>
    </row>
    <row r="17" ht="15.6" customFormat="1" customHeight="1" s="152">
      <c r="A17" s="182" t="n"/>
      <c r="B17" s="181" t="inlineStr">
        <is>
          <t>Машины и механизмы</t>
        </is>
      </c>
      <c r="C17" s="213" t="n"/>
      <c r="D17" s="213" t="n"/>
      <c r="E17" s="213" t="n"/>
      <c r="F17" s="213" t="n"/>
      <c r="G17" s="213" t="n"/>
      <c r="H17" s="214" t="n"/>
      <c r="I17" s="187" t="n"/>
      <c r="J17" s="187" t="n"/>
    </row>
    <row r="18" ht="15.6" customFormat="1" customHeight="1" s="152">
      <c r="A18" s="182" t="n"/>
      <c r="B18" s="182" t="inlineStr">
        <is>
          <t>Основные Машины и механизмы</t>
        </is>
      </c>
      <c r="C18" s="213" t="n"/>
      <c r="D18" s="213" t="n"/>
      <c r="E18" s="213" t="n"/>
      <c r="F18" s="213" t="n"/>
      <c r="G18" s="213" t="n"/>
      <c r="H18" s="214" t="n"/>
      <c r="I18" s="187" t="n"/>
      <c r="J18" s="187" t="n"/>
    </row>
    <row r="19" ht="31.35" customFormat="1" customHeight="1" s="152">
      <c r="A19" s="182" t="n">
        <v>3</v>
      </c>
      <c r="B19" s="191" t="inlineStr">
        <is>
          <t>91.17.04-031</t>
        </is>
      </c>
      <c r="C19" s="198" t="inlineStr">
        <is>
          <t>Агрегаты для сварки полиэтиленовых труб</t>
        </is>
      </c>
      <c r="D19" s="201" t="inlineStr">
        <is>
          <t>маш.час</t>
        </is>
      </c>
      <c r="E19" s="199" t="n">
        <v>8.7712895</v>
      </c>
      <c r="F19" s="47" t="n">
        <v>100.1</v>
      </c>
      <c r="G19" s="47">
        <f>ROUND(E19*F19,2)</f>
        <v/>
      </c>
      <c r="H19" s="42">
        <f>G19/G39</f>
        <v/>
      </c>
      <c r="I19" s="187">
        <f>ROUND(F19*'Прил. 10'!$D$11,2)</f>
        <v/>
      </c>
      <c r="J19" s="187">
        <f>ROUND(E19*I19,2)</f>
        <v/>
      </c>
    </row>
    <row r="20" ht="31.35" customFormat="1" customHeight="1" s="152">
      <c r="A20" s="182" t="n">
        <v>4</v>
      </c>
      <c r="B20" s="191" t="inlineStr">
        <is>
          <t>91.14.01-011</t>
        </is>
      </c>
      <c r="C20" s="198" t="inlineStr">
        <is>
          <t>Автобетоносмесители, емкость до 6,3 м3</t>
        </is>
      </c>
      <c r="D20" s="201" t="inlineStr">
        <is>
          <t>маш.час</t>
        </is>
      </c>
      <c r="E20" s="199" t="n">
        <v>7.176</v>
      </c>
      <c r="F20" s="47" t="n">
        <v>105.81</v>
      </c>
      <c r="G20" s="47">
        <f>ROUND(E20*F20,2)</f>
        <v/>
      </c>
      <c r="H20" s="42">
        <f>G20/G39</f>
        <v/>
      </c>
      <c r="I20" s="187">
        <f>ROUND(F20*'Прил. 10'!$D$11,2)</f>
        <v/>
      </c>
      <c r="J20" s="187">
        <f>ROUND(E20*I20,2)</f>
        <v/>
      </c>
    </row>
    <row r="21" ht="46.9" customFormat="1" customHeight="1" s="152">
      <c r="A21" s="182" t="n">
        <v>5</v>
      </c>
      <c r="B21" s="191" t="inlineStr">
        <is>
          <t>91.07.11-570</t>
        </is>
      </c>
      <c r="C21" s="198" t="inlineStr">
        <is>
          <t>Бетононасосы-миксеры прицепные с двигателем внутреннего сгорания, производительность до 12 м3/ч</t>
        </is>
      </c>
      <c r="D21" s="201" t="inlineStr">
        <is>
          <t>маш.час</t>
        </is>
      </c>
      <c r="E21" s="199" t="n">
        <v>7.176</v>
      </c>
      <c r="F21" s="47" t="n">
        <v>71</v>
      </c>
      <c r="G21" s="47">
        <f>ROUND(E21*F21,2)</f>
        <v/>
      </c>
      <c r="H21" s="42">
        <f>G21/G39</f>
        <v/>
      </c>
      <c r="I21" s="187">
        <f>ROUND(F21*'Прил. 10'!$D$11,2)</f>
        <v/>
      </c>
      <c r="J21" s="187">
        <f>ROUND(E21*I21,2)</f>
        <v/>
      </c>
    </row>
    <row r="22" ht="46.9" customFormat="1" customHeight="1" s="152">
      <c r="A22" s="182" t="n">
        <v>6</v>
      </c>
      <c r="B22" s="191" t="inlineStr">
        <is>
          <t>91.05.13-025</t>
        </is>
      </c>
      <c r="C22" s="198" t="inlineStr">
        <is>
          <t>Краны-манипуляторы на автомобильном ходу, грузоподъемность до 3,2 т</t>
        </is>
      </c>
      <c r="D22" s="201" t="inlineStr">
        <is>
          <t>маш.час</t>
        </is>
      </c>
      <c r="E22" s="199" t="n">
        <v>2.2632</v>
      </c>
      <c r="F22" s="47" t="n">
        <v>112.36</v>
      </c>
      <c r="G22" s="47">
        <f>ROUND(E22*F22,2)</f>
        <v/>
      </c>
      <c r="H22" s="42">
        <f>G22/G39</f>
        <v/>
      </c>
      <c r="I22" s="187">
        <f>ROUND(F22*'Прил. 10'!$D$11,2)</f>
        <v/>
      </c>
      <c r="J22" s="187">
        <f>ROUND(E22*I22,2)</f>
        <v/>
      </c>
    </row>
    <row r="23" ht="15.6" customFormat="1" customHeight="1" s="152">
      <c r="A23" s="182" t="n"/>
      <c r="B23" s="191" t="inlineStr">
        <is>
          <t>Итого основные Машины и механизмы</t>
        </is>
      </c>
      <c r="C23" s="213" t="n"/>
      <c r="D23" s="213" t="n"/>
      <c r="E23" s="213" t="n"/>
      <c r="F23" s="214" t="n"/>
      <c r="G23" s="47">
        <f>SUM(G19:G22)</f>
        <v/>
      </c>
      <c r="H23" s="42">
        <f>SUM(H19:H22)</f>
        <v/>
      </c>
      <c r="I23" s="187" t="n"/>
      <c r="J23" s="187">
        <f>SUM(J19:J22)</f>
        <v/>
      </c>
    </row>
    <row r="24" hidden="1" outlineLevel="1" ht="31.35" customFormat="1" customHeight="1" s="152">
      <c r="A24" s="182" t="n">
        <v>7</v>
      </c>
      <c r="B24" s="191" t="inlineStr">
        <is>
          <t>91.05.05-015</t>
        </is>
      </c>
      <c r="C24" s="198" t="inlineStr">
        <is>
          <t>Краны на автомобильном ходу, грузоподъемность 16 т</t>
        </is>
      </c>
      <c r="D24" s="201" t="inlineStr">
        <is>
          <t>маш.час</t>
        </is>
      </c>
      <c r="E24" s="199" t="n">
        <v>1.2474639</v>
      </c>
      <c r="F24" s="47" t="n">
        <v>115.4</v>
      </c>
      <c r="G24" s="47">
        <f>ROUND(E24*F24,2)</f>
        <v/>
      </c>
      <c r="H24" s="42">
        <f>G24/G39</f>
        <v/>
      </c>
      <c r="I24" s="187">
        <f>ROUND(F24*'Прил. 10'!$D$11,2)</f>
        <v/>
      </c>
      <c r="J24" s="187">
        <f>ROUND(E24*I24,2)</f>
        <v/>
      </c>
    </row>
    <row r="25" hidden="1" outlineLevel="1" ht="93.59999999999999" customFormat="1" customHeight="1" s="152">
      <c r="A25" s="182" t="n">
        <v>8</v>
      </c>
      <c r="B25" s="191" t="inlineStr">
        <is>
          <t>91.10.09-012</t>
        </is>
      </c>
      <c r="C25" s="198" t="inlineStr">
        <is>
          <t>Установки для гидравлических испытаний трубопроводов, давление нагнетания низкое 0,1 МПа (1 кгс/см2), высокое 10 МПа (100 кгс/см2) при работе от передвижных электростанций</t>
        </is>
      </c>
      <c r="D25" s="201" t="inlineStr">
        <is>
          <t>маш.час</t>
        </is>
      </c>
      <c r="E25" s="199" t="n">
        <v>3.9165642</v>
      </c>
      <c r="F25" s="47" t="n">
        <v>26.32</v>
      </c>
      <c r="G25" s="47">
        <f>ROUND(E25*F25,2)</f>
        <v/>
      </c>
      <c r="H25" s="42">
        <f>G25/G39</f>
        <v/>
      </c>
      <c r="I25" s="187">
        <f>ROUND(F25*'Прил. 10'!$D$11,2)</f>
        <v/>
      </c>
      <c r="J25" s="187">
        <f>ROUND(E25*I25,2)</f>
        <v/>
      </c>
    </row>
    <row r="26" hidden="1" outlineLevel="1" ht="15.6" customFormat="1" customHeight="1" s="152">
      <c r="A26" s="182" t="n">
        <v>9</v>
      </c>
      <c r="B26" s="191" t="inlineStr">
        <is>
          <t>91.06.05-011</t>
        </is>
      </c>
      <c r="C26" s="198" t="inlineStr">
        <is>
          <t>Погрузчики, грузоподъемность 5 т</t>
        </is>
      </c>
      <c r="D26" s="201" t="inlineStr">
        <is>
          <t>маш.час</t>
        </is>
      </c>
      <c r="E26" s="199" t="n">
        <v>0.5342742</v>
      </c>
      <c r="F26" s="47" t="n">
        <v>89.98999999999999</v>
      </c>
      <c r="G26" s="47">
        <f>ROUND(E26*F26,2)</f>
        <v/>
      </c>
      <c r="H26" s="42">
        <f>G26/G39</f>
        <v/>
      </c>
      <c r="I26" s="187">
        <f>ROUND(F26*'Прил. 10'!$D$11,2)</f>
        <v/>
      </c>
      <c r="J26" s="187">
        <f>ROUND(E26*I26,2)</f>
        <v/>
      </c>
    </row>
    <row r="27" hidden="1" outlineLevel="1" ht="31.35" customFormat="1" customHeight="1" s="152">
      <c r="A27" s="182" t="n">
        <v>10</v>
      </c>
      <c r="B27" s="191" t="inlineStr">
        <is>
          <t>91.14.02-001</t>
        </is>
      </c>
      <c r="C27" s="198" t="inlineStr">
        <is>
          <t>Автомобили бортовые, грузоподъемность до 5 т</t>
        </is>
      </c>
      <c r="D27" s="201" t="inlineStr">
        <is>
          <t>маш.час</t>
        </is>
      </c>
      <c r="E27" s="199" t="n">
        <v>0.5914336</v>
      </c>
      <c r="F27" s="47" t="n">
        <v>65.70999999999999</v>
      </c>
      <c r="G27" s="47">
        <f>ROUND(E27*F27,2)</f>
        <v/>
      </c>
      <c r="H27" s="42">
        <f>G27/G39</f>
        <v/>
      </c>
      <c r="I27" s="187">
        <f>ROUND(F27*'Прил. 10'!$D$11,2)</f>
        <v/>
      </c>
      <c r="J27" s="187">
        <f>ROUND(E27*I27,2)</f>
        <v/>
      </c>
    </row>
    <row r="28" hidden="1" outlineLevel="1" ht="46.9" customFormat="1" customHeight="1" s="152">
      <c r="A28" s="182" t="n">
        <v>11</v>
      </c>
      <c r="B28" s="191" t="inlineStr">
        <is>
          <t>91.01.05-085</t>
        </is>
      </c>
      <c r="C28" s="198" t="inlineStr">
        <is>
          <t>Экскаваторы одноковшовые дизельные на гусеничном ходу, емкость ковша 0,5 м3</t>
        </is>
      </c>
      <c r="D28" s="201" t="inlineStr">
        <is>
          <t>маш.час</t>
        </is>
      </c>
      <c r="E28" s="199" t="n">
        <v>0.265394</v>
      </c>
      <c r="F28" s="47" t="n">
        <v>100</v>
      </c>
      <c r="G28" s="47">
        <f>ROUND(E28*F28,2)</f>
        <v/>
      </c>
      <c r="H28" s="42">
        <f>G28/G39</f>
        <v/>
      </c>
      <c r="I28" s="187">
        <f>ROUND(F28*'Прил. 10'!$D$11,2)</f>
        <v/>
      </c>
      <c r="J28" s="187">
        <f>ROUND(E28*I28,2)</f>
        <v/>
      </c>
    </row>
    <row r="29" hidden="1" outlineLevel="1" ht="31.35" customFormat="1" customHeight="1" s="152">
      <c r="A29" s="182" t="n">
        <v>12</v>
      </c>
      <c r="B29" s="191" t="inlineStr">
        <is>
          <t>91.05.01-017</t>
        </is>
      </c>
      <c r="C29" s="198" t="inlineStr">
        <is>
          <t>Краны башенные, грузоподъемность 8 т</t>
        </is>
      </c>
      <c r="D29" s="201" t="inlineStr">
        <is>
          <t>маш.час</t>
        </is>
      </c>
      <c r="E29" s="199" t="n">
        <v>0.2301619</v>
      </c>
      <c r="F29" s="47" t="n">
        <v>86.40000000000001</v>
      </c>
      <c r="G29" s="47">
        <f>ROUND(E29*F29,2)</f>
        <v/>
      </c>
      <c r="H29" s="42">
        <f>G29/G39</f>
        <v/>
      </c>
      <c r="I29" s="187">
        <f>ROUND(F29*'Прил. 10'!$D$11,2)</f>
        <v/>
      </c>
      <c r="J29" s="187">
        <f>ROUND(E29*I29,2)</f>
        <v/>
      </c>
    </row>
    <row r="30" hidden="1" outlineLevel="1" ht="31.35" customFormat="1" customHeight="1" s="152">
      <c r="A30" s="182" t="n">
        <v>13</v>
      </c>
      <c r="B30" s="191" t="inlineStr">
        <is>
          <t>91.16.01-002</t>
        </is>
      </c>
      <c r="C30" s="198" t="inlineStr">
        <is>
          <t>Электростанции передвижные, мощность 4 кВт</t>
        </is>
      </c>
      <c r="D30" s="201" t="inlineStr">
        <is>
          <t>маш.час</t>
        </is>
      </c>
      <c r="E30" s="199" t="n">
        <v>0.454478</v>
      </c>
      <c r="F30" s="47" t="n">
        <v>27.11</v>
      </c>
      <c r="G30" s="47">
        <f>ROUND(E30*F30,2)</f>
        <v/>
      </c>
      <c r="H30" s="42">
        <f>G30/G39</f>
        <v/>
      </c>
      <c r="I30" s="187">
        <f>ROUND(F30*'Прил. 10'!$D$11,2)</f>
        <v/>
      </c>
      <c r="J30" s="187">
        <f>ROUND(E30*I30,2)</f>
        <v/>
      </c>
    </row>
    <row r="31" hidden="1" outlineLevel="1" ht="31.35" customFormat="1" customHeight="1" s="152">
      <c r="A31" s="182" t="n">
        <v>14</v>
      </c>
      <c r="B31" s="191" t="inlineStr">
        <is>
          <t>91.10.05-007</t>
        </is>
      </c>
      <c r="C31" s="198" t="inlineStr">
        <is>
          <t>Трубоукладчики, номинальная грузоподъемность 12,5 т</t>
        </is>
      </c>
      <c r="D31" s="201" t="inlineStr">
        <is>
          <t>маш.час</t>
        </is>
      </c>
      <c r="E31" s="199" t="n">
        <v>0.0258877</v>
      </c>
      <c r="F31" s="47" t="n">
        <v>239.44</v>
      </c>
      <c r="G31" s="47">
        <f>ROUND(E31*F31,2)</f>
        <v/>
      </c>
      <c r="H31" s="42">
        <f>G31/G39</f>
        <v/>
      </c>
      <c r="I31" s="187">
        <f>ROUND(F31*'Прил. 10'!$D$11,2)</f>
        <v/>
      </c>
      <c r="J31" s="187">
        <f>ROUND(E31*I31,2)</f>
        <v/>
      </c>
    </row>
    <row r="32" hidden="1" outlineLevel="1" ht="15.6" customFormat="1" customHeight="1" s="152">
      <c r="A32" s="182" t="n">
        <v>15</v>
      </c>
      <c r="B32" s="191" t="inlineStr">
        <is>
          <t>91.08.04-021</t>
        </is>
      </c>
      <c r="C32" s="198" t="inlineStr">
        <is>
          <t>Котлы битумные передвижные 400 л</t>
        </is>
      </c>
      <c r="D32" s="201" t="inlineStr">
        <is>
          <t>маш.час</t>
        </is>
      </c>
      <c r="E32" s="199" t="n">
        <v>0.0430022</v>
      </c>
      <c r="F32" s="47" t="n">
        <v>30</v>
      </c>
      <c r="G32" s="47">
        <f>ROUND(E32*F32,2)</f>
        <v/>
      </c>
      <c r="H32" s="42">
        <f>G32/G39</f>
        <v/>
      </c>
      <c r="I32" s="187">
        <f>ROUND(F32*'Прил. 10'!$D$11,2)</f>
        <v/>
      </c>
      <c r="J32" s="187">
        <f>ROUND(E32*I32,2)</f>
        <v/>
      </c>
    </row>
    <row r="33" hidden="1" outlineLevel="1" ht="31.35" customFormat="1" customHeight="1" s="152">
      <c r="A33" s="182" t="n">
        <v>16</v>
      </c>
      <c r="B33" s="191" t="inlineStr">
        <is>
          <t>91.14.04-002</t>
        </is>
      </c>
      <c r="C33" s="198" t="inlineStr">
        <is>
          <t>Тягачи седельные, грузоподъемность 15 т</t>
        </is>
      </c>
      <c r="D33" s="201" t="inlineStr">
        <is>
          <t>маш.час</t>
        </is>
      </c>
      <c r="E33" s="199" t="n">
        <v>0.0094704</v>
      </c>
      <c r="F33" s="47" t="n">
        <v>94.38</v>
      </c>
      <c r="G33" s="47">
        <f>ROUND(E33*F33,2)</f>
        <v/>
      </c>
      <c r="H33" s="42">
        <f>G33/G39</f>
        <v/>
      </c>
      <c r="I33" s="187">
        <f>ROUND(F33*'Прил. 10'!$D$11,2)</f>
        <v/>
      </c>
      <c r="J33" s="187">
        <f>ROUND(E33*I33,2)</f>
        <v/>
      </c>
    </row>
    <row r="34" hidden="1" outlineLevel="1" ht="31.35" customFormat="1" customHeight="1" s="152">
      <c r="A34" s="182" t="n">
        <v>17</v>
      </c>
      <c r="B34" s="191" t="inlineStr">
        <is>
          <t>91.06.03-061</t>
        </is>
      </c>
      <c r="C34" s="198" t="inlineStr">
        <is>
          <t>Лебедки электрические тяговым усилием до 12,26 кН (1,25 т)</t>
        </is>
      </c>
      <c r="D34" s="201" t="inlineStr">
        <is>
          <t>маш.час</t>
        </is>
      </c>
      <c r="E34" s="199" t="n">
        <v>0.1518534</v>
      </c>
      <c r="F34" s="47" t="n">
        <v>3.28</v>
      </c>
      <c r="G34" s="47">
        <f>ROUND(E34*F34,2)</f>
        <v/>
      </c>
      <c r="H34" s="42">
        <f>G34/G39</f>
        <v/>
      </c>
      <c r="I34" s="187">
        <f>ROUND(F34*'Прил. 10'!$D$11,2)</f>
        <v/>
      </c>
      <c r="J34" s="187">
        <f>ROUND(E34*I34,2)</f>
        <v/>
      </c>
    </row>
    <row r="35" hidden="1" outlineLevel="1" ht="31.35" customFormat="1" customHeight="1" s="152">
      <c r="A35" s="182" t="n">
        <v>18</v>
      </c>
      <c r="B35" s="191" t="inlineStr">
        <is>
          <t>91.17.04-233</t>
        </is>
      </c>
      <c r="C35" s="198" t="inlineStr">
        <is>
          <t>Установки для сварки ручной дуговой (постоянного тока)</t>
        </is>
      </c>
      <c r="D35" s="201" t="inlineStr">
        <is>
          <t>маш.час</t>
        </is>
      </c>
      <c r="E35" s="199" t="n">
        <v>0.0379776</v>
      </c>
      <c r="F35" s="47" t="n">
        <v>8.1</v>
      </c>
      <c r="G35" s="47">
        <f>ROUND(E35*F35,2)</f>
        <v/>
      </c>
      <c r="H35" s="42">
        <f>G35/G39</f>
        <v/>
      </c>
      <c r="I35" s="187">
        <f>ROUND(F35*'Прил. 10'!$D$11,2)</f>
        <v/>
      </c>
      <c r="J35" s="187">
        <f>ROUND(E35*I35,2)</f>
        <v/>
      </c>
    </row>
    <row r="36" hidden="1" outlineLevel="1" ht="31.35" customFormat="1" customHeight="1" s="152">
      <c r="A36" s="182" t="n">
        <v>19</v>
      </c>
      <c r="B36" s="191" t="inlineStr">
        <is>
          <t>91.14.05-012</t>
        </is>
      </c>
      <c r="C36" s="198" t="inlineStr">
        <is>
          <t>Полуприцепы общего назначения, грузоподъемность 15 т</t>
        </is>
      </c>
      <c r="D36" s="201" t="inlineStr">
        <is>
          <t>маш.час</t>
        </is>
      </c>
      <c r="E36" s="199" t="n">
        <v>0.0094704</v>
      </c>
      <c r="F36" s="47" t="n">
        <v>19.76</v>
      </c>
      <c r="G36" s="47">
        <f>ROUND(E36*F36,2)</f>
        <v/>
      </c>
      <c r="H36" s="42">
        <f>G36/G39</f>
        <v/>
      </c>
      <c r="I36" s="187">
        <f>ROUND(F36*'Прил. 10'!$D$11,2)</f>
        <v/>
      </c>
      <c r="J36" s="187">
        <f>ROUND(E36*I36,2)</f>
        <v/>
      </c>
    </row>
    <row r="37" hidden="1" outlineLevel="1" ht="15.6" customFormat="1" customHeight="1" s="152">
      <c r="A37" s="182" t="n">
        <v>20</v>
      </c>
      <c r="B37" s="191" t="inlineStr">
        <is>
          <t>91.07.04-001</t>
        </is>
      </c>
      <c r="C37" s="198" t="inlineStr">
        <is>
          <t>Вибраторы глубинные</t>
        </is>
      </c>
      <c r="D37" s="201" t="inlineStr">
        <is>
          <t>маш.час</t>
        </is>
      </c>
      <c r="E37" s="199" t="n">
        <v>0.079488</v>
      </c>
      <c r="F37" s="47" t="n">
        <v>1.9</v>
      </c>
      <c r="G37" s="47">
        <f>ROUND(E37*F37,2)</f>
        <v/>
      </c>
      <c r="H37" s="42">
        <f>G37/G39</f>
        <v/>
      </c>
      <c r="I37" s="187">
        <f>ROUND(F37*'Прил. 10'!$D$11,2)</f>
        <v/>
      </c>
      <c r="J37" s="187">
        <f>ROUND(E37*I37,2)</f>
        <v/>
      </c>
    </row>
    <row r="38" collapsed="1" ht="15.6" customFormat="1" customHeight="1" s="152">
      <c r="A38" s="182" t="n"/>
      <c r="B38" s="182" t="inlineStr">
        <is>
          <t>Итого прочие Машины и механизмы</t>
        </is>
      </c>
      <c r="C38" s="213" t="n"/>
      <c r="D38" s="213" t="n"/>
      <c r="E38" s="213" t="n"/>
      <c r="F38" s="214" t="n"/>
      <c r="G38" s="187">
        <f>SUM(G24:G37)</f>
        <v/>
      </c>
      <c r="H38" s="42">
        <f>SUM(H24:H37)</f>
        <v/>
      </c>
      <c r="I38" s="187" t="n"/>
      <c r="J38" s="187">
        <f>SUM(J24:J37)</f>
        <v/>
      </c>
    </row>
    <row r="39" ht="15.6" customFormat="1" customHeight="1" s="152">
      <c r="A39" s="182" t="n"/>
      <c r="B39" s="182" t="inlineStr">
        <is>
          <t>Итого по разделу "Машины и механизмы"</t>
        </is>
      </c>
      <c r="C39" s="213" t="n"/>
      <c r="D39" s="213" t="n"/>
      <c r="E39" s="213" t="n"/>
      <c r="F39" s="214" t="n"/>
      <c r="G39" s="187">
        <f>G23+G38</f>
        <v/>
      </c>
      <c r="H39" s="42">
        <f>H23+H38</f>
        <v/>
      </c>
      <c r="I39" s="187" t="n"/>
      <c r="J39" s="187">
        <f>J23+J38</f>
        <v/>
      </c>
    </row>
    <row r="40" ht="15.6" customFormat="1" customHeight="1" s="152">
      <c r="A40" s="190" t="n"/>
      <c r="B40" s="188" t="inlineStr">
        <is>
          <t>Оборудование</t>
        </is>
      </c>
      <c r="C40" s="213" t="n"/>
      <c r="D40" s="213" t="n"/>
      <c r="E40" s="213" t="n"/>
      <c r="F40" s="213" t="n"/>
      <c r="G40" s="213" t="n"/>
      <c r="H40" s="213" t="n"/>
      <c r="I40" s="213" t="n"/>
      <c r="J40" s="214" t="n"/>
    </row>
    <row r="41" ht="15.6" customFormat="1" customHeight="1" s="152">
      <c r="A41" s="190" t="n"/>
      <c r="B41" s="190" t="inlineStr">
        <is>
          <t>Основное оборудование</t>
        </is>
      </c>
      <c r="C41" s="213" t="n"/>
      <c r="D41" s="213" t="n"/>
      <c r="E41" s="213" t="n"/>
      <c r="F41" s="213" t="n"/>
      <c r="G41" s="213" t="n"/>
      <c r="H41" s="213" t="n"/>
      <c r="I41" s="213" t="n"/>
      <c r="J41" s="214" t="n"/>
    </row>
    <row r="42" outlineLevel="1" ht="15.6" customFormat="1" customHeight="1" s="152">
      <c r="A42" s="190" t="n"/>
      <c r="B42" s="190" t="n"/>
      <c r="C42" s="190" t="inlineStr">
        <is>
          <t>Итого основное оборудование</t>
        </is>
      </c>
      <c r="D42" s="190" t="n"/>
      <c r="E42" s="190" t="n"/>
      <c r="F42" s="192" t="n"/>
      <c r="G42" s="192" t="n">
        <v>0</v>
      </c>
      <c r="H42" s="190" t="n">
        <v>0</v>
      </c>
      <c r="I42" s="192" t="n"/>
      <c r="J42" s="192" t="n">
        <v>0</v>
      </c>
    </row>
    <row r="43" ht="15.6" customFormat="1" customHeight="1" s="152">
      <c r="A43" s="190" t="n"/>
      <c r="B43" s="190" t="inlineStr">
        <is>
          <t>Прочее оборудование</t>
        </is>
      </c>
      <c r="C43" s="213" t="n"/>
      <c r="D43" s="213" t="n"/>
      <c r="E43" s="213" t="n"/>
      <c r="F43" s="213" t="n"/>
      <c r="G43" s="213" t="n"/>
      <c r="H43" s="213" t="n"/>
      <c r="I43" s="213" t="n"/>
      <c r="J43" s="214" t="n"/>
    </row>
    <row r="44" outlineLevel="1" ht="15.6" customFormat="1" customHeight="1" s="152">
      <c r="A44" s="190" t="n"/>
      <c r="B44" s="190" t="n"/>
      <c r="C44" s="190" t="inlineStr">
        <is>
          <t>Итого прочее оборудование</t>
        </is>
      </c>
      <c r="D44" s="190" t="n"/>
      <c r="E44" s="190" t="n"/>
      <c r="F44" s="192" t="n"/>
      <c r="G44" s="192" t="n">
        <v>0</v>
      </c>
      <c r="H44" s="190" t="n">
        <v>0</v>
      </c>
      <c r="I44" s="192" t="n"/>
      <c r="J44" s="192" t="n">
        <v>0</v>
      </c>
    </row>
    <row r="45" outlineLevel="1" ht="15.6" customFormat="1" customHeight="1" s="152">
      <c r="A45" s="190" t="n"/>
      <c r="B45" s="190" t="n"/>
      <c r="C45" s="188" t="inlineStr">
        <is>
          <t>Итого по разделу «Оборудование»</t>
        </is>
      </c>
      <c r="D45" s="190" t="n"/>
      <c r="E45" s="190" t="n"/>
      <c r="F45" s="192" t="n"/>
      <c r="G45" s="192" t="n">
        <v>0</v>
      </c>
      <c r="H45" s="190" t="n">
        <v>0</v>
      </c>
      <c r="I45" s="192" t="n"/>
      <c r="J45" s="192" t="n">
        <v>0</v>
      </c>
    </row>
    <row r="46" outlineLevel="1" ht="15.6" customFormat="1" customHeight="1" s="152">
      <c r="A46" s="190" t="n"/>
      <c r="B46" s="190" t="n"/>
      <c r="C46" s="190" t="inlineStr">
        <is>
          <t>в том числе технологическое оборудование</t>
        </is>
      </c>
      <c r="D46" s="190" t="n"/>
      <c r="E46" s="190" t="n"/>
      <c r="F46" s="192" t="n"/>
      <c r="G46" s="192" t="n">
        <v>0</v>
      </c>
      <c r="H46" s="190" t="n"/>
      <c r="I46" s="192" t="n"/>
      <c r="J46" s="192" t="n">
        <v>0</v>
      </c>
    </row>
    <row r="47" ht="15.6" customFormat="1" customHeight="1" s="152">
      <c r="A47" s="182" t="n"/>
      <c r="B47" s="181" t="inlineStr">
        <is>
          <t>Материалы</t>
        </is>
      </c>
      <c r="C47" s="213" t="n"/>
      <c r="D47" s="213" t="n"/>
      <c r="E47" s="213" t="n"/>
      <c r="F47" s="213" t="n"/>
      <c r="G47" s="213" t="n"/>
      <c r="H47" s="214" t="n"/>
      <c r="I47" s="187" t="n"/>
      <c r="J47" s="187" t="n"/>
    </row>
    <row r="48" ht="15.6" customFormat="1" customHeight="1" s="152">
      <c r="A48" s="182" t="n"/>
      <c r="B48" s="182" t="inlineStr">
        <is>
          <t>Основные Материалы</t>
        </is>
      </c>
      <c r="C48" s="213" t="n"/>
      <c r="D48" s="213" t="n"/>
      <c r="E48" s="213" t="n"/>
      <c r="F48" s="213" t="n"/>
      <c r="G48" s="213" t="n"/>
      <c r="H48" s="214" t="n"/>
      <c r="I48" s="187" t="n"/>
      <c r="J48" s="187" t="n"/>
    </row>
    <row r="49" ht="46.9" customFormat="1" customHeight="1" s="152">
      <c r="A49" s="182" t="n">
        <v>21</v>
      </c>
      <c r="B49" s="191" t="inlineStr">
        <is>
          <t>ТЦ_18.2.04.05_77_7711090903_25.10.2022_02</t>
        </is>
      </c>
      <c r="C49" s="198" t="inlineStr">
        <is>
          <t>Колодец стеклопластиковый (O1000х4500мм), с крышкой (O800мм), лестницей</t>
        </is>
      </c>
      <c r="D49" s="201" t="inlineStr">
        <is>
          <t>шт</t>
        </is>
      </c>
      <c r="E49" s="199" t="n">
        <v>20</v>
      </c>
      <c r="F49" s="200" t="n">
        <v>31632.65</v>
      </c>
      <c r="G49" s="47">
        <f>ROUND(E49*F49,2)</f>
        <v/>
      </c>
      <c r="H49" s="42">
        <f>G49/G97</f>
        <v/>
      </c>
      <c r="I49" s="187">
        <f>ROUND(F49*'Прил. 10'!$D$12,2)</f>
        <v/>
      </c>
      <c r="J49" s="187">
        <f>ROUND(E49*I49,2)</f>
        <v/>
      </c>
    </row>
    <row r="50" ht="31.35" customFormat="1" customHeight="1" s="152">
      <c r="A50" s="182" t="n">
        <v>22</v>
      </c>
      <c r="B50" s="191" t="inlineStr">
        <is>
          <t>02.3.01.02-1011</t>
        </is>
      </c>
      <c r="C50" s="198" t="inlineStr">
        <is>
          <t>Песок природный I класс, средний, круглые сита</t>
        </is>
      </c>
      <c r="D50" s="201" t="inlineStr">
        <is>
          <t>м3</t>
        </is>
      </c>
      <c r="E50" s="199" t="n">
        <v>6718.155</v>
      </c>
      <c r="F50" s="47" t="n">
        <v>54.95</v>
      </c>
      <c r="G50" s="47">
        <f>ROUND(E50*F50,2)</f>
        <v/>
      </c>
      <c r="H50" s="42">
        <f>G50/G97</f>
        <v/>
      </c>
      <c r="I50" s="187">
        <f>ROUND(F50*'Прил. 10'!$D$12,2)</f>
        <v/>
      </c>
      <c r="J50" s="187">
        <f>ROUND(E50*I50,2)</f>
        <v/>
      </c>
    </row>
    <row r="51" ht="78" customFormat="1" customHeight="1" s="152">
      <c r="A51" s="182" t="n">
        <v>23</v>
      </c>
      <c r="B51" s="191" t="inlineStr">
        <is>
          <t>18.2.04.01-0012</t>
        </is>
      </c>
      <c r="C51" s="198" t="inlineStr">
        <is>
          <t>Колодец водопроводный полиэтиленовый, диаметр 1600 мм, с запорной арматурой (1,2), для трубопровода номинальным диаметром 150, 200 мм</t>
        </is>
      </c>
      <c r="D51" s="201" t="inlineStr">
        <is>
          <t>м</t>
        </is>
      </c>
      <c r="E51" s="199" t="n">
        <v>5</v>
      </c>
      <c r="F51" s="47" t="n">
        <v>20759.1</v>
      </c>
      <c r="G51" s="47">
        <f>ROUND(E51*F51,2)</f>
        <v/>
      </c>
      <c r="H51" s="42">
        <f>G51/G97</f>
        <v/>
      </c>
      <c r="I51" s="187">
        <f>ROUND(F51*'Прил. 10'!$D$12,2)</f>
        <v/>
      </c>
      <c r="J51" s="187">
        <f>ROUND(E51*I51,2)</f>
        <v/>
      </c>
    </row>
    <row r="52" ht="15.6" customFormat="1" customHeight="1" s="152">
      <c r="A52" s="182" t="n">
        <v>24</v>
      </c>
      <c r="B52" s="191" t="inlineStr">
        <is>
          <t>11.2.13.04-0011</t>
        </is>
      </c>
      <c r="C52" s="198" t="inlineStr">
        <is>
          <t>Щиты из досок, толщина 25 мм</t>
        </is>
      </c>
      <c r="D52" s="201" t="inlineStr">
        <is>
          <t>м2</t>
        </is>
      </c>
      <c r="E52" s="199" t="n">
        <v>1683.264</v>
      </c>
      <c r="F52" s="47" t="n">
        <v>35.53</v>
      </c>
      <c r="G52" s="47">
        <f>ROUND(E52*F52,2)</f>
        <v/>
      </c>
      <c r="H52" s="42">
        <f>G52/G97</f>
        <v/>
      </c>
      <c r="I52" s="187">
        <f>ROUND(F52*'Прил. 10'!$D$12,2)</f>
        <v/>
      </c>
      <c r="J52" s="187">
        <f>ROUND(E52*I52,2)</f>
        <v/>
      </c>
    </row>
    <row r="53" ht="15.6" customFormat="1" customHeight="1" s="152">
      <c r="A53" s="182" t="n"/>
      <c r="B53" s="191" t="inlineStr">
        <is>
          <t>Итого основные Материалы</t>
        </is>
      </c>
      <c r="C53" s="213" t="n"/>
      <c r="D53" s="213" t="n"/>
      <c r="E53" s="213" t="n"/>
      <c r="F53" s="214" t="n"/>
      <c r="G53" s="47">
        <f>SUM(G49:G52)</f>
        <v/>
      </c>
      <c r="H53" s="42">
        <f>SUM(H49:H52)</f>
        <v/>
      </c>
      <c r="I53" s="187" t="n"/>
      <c r="J53" s="187">
        <f>SUM(J49:J52)</f>
        <v/>
      </c>
    </row>
    <row r="54" hidden="1" outlineLevel="1" ht="46.9" customFormat="1" customHeight="1" s="152">
      <c r="A54" s="182" t="n">
        <v>25</v>
      </c>
      <c r="B54" s="191" t="inlineStr">
        <is>
          <t>04.1.02.05-0059</t>
        </is>
      </c>
      <c r="C54" s="198" t="inlineStr">
        <is>
          <t>Смеси бетонные тяжелого бетона (БСТ), крупность заполнителя 40 мм, класс В12,5 (М150)</t>
        </is>
      </c>
      <c r="D54" s="201" t="inlineStr">
        <is>
          <t>м3</t>
        </is>
      </c>
      <c r="E54" s="199" t="n">
        <v>64.95999999999999</v>
      </c>
      <c r="F54" s="47" t="n">
        <v>622.63</v>
      </c>
      <c r="G54" s="47">
        <f>ROUND(E54*F54,2)</f>
        <v/>
      </c>
      <c r="H54" s="42">
        <f>G54/G97</f>
        <v/>
      </c>
      <c r="I54" s="187">
        <f>ROUND(F54*'Прил. 10'!$D$12,2)</f>
        <v/>
      </c>
      <c r="J54" s="187">
        <f>ROUND(E54*I54,2)</f>
        <v/>
      </c>
    </row>
    <row r="55" hidden="1" outlineLevel="1" ht="78" customFormat="1" customHeight="1" s="152">
      <c r="A55" s="182" t="n">
        <v>26</v>
      </c>
      <c r="B55" s="191" t="inlineStr">
        <is>
          <t>24.3.03.13-0055</t>
        </is>
      </c>
      <c r="C55" s="198" t="inlineStr">
        <is>
          <t>Трубы напорные полиэтиленовые ПЭ100, стандартное размерное отношение SDR17, номинальный наружный диаметр 315 мм, толщина стенки 18,7 мм</t>
        </is>
      </c>
      <c r="D55" s="201" t="inlineStr">
        <is>
          <t>м</t>
        </is>
      </c>
      <c r="E55" s="199" t="n">
        <v>38.1275</v>
      </c>
      <c r="F55" s="47" t="n">
        <v>1019.54</v>
      </c>
      <c r="G55" s="47">
        <f>ROUND(E55*F55,2)</f>
        <v/>
      </c>
      <c r="H55" s="42">
        <f>G55/G97</f>
        <v/>
      </c>
      <c r="I55" s="187">
        <f>ROUND(F55*'Прил. 10'!$D$12,2)</f>
        <v/>
      </c>
      <c r="J55" s="187">
        <f>ROUND(E55*I55,2)</f>
        <v/>
      </c>
    </row>
    <row r="56" hidden="1" outlineLevel="1" ht="78" customFormat="1" customHeight="1" s="152">
      <c r="A56" s="182" t="n">
        <v>27</v>
      </c>
      <c r="B56" s="191" t="inlineStr">
        <is>
          <t>24.3.03.06-0025</t>
        </is>
      </c>
      <c r="C56" s="198" t="inlineStr">
        <is>
          <t>Трубы дренажные полиэтиленовые гофрированные двухслойные, класс кольцевой жесткости SN8, номинальный внутренний диаметр 200 мм</t>
        </is>
      </c>
      <c r="D56" s="201" t="inlineStr">
        <is>
          <t>м</t>
        </is>
      </c>
      <c r="E56" s="199" t="n">
        <v>257.497729</v>
      </c>
      <c r="F56" s="47" t="n">
        <v>148.57</v>
      </c>
      <c r="G56" s="47">
        <f>ROUND(E56*F56,2)</f>
        <v/>
      </c>
      <c r="H56" s="42">
        <f>G56/G97</f>
        <v/>
      </c>
      <c r="I56" s="187">
        <f>ROUND(F56*'Прил. 10'!$D$12,2)</f>
        <v/>
      </c>
      <c r="J56" s="187">
        <f>ROUND(E56*I56,2)</f>
        <v/>
      </c>
    </row>
    <row r="57" hidden="1" outlineLevel="1" ht="78" customFormat="1" customHeight="1" s="152">
      <c r="A57" s="182" t="n">
        <v>28</v>
      </c>
      <c r="B57" s="191" t="inlineStr">
        <is>
          <t>24.3.03.13-0058</t>
        </is>
      </c>
      <c r="C57" s="198" t="inlineStr">
        <is>
          <t>Трубы напорные полиэтиленовые ПЭ100, стандартное размерное отношение SDR17, номинальный наружный диаметр 450 мм, толщина стенки 26,7 мм</t>
        </is>
      </c>
      <c r="D57" s="201" t="inlineStr">
        <is>
          <t>м</t>
        </is>
      </c>
      <c r="E57" s="199" t="n">
        <v>12.625</v>
      </c>
      <c r="F57" s="47" t="n">
        <v>2072.58</v>
      </c>
      <c r="G57" s="47">
        <f>ROUND(E57*F57,2)</f>
        <v/>
      </c>
      <c r="H57" s="42">
        <f>G57/G97</f>
        <v/>
      </c>
      <c r="I57" s="187">
        <f>ROUND(F57*'Прил. 10'!$D$12,2)</f>
        <v/>
      </c>
      <c r="J57" s="187">
        <f>ROUND(E57*I57,2)</f>
        <v/>
      </c>
    </row>
    <row r="58" hidden="1" outlineLevel="1" ht="78" customFormat="1" customHeight="1" s="152">
      <c r="A58" s="182" t="n">
        <v>29</v>
      </c>
      <c r="B58" s="191" t="inlineStr">
        <is>
          <t>24.3.03.13-0043</t>
        </is>
      </c>
      <c r="C58" s="198" t="inlineStr">
        <is>
          <t>Трубы напорные полиэтиленовые ПЭ100, стандартное размерное отношение SDR17, номинальный наружный диаметр 63 мм, толщина стенки 3,8 мм</t>
        </is>
      </c>
      <c r="D58" s="201" t="inlineStr">
        <is>
          <t>м</t>
        </is>
      </c>
      <c r="E58" s="199" t="n">
        <v>220.12</v>
      </c>
      <c r="F58" s="47" t="n">
        <v>41.6</v>
      </c>
      <c r="G58" s="47">
        <f>ROUND(E58*F58,2)</f>
        <v/>
      </c>
      <c r="H58" s="42">
        <f>G58/G97</f>
        <v/>
      </c>
      <c r="I58" s="187">
        <f>ROUND(F58*'Прил. 10'!$D$12,2)</f>
        <v/>
      </c>
      <c r="J58" s="187">
        <f>ROUND(E58*I58,2)</f>
        <v/>
      </c>
    </row>
    <row r="59" hidden="1" outlineLevel="1" ht="46.9" customFormat="1" customHeight="1" s="152">
      <c r="A59" s="182" t="n">
        <v>30</v>
      </c>
      <c r="B59" s="191" t="inlineStr">
        <is>
          <t>02.3.01.02-0016</t>
        </is>
      </c>
      <c r="C59" s="198" t="inlineStr">
        <is>
          <t>Песок природный для строительных: работ средний с крупностью зерен размером свыше 5 мм - до 5% по массе</t>
        </is>
      </c>
      <c r="D59" s="201" t="inlineStr">
        <is>
          <t>м3</t>
        </is>
      </c>
      <c r="E59" s="199" t="n">
        <v>151.1796</v>
      </c>
      <c r="F59" s="47" t="n">
        <v>55.26</v>
      </c>
      <c r="G59" s="47">
        <f>ROUND(E59*F59,2)</f>
        <v/>
      </c>
      <c r="H59" s="42">
        <f>G59/G97</f>
        <v/>
      </c>
      <c r="I59" s="187">
        <f>ROUND(F59*'Прил. 10'!$D$12,2)</f>
        <v/>
      </c>
      <c r="J59" s="187">
        <f>ROUND(E59*I59,2)</f>
        <v/>
      </c>
    </row>
    <row r="60" hidden="1" outlineLevel="1" ht="31.35" customFormat="1" customHeight="1" s="152">
      <c r="A60" s="182" t="n">
        <v>31</v>
      </c>
      <c r="B60" s="191" t="inlineStr">
        <is>
          <t>08.1.02.06-0023</t>
        </is>
      </c>
      <c r="C60" s="198" t="inlineStr">
        <is>
          <t>Люк чугунный круглый средний Л(B125)-К-1-60</t>
        </is>
      </c>
      <c r="D60" s="201" t="inlineStr">
        <is>
          <t>шт</t>
        </is>
      </c>
      <c r="E60" s="199" t="n">
        <v>17</v>
      </c>
      <c r="F60" s="47" t="n">
        <v>442.11</v>
      </c>
      <c r="G60" s="47">
        <f>ROUND(E60*F60,2)</f>
        <v/>
      </c>
      <c r="H60" s="42">
        <f>G60/G97</f>
        <v/>
      </c>
      <c r="I60" s="187">
        <f>ROUND(F60*'Прил. 10'!$D$12,2)</f>
        <v/>
      </c>
      <c r="J60" s="187">
        <f>ROUND(E60*I60,2)</f>
        <v/>
      </c>
    </row>
    <row r="61" hidden="1" outlineLevel="1" ht="31.35" customFormat="1" customHeight="1" s="152">
      <c r="A61" s="182" t="n">
        <v>32</v>
      </c>
      <c r="B61" s="191" t="inlineStr">
        <is>
          <t>04.1.02.01-0006</t>
        </is>
      </c>
      <c r="C61" s="198" t="inlineStr">
        <is>
          <t>Смеси бетонные мелкозернистого бетона (БСМ), класс В15 (М200)</t>
        </is>
      </c>
      <c r="D61" s="201" t="inlineStr">
        <is>
          <t>м3</t>
        </is>
      </c>
      <c r="E61" s="199" t="n">
        <v>8.19</v>
      </c>
      <c r="F61" s="47" t="n">
        <v>490</v>
      </c>
      <c r="G61" s="47">
        <f>ROUND(E61*F61,2)</f>
        <v/>
      </c>
      <c r="H61" s="42">
        <f>G61/G97</f>
        <v/>
      </c>
      <c r="I61" s="187">
        <f>ROUND(F61*'Прил. 10'!$D$12,2)</f>
        <v/>
      </c>
      <c r="J61" s="187">
        <f>ROUND(E61*I61,2)</f>
        <v/>
      </c>
    </row>
    <row r="62" hidden="1" outlineLevel="1" ht="31.35" customFormat="1" customHeight="1" s="152">
      <c r="A62" s="182" t="n">
        <v>33</v>
      </c>
      <c r="B62" s="191" t="inlineStr">
        <is>
          <t>08.1.02.06-0042</t>
        </is>
      </c>
      <c r="C62" s="198" t="inlineStr">
        <is>
          <t>Люк чугунный с решеткой для дождеприемного колодца ЛР</t>
        </is>
      </c>
      <c r="D62" s="201" t="inlineStr">
        <is>
          <t>шт</t>
        </is>
      </c>
      <c r="E62" s="199" t="n">
        <v>4</v>
      </c>
      <c r="F62" s="47" t="n">
        <v>592.2</v>
      </c>
      <c r="G62" s="47">
        <f>ROUND(E62*F62,2)</f>
        <v/>
      </c>
      <c r="H62" s="42">
        <f>G62/G97</f>
        <v/>
      </c>
      <c r="I62" s="187">
        <f>ROUND(F62*'Прил. 10'!$D$12,2)</f>
        <v/>
      </c>
      <c r="J62" s="187">
        <f>ROUND(E62*I62,2)</f>
        <v/>
      </c>
    </row>
    <row r="63" hidden="1" outlineLevel="1" ht="15.6" customFormat="1" customHeight="1" s="152">
      <c r="A63" s="182" t="n">
        <v>34</v>
      </c>
      <c r="B63" s="191" t="inlineStr">
        <is>
          <t>01.2.03.03-0013</t>
        </is>
      </c>
      <c r="C63" s="198" t="inlineStr">
        <is>
          <t>Мастика битумная кровельная горячая</t>
        </is>
      </c>
      <c r="D63" s="201" t="inlineStr">
        <is>
          <t>т</t>
        </is>
      </c>
      <c r="E63" s="199" t="n">
        <v>0.38352</v>
      </c>
      <c r="F63" s="47" t="n">
        <v>3390</v>
      </c>
      <c r="G63" s="47">
        <f>ROUND(E63*F63,2)</f>
        <v/>
      </c>
      <c r="H63" s="42">
        <f>G63/G97</f>
        <v/>
      </c>
      <c r="I63" s="187">
        <f>ROUND(F63*'Прил. 10'!$D$12,2)</f>
        <v/>
      </c>
      <c r="J63" s="187">
        <f>ROUND(E63*I63,2)</f>
        <v/>
      </c>
    </row>
    <row r="64" hidden="1" outlineLevel="1" ht="31.35" customFormat="1" customHeight="1" s="152">
      <c r="A64" s="182" t="n">
        <v>35</v>
      </c>
      <c r="B64" s="191" t="inlineStr">
        <is>
          <t>08.4.03.02-0007</t>
        </is>
      </c>
      <c r="C64" s="198" t="inlineStr">
        <is>
          <t>Сталь арматурная, горячекатаная, гладкая, класс А-I, диаметр 20-22 мм</t>
        </is>
      </c>
      <c r="D64" s="201" t="inlineStr">
        <is>
          <t>т</t>
        </is>
      </c>
      <c r="E64" s="199" t="n">
        <v>0.14758</v>
      </c>
      <c r="F64" s="47" t="n">
        <v>5520</v>
      </c>
      <c r="G64" s="47">
        <f>ROUND(E64*F64,2)</f>
        <v/>
      </c>
      <c r="H64" s="42">
        <f>G64/G97</f>
        <v/>
      </c>
      <c r="I64" s="187">
        <f>ROUND(F64*'Прил. 10'!$D$12,2)</f>
        <v/>
      </c>
      <c r="J64" s="187">
        <f>ROUND(E64*I64,2)</f>
        <v/>
      </c>
    </row>
    <row r="65" hidden="1" outlineLevel="1" ht="93.59999999999999" customFormat="1" customHeight="1" s="152">
      <c r="A65" s="182" t="n">
        <v>36</v>
      </c>
      <c r="B65" s="191" t="inlineStr">
        <is>
          <t>18.1.02.01-0201</t>
        </is>
      </c>
      <c r="C65" s="198" t="inlineStr">
        <is>
          <t>Задвижка параллельная с выдвижным шпинделем 30ч6бр, номинальное давление 1,0 МПа (10 кгс/см2), присоединение к трубопроводу фланцевое, номинальный диаметр 50 мм</t>
        </is>
      </c>
      <c r="D65" s="201" t="inlineStr">
        <is>
          <t>шт</t>
        </is>
      </c>
      <c r="E65" s="199" t="n">
        <v>2</v>
      </c>
      <c r="F65" s="47" t="n">
        <v>257.08</v>
      </c>
      <c r="G65" s="47">
        <f>ROUND(E65*F65,2)</f>
        <v/>
      </c>
      <c r="H65" s="42">
        <f>G65/G97</f>
        <v/>
      </c>
      <c r="I65" s="187">
        <f>ROUND(F65*'Прил. 10'!$D$12,2)</f>
        <v/>
      </c>
      <c r="J65" s="187">
        <f>ROUND(E65*I65,2)</f>
        <v/>
      </c>
    </row>
    <row r="66" hidden="1" outlineLevel="1" ht="46.9" customFormat="1" customHeight="1" s="152">
      <c r="A66" s="182" t="n">
        <v>37</v>
      </c>
      <c r="B66" s="191" t="inlineStr">
        <is>
          <t>08.4.03.03-0022</t>
        </is>
      </c>
      <c r="C66" s="198" t="inlineStr">
        <is>
          <t>Сталь арматурная, горячекатаная, периодического профиля, класс А-II, диаметр 12 мм</t>
        </is>
      </c>
      <c r="D66" s="201" t="inlineStr">
        <is>
          <t>т</t>
        </is>
      </c>
      <c r="E66" s="199" t="n">
        <v>0.073515</v>
      </c>
      <c r="F66" s="47" t="n">
        <v>5950</v>
      </c>
      <c r="G66" s="47">
        <f>ROUND(E66*F66,2)</f>
        <v/>
      </c>
      <c r="H66" s="42">
        <f>G66/G97</f>
        <v/>
      </c>
      <c r="I66" s="187">
        <f>ROUND(F66*'Прил. 10'!$D$12,2)</f>
        <v/>
      </c>
      <c r="J66" s="187">
        <f>ROUND(E66*I66,2)</f>
        <v/>
      </c>
    </row>
    <row r="67" hidden="1" outlineLevel="1" ht="78" customFormat="1" customHeight="1" s="152">
      <c r="A67" s="182" t="n">
        <v>38</v>
      </c>
      <c r="B67" s="191" t="inlineStr">
        <is>
          <t>24.3.03.06-0023</t>
        </is>
      </c>
      <c r="C67" s="198" t="inlineStr">
        <is>
          <t>Трубы дренажные полиэтиленовые гофрированные двухслойные, класс кольцевой жесткости SN8, номинальный внутренний диаметр 110 мм</t>
        </is>
      </c>
      <c r="D67" s="201" t="inlineStr">
        <is>
          <t>м</t>
        </is>
      </c>
      <c r="E67" s="199" t="n">
        <v>8.888</v>
      </c>
      <c r="F67" s="47" t="n">
        <v>49.1</v>
      </c>
      <c r="G67" s="47">
        <f>ROUND(E67*F67,2)</f>
        <v/>
      </c>
      <c r="H67" s="42">
        <f>G67/G97</f>
        <v/>
      </c>
      <c r="I67" s="187">
        <f>ROUND(F67*'Прил. 10'!$D$12,2)</f>
        <v/>
      </c>
      <c r="J67" s="187">
        <f>ROUND(E67*I67,2)</f>
        <v/>
      </c>
    </row>
    <row r="68" hidden="1" outlineLevel="1" ht="46.9" customFormat="1" customHeight="1" s="152">
      <c r="A68" s="182" t="n">
        <v>39</v>
      </c>
      <c r="B68" s="191" t="inlineStr">
        <is>
          <t>24.3.05.08-0112</t>
        </is>
      </c>
      <c r="C68" s="198" t="inlineStr">
        <is>
          <t>Отвод полиэтиленовый удлиненный 90°, номинальный внутренний диаметр 63 мм</t>
        </is>
      </c>
      <c r="D68" s="201" t="inlineStr">
        <is>
          <t>шт</t>
        </is>
      </c>
      <c r="E68" s="199" t="n">
        <v>5</v>
      </c>
      <c r="F68" s="47" t="n">
        <v>82.2</v>
      </c>
      <c r="G68" s="47">
        <f>ROUND(E68*F68,2)</f>
        <v/>
      </c>
      <c r="H68" s="42">
        <f>G68/G97</f>
        <v/>
      </c>
      <c r="I68" s="187">
        <f>ROUND(F68*'Прил. 10'!$D$12,2)</f>
        <v/>
      </c>
      <c r="J68" s="187">
        <f>ROUND(E68*I68,2)</f>
        <v/>
      </c>
    </row>
    <row r="69" hidden="1" outlineLevel="1" ht="31.35" customFormat="1" customHeight="1" s="152">
      <c r="A69" s="182" t="n">
        <v>40</v>
      </c>
      <c r="B69" s="191" t="inlineStr">
        <is>
          <t>18.1.02.02-0101</t>
        </is>
      </c>
      <c r="C69" s="198" t="inlineStr">
        <is>
          <t>Штурвал № 7800 для задвижек Hawle диаметром 50 мм</t>
        </is>
      </c>
      <c r="D69" s="201" t="inlineStr">
        <is>
          <t>шт</t>
        </is>
      </c>
      <c r="E69" s="199" t="n">
        <v>2</v>
      </c>
      <c r="F69" s="47" t="n">
        <v>65.13</v>
      </c>
      <c r="G69" s="47">
        <f>ROUND(E69*F69,2)</f>
        <v/>
      </c>
      <c r="H69" s="42">
        <f>G69/G97</f>
        <v/>
      </c>
      <c r="I69" s="187">
        <f>ROUND(F69*'Прил. 10'!$D$12,2)</f>
        <v/>
      </c>
      <c r="J69" s="187">
        <f>ROUND(E69*I69,2)</f>
        <v/>
      </c>
    </row>
    <row r="70" hidden="1" outlineLevel="1" ht="15.6" customFormat="1" customHeight="1" s="152">
      <c r="A70" s="182" t="n">
        <v>41</v>
      </c>
      <c r="B70" s="191" t="inlineStr">
        <is>
          <t>01.2.01.02-0001</t>
        </is>
      </c>
      <c r="C70" s="198" t="inlineStr">
        <is>
          <t>Битум горячий</t>
        </is>
      </c>
      <c r="D70" s="201" t="inlineStr">
        <is>
          <t>т</t>
        </is>
      </c>
      <c r="E70" s="199" t="n">
        <v>0.025568</v>
      </c>
      <c r="F70" s="47" t="n">
        <v>1946.91</v>
      </c>
      <c r="G70" s="47">
        <f>ROUND(E70*F70,2)</f>
        <v/>
      </c>
      <c r="H70" s="42">
        <f>G70/G97</f>
        <v/>
      </c>
      <c r="I70" s="187">
        <f>ROUND(F70*'Прил. 10'!$D$12,2)</f>
        <v/>
      </c>
      <c r="J70" s="187">
        <f>ROUND(E70*I70,2)</f>
        <v/>
      </c>
    </row>
    <row r="71" hidden="1" outlineLevel="1" ht="46.9" customFormat="1" customHeight="1" s="152">
      <c r="A71" s="182" t="n">
        <v>42</v>
      </c>
      <c r="B71" s="191" t="inlineStr">
        <is>
          <t>11.1.02.04-0031</t>
        </is>
      </c>
      <c r="C71" s="198" t="inlineStr">
        <is>
          <t>Лесоматериалы круглые, хвойных пород, для строительства, диаметр 14-24 см, длина 3-6,5 м</t>
        </is>
      </c>
      <c r="D71" s="201" t="inlineStr">
        <is>
          <t>м3</t>
        </is>
      </c>
      <c r="E71" s="199" t="n">
        <v>0.08686140000000001</v>
      </c>
      <c r="F71" s="47" t="n">
        <v>558.33</v>
      </c>
      <c r="G71" s="47">
        <f>ROUND(E71*F71,2)</f>
        <v/>
      </c>
      <c r="H71" s="42">
        <f>G71/G97</f>
        <v/>
      </c>
      <c r="I71" s="187">
        <f>ROUND(F71*'Прил. 10'!$D$12,2)</f>
        <v/>
      </c>
      <c r="J71" s="187">
        <f>ROUND(E71*I71,2)</f>
        <v/>
      </c>
    </row>
    <row r="72" hidden="1" outlineLevel="1" ht="62.45" customFormat="1" customHeight="1" s="152">
      <c r="A72" s="182" t="n">
        <v>43</v>
      </c>
      <c r="B72" s="191" t="inlineStr">
        <is>
          <t>07.2.07.12-0021</t>
        </is>
      </c>
      <c r="C72" s="198" t="inlineStr">
        <is>
          <t>Элементы конструктивные зданий и сооружений с преобладанием горячекатаных профилей, средняя масса сборочной единицы от 0,5 до 1 т</t>
        </is>
      </c>
      <c r="D72" s="201" t="inlineStr">
        <is>
          <t>т</t>
        </is>
      </c>
      <c r="E72" s="199" t="n">
        <v>0.005882</v>
      </c>
      <c r="F72" s="47" t="n">
        <v>7008.5</v>
      </c>
      <c r="G72" s="47">
        <f>ROUND(E72*F72,2)</f>
        <v/>
      </c>
      <c r="H72" s="42">
        <f>G72/G97</f>
        <v/>
      </c>
      <c r="I72" s="187">
        <f>ROUND(F72*'Прил. 10'!$D$12,2)</f>
        <v/>
      </c>
      <c r="J72" s="187">
        <f>ROUND(E72*I72,2)</f>
        <v/>
      </c>
    </row>
    <row r="73" hidden="1" outlineLevel="1" ht="46.9" customFormat="1" customHeight="1" s="152">
      <c r="A73" s="182" t="n">
        <v>44</v>
      </c>
      <c r="B73" s="191" t="inlineStr">
        <is>
          <t>11.1.03.05-0086</t>
        </is>
      </c>
      <c r="C73" s="198" t="inlineStr">
        <is>
          <t>Доска необрезная, хвойных пород, длина 4-6,5 м, все ширины, толщина 44 мм и более, сорт IV</t>
        </is>
      </c>
      <c r="D73" s="201" t="inlineStr">
        <is>
          <t>м3</t>
        </is>
      </c>
      <c r="E73" s="199" t="n">
        <v>0.0501594</v>
      </c>
      <c r="F73" s="47" t="n">
        <v>550</v>
      </c>
      <c r="G73" s="47">
        <f>ROUND(E73*F73,2)</f>
        <v/>
      </c>
      <c r="H73" s="42">
        <f>G73/G97</f>
        <v/>
      </c>
      <c r="I73" s="187">
        <f>ROUND(F73*'Прил. 10'!$D$12,2)</f>
        <v/>
      </c>
      <c r="J73" s="187">
        <f>ROUND(E73*I73,2)</f>
        <v/>
      </c>
    </row>
    <row r="74" hidden="1" outlineLevel="1" ht="15.6" customFormat="1" customHeight="1" s="152">
      <c r="A74" s="182" t="n">
        <v>45</v>
      </c>
      <c r="B74" s="191" t="inlineStr">
        <is>
          <t>01.7.03.01-0001</t>
        </is>
      </c>
      <c r="C74" s="198" t="inlineStr">
        <is>
          <t>Вода</t>
        </is>
      </c>
      <c r="D74" s="201" t="inlineStr">
        <is>
          <t>м3</t>
        </is>
      </c>
      <c r="E74" s="199" t="n">
        <v>6.0369574</v>
      </c>
      <c r="F74" s="47" t="n">
        <v>2.44</v>
      </c>
      <c r="G74" s="47">
        <f>ROUND(E74*F74,2)</f>
        <v/>
      </c>
      <c r="H74" s="42">
        <f>G74/G97</f>
        <v/>
      </c>
      <c r="I74" s="187">
        <f>ROUND(F74*'Прил. 10'!$D$12,2)</f>
        <v/>
      </c>
      <c r="J74" s="187">
        <f>ROUND(E74*I74,2)</f>
        <v/>
      </c>
    </row>
    <row r="75" hidden="1" outlineLevel="1" ht="46.9" customFormat="1" customHeight="1" s="152">
      <c r="A75" s="182" t="n">
        <v>46</v>
      </c>
      <c r="B75" s="191" t="inlineStr">
        <is>
          <t>01.7.15.03-0014</t>
        </is>
      </c>
      <c r="C75" s="198" t="inlineStr">
        <is>
          <t>Болты с гайками и шайбами для санитарно-технических работ, диаметр 16 мм</t>
        </is>
      </c>
      <c r="D75" s="201" t="inlineStr">
        <is>
          <t>т</t>
        </is>
      </c>
      <c r="E75" s="199" t="n">
        <v>0.0008</v>
      </c>
      <c r="F75" s="47" t="n">
        <v>14830</v>
      </c>
      <c r="G75" s="47">
        <f>ROUND(E75*F75,2)</f>
        <v/>
      </c>
      <c r="H75" s="42">
        <f>G75/G97</f>
        <v/>
      </c>
      <c r="I75" s="187">
        <f>ROUND(F75*'Прил. 10'!$D$12,2)</f>
        <v/>
      </c>
      <c r="J75" s="187">
        <f>ROUND(E75*I75,2)</f>
        <v/>
      </c>
    </row>
    <row r="76" hidden="1" outlineLevel="1" ht="15.6" customFormat="1" customHeight="1" s="152">
      <c r="A76" s="182" t="n">
        <v>47</v>
      </c>
      <c r="B76" s="191" t="inlineStr">
        <is>
          <t>01.7.07.29-0031</t>
        </is>
      </c>
      <c r="C76" s="198" t="inlineStr">
        <is>
          <t>Каболка</t>
        </is>
      </c>
      <c r="D76" s="201" t="inlineStr">
        <is>
          <t>т</t>
        </is>
      </c>
      <c r="E76" s="199" t="n">
        <v>0.0003</v>
      </c>
      <c r="F76" s="47" t="n">
        <v>30030</v>
      </c>
      <c r="G76" s="47">
        <f>ROUND(E76*F76,2)</f>
        <v/>
      </c>
      <c r="H76" s="42">
        <f>G76/G97</f>
        <v/>
      </c>
      <c r="I76" s="187">
        <f>ROUND(F76*'Прил. 10'!$D$12,2)</f>
        <v/>
      </c>
      <c r="J76" s="187">
        <f>ROUND(E76*I76,2)</f>
        <v/>
      </c>
    </row>
    <row r="77" hidden="1" outlineLevel="1" ht="15.6" customFormat="1" customHeight="1" s="152">
      <c r="A77" s="182" t="n">
        <v>48</v>
      </c>
      <c r="B77" s="191" t="inlineStr">
        <is>
          <t>01.7.15.06-0111</t>
        </is>
      </c>
      <c r="C77" s="198" t="inlineStr">
        <is>
          <t>Гвозди строительные</t>
        </is>
      </c>
      <c r="D77" s="201" t="inlineStr">
        <is>
          <t>т</t>
        </is>
      </c>
      <c r="E77" s="199" t="n">
        <v>0.0004898</v>
      </c>
      <c r="F77" s="47" t="n">
        <v>11978</v>
      </c>
      <c r="G77" s="47">
        <f>ROUND(E77*F77,2)</f>
        <v/>
      </c>
      <c r="H77" s="42">
        <f>G77/G97</f>
        <v/>
      </c>
      <c r="I77" s="187">
        <f>ROUND(F77*'Прил. 10'!$D$12,2)</f>
        <v/>
      </c>
      <c r="J77" s="187">
        <f>ROUND(E77*I77,2)</f>
        <v/>
      </c>
    </row>
    <row r="78" hidden="1" outlineLevel="1" ht="31.35" customFormat="1" customHeight="1" s="152">
      <c r="A78" s="182" t="n">
        <v>49</v>
      </c>
      <c r="B78" s="191" t="inlineStr">
        <is>
          <t>08.1.02.11-0001</t>
        </is>
      </c>
      <c r="C78" s="198" t="inlineStr">
        <is>
          <t>Поковки из квадратных заготовок, масса 1,8 кг</t>
        </is>
      </c>
      <c r="D78" s="201" t="inlineStr">
        <is>
          <t>т</t>
        </is>
      </c>
      <c r="E78" s="199" t="n">
        <v>0.0002898</v>
      </c>
      <c r="F78" s="47" t="n">
        <v>5989</v>
      </c>
      <c r="G78" s="47">
        <f>ROUND(E78*F78,2)</f>
        <v/>
      </c>
      <c r="H78" s="42">
        <f>G78/G97</f>
        <v/>
      </c>
      <c r="I78" s="187">
        <f>ROUND(F78*'Прил. 10'!$D$12,2)</f>
        <v/>
      </c>
      <c r="J78" s="187">
        <f>ROUND(E78*I78,2)</f>
        <v/>
      </c>
    </row>
    <row r="79" hidden="1" outlineLevel="1" ht="15.6" customFormat="1" customHeight="1" s="152">
      <c r="A79" s="182" t="n">
        <v>50</v>
      </c>
      <c r="B79" s="191" t="inlineStr">
        <is>
          <t>11.2.13.04-0012</t>
        </is>
      </c>
      <c r="C79" s="198" t="inlineStr">
        <is>
          <t>Щиты из досок, толщина 40 мм</t>
        </is>
      </c>
      <c r="D79" s="201" t="inlineStr">
        <is>
          <t>м2</t>
        </is>
      </c>
      <c r="E79" s="199" t="n">
        <v>0.02304</v>
      </c>
      <c r="F79" s="47" t="n">
        <v>57.63</v>
      </c>
      <c r="G79" s="47">
        <f>ROUND(E79*F79,2)</f>
        <v/>
      </c>
      <c r="H79" s="42">
        <f>G79/G97</f>
        <v/>
      </c>
      <c r="I79" s="187">
        <f>ROUND(F79*'Прил. 10'!$D$12,2)</f>
        <v/>
      </c>
      <c r="J79" s="187">
        <f>ROUND(E79*I79,2)</f>
        <v/>
      </c>
    </row>
    <row r="80" hidden="1" outlineLevel="1" ht="31.35" customFormat="1" customHeight="1" s="152">
      <c r="A80" s="182" t="n">
        <v>51</v>
      </c>
      <c r="B80" s="191" t="inlineStr">
        <is>
          <t>01.7.19.07-0006</t>
        </is>
      </c>
      <c r="C80" s="198" t="inlineStr">
        <is>
          <t>Резина техническая листовая прессованная</t>
        </is>
      </c>
      <c r="D80" s="201" t="inlineStr">
        <is>
          <t>кг</t>
        </is>
      </c>
      <c r="E80" s="199" t="n">
        <v>0.1339874</v>
      </c>
      <c r="F80" s="47" t="n">
        <v>7.8</v>
      </c>
      <c r="G80" s="47">
        <f>ROUND(E80*F80,2)</f>
        <v/>
      </c>
      <c r="H80" s="42">
        <f>G80/G97</f>
        <v/>
      </c>
      <c r="I80" s="187">
        <f>ROUND(F80*'Прил. 10'!$D$12,2)</f>
        <v/>
      </c>
      <c r="J80" s="187">
        <f>ROUND(E80*I80,2)</f>
        <v/>
      </c>
    </row>
    <row r="81" hidden="1" outlineLevel="1" ht="15.6" customFormat="1" customHeight="1" s="152">
      <c r="A81" s="182" t="n">
        <v>52</v>
      </c>
      <c r="B81" s="191" t="inlineStr">
        <is>
          <t>12.1.02.06-0012</t>
        </is>
      </c>
      <c r="C81" s="198" t="inlineStr">
        <is>
          <t>Рубероид кровельный РКК-350</t>
        </is>
      </c>
      <c r="D81" s="201" t="inlineStr">
        <is>
          <t>м2</t>
        </is>
      </c>
      <c r="E81" s="199" t="n">
        <v>0.1385029</v>
      </c>
      <c r="F81" s="47" t="n">
        <v>7.46</v>
      </c>
      <c r="G81" s="47">
        <f>ROUND(E81*F81,2)</f>
        <v/>
      </c>
      <c r="H81" s="42">
        <f>G81/G97</f>
        <v/>
      </c>
      <c r="I81" s="187">
        <f>ROUND(F81*'Прил. 10'!$D$12,2)</f>
        <v/>
      </c>
      <c r="J81" s="187">
        <f>ROUND(E81*I81,2)</f>
        <v/>
      </c>
    </row>
    <row r="82" hidden="1" outlineLevel="1" ht="15.6" customFormat="1" customHeight="1" s="152">
      <c r="A82" s="182" t="n">
        <v>53</v>
      </c>
      <c r="B82" s="191" t="inlineStr">
        <is>
          <t>01.3.01.03-0002</t>
        </is>
      </c>
      <c r="C82" s="198" t="inlineStr">
        <is>
          <t>Керосин для технических целей</t>
        </is>
      </c>
      <c r="D82" s="201" t="inlineStr">
        <is>
          <t>т</t>
        </is>
      </c>
      <c r="E82" s="199" t="n">
        <v>0.0003835</v>
      </c>
      <c r="F82" s="47" t="n">
        <v>2606.9</v>
      </c>
      <c r="G82" s="47">
        <f>ROUND(E82*F82,2)</f>
        <v/>
      </c>
      <c r="H82" s="42">
        <f>G82/G97</f>
        <v/>
      </c>
      <c r="I82" s="187">
        <f>ROUND(F82*'Прил. 10'!$D$12,2)</f>
        <v/>
      </c>
      <c r="J82" s="187">
        <f>ROUND(E82*I82,2)</f>
        <v/>
      </c>
    </row>
    <row r="83" hidden="1" outlineLevel="1" ht="15.6" customFormat="1" customHeight="1" s="152">
      <c r="A83" s="182" t="n">
        <v>54</v>
      </c>
      <c r="B83" s="191" t="inlineStr">
        <is>
          <t>01.7.20.08-0051</t>
        </is>
      </c>
      <c r="C83" s="198" t="inlineStr">
        <is>
          <t>Ветошь</t>
        </is>
      </c>
      <c r="D83" s="201" t="inlineStr">
        <is>
          <t>кг</t>
        </is>
      </c>
      <c r="E83" s="199" t="n">
        <v>0.510898</v>
      </c>
      <c r="F83" s="47" t="n">
        <v>1.82</v>
      </c>
      <c r="G83" s="47">
        <f>ROUND(E83*F83,2)</f>
        <v/>
      </c>
      <c r="H83" s="42">
        <f>G83/G97</f>
        <v/>
      </c>
      <c r="I83" s="187">
        <f>ROUND(F83*'Прил. 10'!$D$12,2)</f>
        <v/>
      </c>
      <c r="J83" s="187">
        <f>ROUND(E83*I83,2)</f>
        <v/>
      </c>
    </row>
    <row r="84" hidden="1" outlineLevel="1" ht="31.35" customFormat="1" customHeight="1" s="152">
      <c r="A84" s="182" t="n">
        <v>55</v>
      </c>
      <c r="B84" s="191" t="inlineStr">
        <is>
          <t>01.7.19.04-0031</t>
        </is>
      </c>
      <c r="C84" s="198" t="inlineStr">
        <is>
          <t>Прокладки резиновые (пластина техническая прессованная)</t>
        </is>
      </c>
      <c r="D84" s="201" t="inlineStr">
        <is>
          <t>кг</t>
        </is>
      </c>
      <c r="E84" s="199" t="n">
        <v>0.04</v>
      </c>
      <c r="F84" s="47" t="n">
        <v>23.09</v>
      </c>
      <c r="G84" s="47">
        <f>ROUND(E84*F84,2)</f>
        <v/>
      </c>
      <c r="H84" s="42">
        <f>G84/G97</f>
        <v/>
      </c>
      <c r="I84" s="187">
        <f>ROUND(F84*'Прил. 10'!$D$12,2)</f>
        <v/>
      </c>
      <c r="J84" s="187">
        <f>ROUND(E84*I84,2)</f>
        <v/>
      </c>
    </row>
    <row r="85" hidden="1" outlineLevel="1" ht="31.35" customFormat="1" customHeight="1" s="152">
      <c r="A85" s="182" t="n">
        <v>56</v>
      </c>
      <c r="B85" s="191" t="inlineStr">
        <is>
          <t>01.7.07.12-0024</t>
        </is>
      </c>
      <c r="C85" s="198" t="inlineStr">
        <is>
          <t>Пленка полиэтиленовая, толщина 0,15 мм</t>
        </is>
      </c>
      <c r="D85" s="201" t="inlineStr">
        <is>
          <t>м2</t>
        </is>
      </c>
      <c r="E85" s="199" t="n">
        <v>0.192</v>
      </c>
      <c r="F85" s="47" t="n">
        <v>3.62</v>
      </c>
      <c r="G85" s="47">
        <f>ROUND(E85*F85,2)</f>
        <v/>
      </c>
      <c r="H85" s="42">
        <f>G85/G97</f>
        <v/>
      </c>
      <c r="I85" s="187">
        <f>ROUND(F85*'Прил. 10'!$D$12,2)</f>
        <v/>
      </c>
      <c r="J85" s="187">
        <f>ROUND(E85*I85,2)</f>
        <v/>
      </c>
    </row>
    <row r="86" hidden="1" outlineLevel="1" ht="31.35" customFormat="1" customHeight="1" s="152">
      <c r="A86" s="182" t="n">
        <v>57</v>
      </c>
      <c r="B86" s="191" t="inlineStr">
        <is>
          <t>01.7.11.07-0032</t>
        </is>
      </c>
      <c r="C86" s="198" t="inlineStr">
        <is>
          <t>Электроды сварочные Э42, диаметр 4 мм</t>
        </is>
      </c>
      <c r="D86" s="201" t="inlineStr">
        <is>
          <t>т</t>
        </is>
      </c>
      <c r="E86" s="199" t="n">
        <v>3.2e-05</v>
      </c>
      <c r="F86" s="47" t="n">
        <v>10315.01</v>
      </c>
      <c r="G86" s="47">
        <f>ROUND(E86*F86,2)</f>
        <v/>
      </c>
      <c r="H86" s="42">
        <f>G86/G97</f>
        <v/>
      </c>
      <c r="I86" s="187">
        <f>ROUND(F86*'Прил. 10'!$D$12,2)</f>
        <v/>
      </c>
      <c r="J86" s="187">
        <f>ROUND(E86*I86,2)</f>
        <v/>
      </c>
    </row>
    <row r="87" hidden="1" outlineLevel="1" ht="31.35" customFormat="1" customHeight="1" s="152">
      <c r="A87" s="182" t="n">
        <v>58</v>
      </c>
      <c r="B87" s="191" t="inlineStr">
        <is>
          <t>08.3.03.06-0002</t>
        </is>
      </c>
      <c r="C87" s="198" t="inlineStr">
        <is>
          <t>Проволока горячекатаная в мотках, диаметр 6,3-6,5 мм</t>
        </is>
      </c>
      <c r="D87" s="201" t="inlineStr">
        <is>
          <t>т</t>
        </is>
      </c>
      <c r="E87" s="199" t="n">
        <v>6.53e-05</v>
      </c>
      <c r="F87" s="47" t="n">
        <v>4455.2</v>
      </c>
      <c r="G87" s="47">
        <f>ROUND(E87*F87,2)</f>
        <v/>
      </c>
      <c r="H87" s="42">
        <f>G87/G97</f>
        <v/>
      </c>
      <c r="I87" s="187">
        <f>ROUND(F87*'Прил. 10'!$D$12,2)</f>
        <v/>
      </c>
      <c r="J87" s="187">
        <f>ROUND(E87*I87,2)</f>
        <v/>
      </c>
    </row>
    <row r="88" hidden="1" outlineLevel="1" ht="46.9" customFormat="1" customHeight="1" s="152">
      <c r="A88" s="182" t="n">
        <v>59</v>
      </c>
      <c r="B88" s="191" t="inlineStr">
        <is>
          <t>11.1.03.06-0095</t>
        </is>
      </c>
      <c r="C88" s="198" t="inlineStr">
        <is>
          <t>Доска обрезная, хвойных пород, ширина 75-150 мм, толщина 44 мм и более, длина 4-6,5 м, сорт III</t>
        </is>
      </c>
      <c r="D88" s="201" t="inlineStr">
        <is>
          <t>м3</t>
        </is>
      </c>
      <c r="E88" s="199" t="n">
        <v>0.000256</v>
      </c>
      <c r="F88" s="47" t="n">
        <v>1056</v>
      </c>
      <c r="G88" s="47">
        <f>ROUND(E88*F88,2)</f>
        <v/>
      </c>
      <c r="H88" s="42">
        <f>G88/G97</f>
        <v/>
      </c>
      <c r="I88" s="187">
        <f>ROUND(F88*'Прил. 10'!$D$12,2)</f>
        <v/>
      </c>
      <c r="J88" s="187">
        <f>ROUND(E88*I88,2)</f>
        <v/>
      </c>
    </row>
    <row r="89" hidden="1" outlineLevel="1" ht="46.9" customFormat="1" customHeight="1" s="152">
      <c r="A89" s="182" t="n">
        <v>60</v>
      </c>
      <c r="B89" s="191" t="inlineStr">
        <is>
          <t>05.1.08.14-1018</t>
        </is>
      </c>
      <c r="C89" s="198" t="inlineStr">
        <is>
          <t>Профиль гидроизолирующий для рабочих швов в монолитных железобетонных конструкциях</t>
        </is>
      </c>
      <c r="D89" s="201" t="inlineStr">
        <is>
          <t>м</t>
        </is>
      </c>
      <c r="E89" s="199" t="n">
        <v>0.004446</v>
      </c>
      <c r="F89" s="47" t="n">
        <v>53.61</v>
      </c>
      <c r="G89" s="47">
        <f>ROUND(E89*F89,2)</f>
        <v/>
      </c>
      <c r="H89" s="42">
        <f>G89/G97</f>
        <v/>
      </c>
      <c r="I89" s="187">
        <f>ROUND(F89*'Прил. 10'!$D$12,2)</f>
        <v/>
      </c>
      <c r="J89" s="187">
        <f>ROUND(E89*I89,2)</f>
        <v/>
      </c>
    </row>
    <row r="90" hidden="1" outlineLevel="1" ht="78" customFormat="1" customHeight="1" s="152">
      <c r="A90" s="182" t="n">
        <v>61</v>
      </c>
      <c r="B90" s="191" t="inlineStr">
        <is>
          <t>04.3.02.09-1092</t>
        </is>
      </c>
      <c r="C90" s="198" t="inlineStr">
        <is>
          <t>Состав эластичный двухкомпонентный из сухой смеси на цементных вяжущих и синтетических полимерах в водной дисперсии, для защиты и гидроизоляции бетона</t>
        </is>
      </c>
      <c r="D90" s="201" t="inlineStr">
        <is>
          <t>шт</t>
        </is>
      </c>
      <c r="E90" s="199" t="n">
        <v>0.000219</v>
      </c>
      <c r="F90" s="47" t="n">
        <v>506.63</v>
      </c>
      <c r="G90" s="47">
        <f>ROUND(E90*F90,2)</f>
        <v/>
      </c>
      <c r="H90" s="42">
        <f>G90/G97</f>
        <v/>
      </c>
      <c r="I90" s="187">
        <f>ROUND(F90*'Прил. 10'!$D$12,2)</f>
        <v/>
      </c>
      <c r="J90" s="187">
        <f>ROUND(E90*I90,2)</f>
        <v/>
      </c>
    </row>
    <row r="91" hidden="1" outlineLevel="1" ht="78" customFormat="1" customHeight="1" s="152">
      <c r="A91" s="182" t="n">
        <v>62</v>
      </c>
      <c r="B91" s="191" t="inlineStr">
        <is>
          <t>04.3.02.09-1056</t>
        </is>
      </c>
      <c r="C91" s="198" t="inlineStr">
        <is>
          <t>Смеси сухие безусадочные, быстротвердеющие, для восстановления, гидроизоляции и ремонта бетонных покрытий, с заполнителем 3 мм, М500</t>
        </is>
      </c>
      <c r="D91" s="201" t="inlineStr">
        <is>
          <t>кг</t>
        </is>
      </c>
      <c r="E91" s="199" t="n">
        <v>0.0180335</v>
      </c>
      <c r="F91" s="47" t="n">
        <v>6.17</v>
      </c>
      <c r="G91" s="47">
        <f>ROUND(E91*F91,2)</f>
        <v/>
      </c>
      <c r="H91" s="42">
        <f>G91/G97</f>
        <v/>
      </c>
      <c r="I91" s="187">
        <f>ROUND(F91*'Прил. 10'!$D$12,2)</f>
        <v/>
      </c>
      <c r="J91" s="187">
        <f>ROUND(E91*I91,2)</f>
        <v/>
      </c>
    </row>
    <row r="92" hidden="1" outlineLevel="1" ht="31.35" customFormat="1" customHeight="1" s="152">
      <c r="A92" s="182" t="n">
        <v>63</v>
      </c>
      <c r="B92" s="191" t="inlineStr">
        <is>
          <t>03.1.02.03-0011</t>
        </is>
      </c>
      <c r="C92" s="198" t="inlineStr">
        <is>
          <t>Известь строительная негашеная комовая, сорт I</t>
        </is>
      </c>
      <c r="D92" s="201" t="inlineStr">
        <is>
          <t>т</t>
        </is>
      </c>
      <c r="E92" s="199" t="n">
        <v>6.4e-05</v>
      </c>
      <c r="F92" s="47" t="n">
        <v>734.5</v>
      </c>
      <c r="G92" s="47">
        <f>ROUND(E92*F92,2)</f>
        <v/>
      </c>
      <c r="H92" s="42">
        <f>G92/G97</f>
        <v/>
      </c>
      <c r="I92" s="187">
        <f>ROUND(F92*'Прил. 10'!$D$12,2)</f>
        <v/>
      </c>
      <c r="J92" s="187">
        <f>ROUND(E92*I92,2)</f>
        <v/>
      </c>
    </row>
    <row r="93" hidden="1" outlineLevel="1" ht="46.9" customFormat="1" customHeight="1" s="152">
      <c r="A93" s="182" t="n">
        <v>64</v>
      </c>
      <c r="B93" s="191" t="inlineStr">
        <is>
          <t>12.2.07.05-0044</t>
        </is>
      </c>
      <c r="C93" s="198" t="inlineStr">
        <is>
          <t>Трубки из вспененного полиэтилена, внутренний диаметр 30 мм, толщина 9 мм</t>
        </is>
      </c>
      <c r="D93" s="201" t="inlineStr">
        <is>
          <t>100 м</t>
        </is>
      </c>
      <c r="E93" s="199" t="n">
        <v>4.8e-05</v>
      </c>
      <c r="F93" s="47" t="n">
        <v>342.82</v>
      </c>
      <c r="G93" s="47">
        <f>ROUND(E93*F93,2)</f>
        <v/>
      </c>
      <c r="H93" s="42">
        <f>G93/G97</f>
        <v/>
      </c>
      <c r="I93" s="187">
        <f>ROUND(F93*'Прил. 10'!$D$12,2)</f>
        <v/>
      </c>
      <c r="J93" s="187">
        <f>ROUND(E93*I93,2)</f>
        <v/>
      </c>
    </row>
    <row r="94" hidden="1" outlineLevel="1" ht="15.6" customFormat="1" customHeight="1" s="152">
      <c r="A94" s="182" t="n">
        <v>65</v>
      </c>
      <c r="B94" s="191" t="inlineStr">
        <is>
          <t>14.5.01.10-0003</t>
        </is>
      </c>
      <c r="C94" s="198" t="inlineStr">
        <is>
          <t>Пена монтажная</t>
        </is>
      </c>
      <c r="D94" s="201" t="inlineStr">
        <is>
          <t>л</t>
        </is>
      </c>
      <c r="E94" s="199" t="n">
        <v>0.0002685</v>
      </c>
      <c r="F94" s="47" t="n">
        <v>46.86</v>
      </c>
      <c r="G94" s="47">
        <f>ROUND(E94*F94,2)</f>
        <v/>
      </c>
      <c r="H94" s="42">
        <f>G94/G97</f>
        <v/>
      </c>
      <c r="I94" s="187">
        <f>ROUND(F94*'Прил. 10'!$D$12,2)</f>
        <v/>
      </c>
      <c r="J94" s="187">
        <f>ROUND(E94*I94,2)</f>
        <v/>
      </c>
    </row>
    <row r="95" hidden="1" outlineLevel="1" ht="46.9" customFormat="1" customHeight="1" s="152">
      <c r="A95" s="182" t="n">
        <v>66</v>
      </c>
      <c r="B95" s="191" t="inlineStr">
        <is>
          <t>14.3.01.01-0001</t>
        </is>
      </c>
      <c r="C95" s="198" t="inlineStr">
        <is>
          <t>Грунтовка адгезионная для обработки плотных, гладких, слабо-и не впитывающих влагу оснований</t>
        </is>
      </c>
      <c r="D95" s="201" t="inlineStr">
        <is>
          <t>кг</t>
        </is>
      </c>
      <c r="E95" s="199" t="n">
        <v>0.0001228</v>
      </c>
      <c r="F95" s="47" t="n">
        <v>15.09</v>
      </c>
      <c r="G95" s="200">
        <f>ROUND(E95*F95,2)</f>
        <v/>
      </c>
      <c r="H95" s="42">
        <f>G95/G97</f>
        <v/>
      </c>
      <c r="I95" s="187">
        <f>ROUND(F95*'Прил. 10'!$D$12,2)</f>
        <v/>
      </c>
      <c r="J95" s="187">
        <f>ROUND(E95*I95,2)</f>
        <v/>
      </c>
    </row>
    <row r="96" collapsed="1" ht="15.6" customFormat="1" customHeight="1" s="152">
      <c r="A96" s="182" t="n"/>
      <c r="B96" s="182" t="inlineStr">
        <is>
          <t>Итого прочие Материалы</t>
        </is>
      </c>
      <c r="C96" s="213" t="n"/>
      <c r="D96" s="213" t="n"/>
      <c r="E96" s="213" t="n"/>
      <c r="F96" s="214" t="n"/>
      <c r="G96" s="187">
        <f>SUM(G54:G95)</f>
        <v/>
      </c>
      <c r="H96" s="42">
        <f>SUM(H54:H95)</f>
        <v/>
      </c>
      <c r="I96" s="187" t="n"/>
      <c r="J96" s="187">
        <f>SUM(J54:J95)</f>
        <v/>
      </c>
    </row>
    <row r="97" ht="15.6" customFormat="1" customHeight="1" s="152">
      <c r="A97" s="182" t="n"/>
      <c r="B97" s="182" t="inlineStr">
        <is>
          <t>Итого по разделу "Материалы"</t>
        </is>
      </c>
      <c r="C97" s="213" t="n"/>
      <c r="D97" s="213" t="n"/>
      <c r="E97" s="213" t="n"/>
      <c r="F97" s="214" t="n"/>
      <c r="G97" s="187">
        <f>G53+G96</f>
        <v/>
      </c>
      <c r="H97" s="42">
        <f>H53+H96</f>
        <v/>
      </c>
      <c r="I97" s="187" t="n"/>
      <c r="J97" s="187">
        <f>J53+J96</f>
        <v/>
      </c>
    </row>
    <row r="98" ht="15.6" customFormat="1" customHeight="1" s="152">
      <c r="A98" s="183" t="n"/>
      <c r="B98" s="201" t="n"/>
      <c r="C98" s="198" t="inlineStr">
        <is>
          <t>ИТОГО ПО РМ</t>
        </is>
      </c>
      <c r="D98" s="201" t="n"/>
      <c r="E98" s="201" t="n"/>
      <c r="F98" s="200" t="n"/>
      <c r="G98" s="200">
        <f>+G14+G39+G97</f>
        <v/>
      </c>
      <c r="H98" s="59" t="n"/>
      <c r="I98" s="187" t="n"/>
      <c r="J98" s="200">
        <f>+J14+J39+J97</f>
        <v/>
      </c>
    </row>
    <row r="99" ht="15.6" customFormat="1" customHeight="1" s="152">
      <c r="A99" s="183" t="n"/>
      <c r="B99" s="201" t="n"/>
      <c r="C99" s="198" t="inlineStr">
        <is>
          <t>Накладные расходы</t>
        </is>
      </c>
      <c r="D99" s="61" t="n">
        <v>1.0409189689991</v>
      </c>
      <c r="E99" s="201" t="n"/>
      <c r="F99" s="200" t="n"/>
      <c r="G99" s="200">
        <f>(G14+G16)*D99</f>
        <v/>
      </c>
      <c r="H99" s="59" t="n"/>
      <c r="I99" s="187" t="n"/>
      <c r="J99" s="187">
        <f>(J14+J16)*D99</f>
        <v/>
      </c>
    </row>
    <row r="100" ht="15.6" customFormat="1" customHeight="1" s="152">
      <c r="A100" s="183" t="n"/>
      <c r="B100" s="201" t="n"/>
      <c r="C100" s="198" t="inlineStr">
        <is>
          <t>Сметная прибыль</t>
        </is>
      </c>
      <c r="D100" s="61" t="n">
        <v>0.5953957620859101</v>
      </c>
      <c r="E100" s="201" t="n"/>
      <c r="F100" s="200" t="n"/>
      <c r="G100" s="200">
        <f>(G14+G16)*D100</f>
        <v/>
      </c>
      <c r="H100" s="59" t="n"/>
      <c r="I100" s="187" t="n"/>
      <c r="J100" s="187">
        <f>(J14+J16)*D100</f>
        <v/>
      </c>
    </row>
    <row r="101" ht="15.6" customFormat="1" customHeight="1" s="152">
      <c r="A101" s="183" t="n"/>
      <c r="B101" s="201" t="n"/>
      <c r="C101" s="198" t="inlineStr">
        <is>
          <t>Итого СМР (с НР и СП)</t>
        </is>
      </c>
      <c r="D101" s="201" t="n"/>
      <c r="E101" s="201" t="n"/>
      <c r="F101" s="200" t="n"/>
      <c r="G101" s="200">
        <f>G98+G99+G100</f>
        <v/>
      </c>
      <c r="H101" s="59" t="n"/>
      <c r="I101" s="187" t="n"/>
      <c r="J101" s="200">
        <f>J98+J99+J100</f>
        <v/>
      </c>
    </row>
    <row r="102" ht="15.6" customFormat="1" customHeight="1" s="152">
      <c r="A102" s="183" t="n"/>
      <c r="B102" s="201" t="n"/>
      <c r="C102" s="198" t="inlineStr">
        <is>
          <t>ВСЕГО СМР + ОБОРУДОВАНИЕ</t>
        </is>
      </c>
      <c r="D102" s="201" t="n"/>
      <c r="E102" s="201" t="n"/>
      <c r="F102" s="200" t="n"/>
      <c r="G102" s="200">
        <f>G45+G101</f>
        <v/>
      </c>
      <c r="H102" s="59" t="n"/>
      <c r="I102" s="187" t="n"/>
      <c r="J102" s="187">
        <f>J45+J101</f>
        <v/>
      </c>
    </row>
    <row r="103" ht="15.6" customFormat="1" customHeight="1" s="152">
      <c r="A103" s="183" t="n"/>
      <c r="B103" s="201" t="n"/>
      <c r="C103" s="198" t="inlineStr">
        <is>
          <t>ИТОГО ПОКАЗАТЕЛЬ НА ЕД. ИЗМ.</t>
        </is>
      </c>
      <c r="D103" s="201" t="inlineStr">
        <is>
          <t>ед.</t>
        </is>
      </c>
      <c r="E103" s="201" t="n">
        <v>270</v>
      </c>
      <c r="F103" s="200" t="n"/>
      <c r="G103" s="200">
        <f>G102/E103</f>
        <v/>
      </c>
      <c r="H103" s="59" t="n"/>
      <c r="I103" s="187" t="n"/>
      <c r="J103" s="200">
        <f>J102/E103</f>
        <v/>
      </c>
    </row>
    <row r="104" ht="15.6" customFormat="1" customHeight="1" s="152">
      <c r="E104" s="152" t="n"/>
      <c r="F104" s="129" t="n"/>
      <c r="G104" s="129" t="n"/>
      <c r="I104" s="129" t="n"/>
      <c r="J104" s="129" t="n"/>
    </row>
    <row r="105" ht="15.6" customFormat="1" customHeight="1" s="152">
      <c r="B105" s="152" t="inlineStr">
        <is>
          <t>Составил ______________________        М.С. Колотиевская</t>
        </is>
      </c>
    </row>
    <row r="106" ht="15.6" customFormat="1" customHeight="1" s="152">
      <c r="B106" s="98" t="inlineStr">
        <is>
          <t xml:space="preserve">                         (подпись, инициалы, фамилия)</t>
        </is>
      </c>
    </row>
    <row r="107" ht="15.6" customFormat="1" customHeight="1" s="152"/>
    <row r="108" ht="15.6" customFormat="1" customHeight="1" s="152">
      <c r="B108" s="152" t="inlineStr">
        <is>
          <t>Проверил ______________________          А.В. Костянецкая</t>
        </is>
      </c>
    </row>
    <row r="109" ht="15.6" customFormat="1" customHeight="1" s="152">
      <c r="B109" s="98" t="inlineStr">
        <is>
          <t xml:space="preserve">                        (подпись, инициалы, фамилия)</t>
        </is>
      </c>
    </row>
    <row r="110" ht="15.6" customFormat="1" customHeight="1" s="152">
      <c r="E110" s="152" t="n"/>
      <c r="F110" s="129" t="n"/>
      <c r="G110" s="129" t="n"/>
      <c r="I110" s="129" t="n"/>
      <c r="J110" s="129" t="n"/>
    </row>
  </sheetData>
  <mergeCells count="28">
    <mergeCell ref="H9:H10"/>
    <mergeCell ref="B15:H15"/>
    <mergeCell ref="H2:J2"/>
    <mergeCell ref="B96:F96"/>
    <mergeCell ref="C9:C10"/>
    <mergeCell ref="E9:E10"/>
    <mergeCell ref="B39:F39"/>
    <mergeCell ref="B40:J40"/>
    <mergeCell ref="B47:H47"/>
    <mergeCell ref="B23:F23"/>
    <mergeCell ref="B53:F53"/>
    <mergeCell ref="B9:B10"/>
    <mergeCell ref="D9:D10"/>
    <mergeCell ref="B18:H18"/>
    <mergeCell ref="B38:F38"/>
    <mergeCell ref="B12:H12"/>
    <mergeCell ref="D6:J6"/>
    <mergeCell ref="A7:D7"/>
    <mergeCell ref="B41:J41"/>
    <mergeCell ref="B48:H48"/>
    <mergeCell ref="F9:G9"/>
    <mergeCell ref="A4:H4"/>
    <mergeCell ref="B17:H17"/>
    <mergeCell ref="A9:A10"/>
    <mergeCell ref="A6:C6"/>
    <mergeCell ref="B43:J43"/>
    <mergeCell ref="I9:J9"/>
    <mergeCell ref="B97:F97"/>
  </mergeCells>
  <conditionalFormatting sqref="E13:E110">
    <cfRule type="expression" priority="1" dxfId="0" stopIfTrue="1">
      <formula>E13&gt;=1/10000</formula>
    </cfRule>
  </conditionalFormatting>
  <pageMargins left="0.7" right="0.7" top="0.75" bottom="0.75" header="0.3" footer="0.3"/>
  <pageSetup orientation="portrait" paperSize="9" scale="54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19"/>
  <sheetViews>
    <sheetView view="pageBreakPreview" zoomScale="60" zoomScaleNormal="100" workbookViewId="0">
      <selection activeCell="A18" sqref="A18"/>
    </sheetView>
  </sheetViews>
  <sheetFormatPr baseColWidth="8" defaultColWidth="9.140625" defaultRowHeight="15"/>
  <cols>
    <col width="5.5703125" customWidth="1" style="150" min="1" max="1"/>
    <col width="14.85546875" customWidth="1" style="150" min="2" max="2"/>
    <col width="39.140625" customWidth="1" style="150" min="3" max="3"/>
    <col width="8.42578125" customWidth="1" style="150" min="4" max="4"/>
    <col width="13.42578125" customWidth="1" style="150" min="5" max="5"/>
    <col width="12.42578125" customWidth="1" style="150" min="6" max="6"/>
    <col width="14.140625" customWidth="1" style="150" min="7" max="7"/>
    <col width="9.140625" customWidth="1" style="150" min="8" max="8"/>
  </cols>
  <sheetData>
    <row r="1" ht="15.6" customHeight="1" s="150">
      <c r="A1" s="193" t="inlineStr">
        <is>
          <t>Приложение №6</t>
        </is>
      </c>
    </row>
    <row r="2" ht="21.75" customHeight="1" s="150">
      <c r="A2" s="193" t="n"/>
      <c r="B2" s="193" t="n"/>
      <c r="C2" s="193" t="n"/>
      <c r="D2" s="193" t="n"/>
      <c r="E2" s="193" t="n"/>
      <c r="F2" s="193" t="n"/>
      <c r="G2" s="193" t="n"/>
    </row>
    <row r="3" ht="15.6" customHeight="1" s="150">
      <c r="A3" s="169" t="inlineStr">
        <is>
          <t>Расчет стоимости оборудования</t>
        </is>
      </c>
    </row>
    <row r="4" ht="25.5" customHeight="1" s="150">
      <c r="A4" s="194" t="inlineStr">
        <is>
          <t>Наименование разрабатываемого показателя УНЦ —  Наружные сети водопровода/канализации</t>
        </is>
      </c>
    </row>
    <row r="5" ht="15.6" customHeight="1" s="150">
      <c r="A5" s="152" t="n"/>
      <c r="B5" s="152" t="n"/>
      <c r="C5" s="152" t="n"/>
      <c r="D5" s="152" t="n"/>
      <c r="E5" s="152" t="n"/>
      <c r="F5" s="152" t="n"/>
      <c r="G5" s="152" t="n"/>
    </row>
    <row r="6" ht="30.2" customFormat="1" customHeight="1" s="152">
      <c r="A6" s="201" t="inlineStr">
        <is>
          <t>№ пп.</t>
        </is>
      </c>
      <c r="B6" s="201" t="inlineStr">
        <is>
          <t>Код ресурса</t>
        </is>
      </c>
      <c r="C6" s="201" t="inlineStr">
        <is>
          <t>Наименование</t>
        </is>
      </c>
      <c r="D6" s="201" t="inlineStr">
        <is>
          <t>Ед. изм.</t>
        </is>
      </c>
      <c r="E6" s="186" t="inlineStr">
        <is>
          <t>Кол-во единиц по проектным данным</t>
        </is>
      </c>
      <c r="F6" s="201" t="inlineStr">
        <is>
          <t>Сметная стоимость в ценах на 01.01.2000 (руб.)</t>
        </is>
      </c>
      <c r="G6" s="214" t="n"/>
    </row>
    <row r="7" ht="15.6" customFormat="1" customHeight="1" s="152">
      <c r="A7" s="216" t="n"/>
      <c r="B7" s="216" t="n"/>
      <c r="C7" s="216" t="n"/>
      <c r="D7" s="216" t="n"/>
      <c r="E7" s="216" t="n"/>
      <c r="F7" s="186" t="inlineStr">
        <is>
          <t>на ед. изм.</t>
        </is>
      </c>
      <c r="G7" s="186" t="inlineStr">
        <is>
          <t>общая</t>
        </is>
      </c>
    </row>
    <row r="8" ht="15.6" customFormat="1" customHeight="1" s="152">
      <c r="A8" s="186" t="n">
        <v>1</v>
      </c>
      <c r="B8" s="186" t="n">
        <v>2</v>
      </c>
      <c r="C8" s="186" t="n">
        <v>3</v>
      </c>
      <c r="D8" s="186" t="n">
        <v>4</v>
      </c>
      <c r="E8" s="186" t="n">
        <v>5</v>
      </c>
      <c r="F8" s="186" t="n">
        <v>6</v>
      </c>
      <c r="G8" s="186" t="n">
        <v>7</v>
      </c>
    </row>
    <row r="9" ht="15.6" customFormat="1" customHeight="1" s="152">
      <c r="A9" s="183" t="n"/>
      <c r="B9" s="198" t="inlineStr">
        <is>
          <t>ИНЖЕНЕРНОЕ ОБОРУДОВАНИЕ</t>
        </is>
      </c>
      <c r="C9" s="213" t="n"/>
      <c r="D9" s="213" t="n"/>
      <c r="E9" s="213" t="n"/>
      <c r="F9" s="213" t="n"/>
      <c r="G9" s="214" t="n"/>
    </row>
    <row r="10" ht="31.35" customFormat="1" customHeight="1" s="152">
      <c r="A10" s="201" t="n"/>
      <c r="B10" s="67" t="n"/>
      <c r="C10" s="198" t="inlineStr">
        <is>
          <t>ИТОГО ИНЖЕНЕРНОЕ ОБОРУДОВАНИЕ</t>
        </is>
      </c>
      <c r="D10" s="67" t="n"/>
      <c r="E10" s="68" t="n"/>
      <c r="F10" s="200" t="n"/>
      <c r="G10" s="200" t="n">
        <v>0</v>
      </c>
    </row>
    <row r="11" ht="15.6" customFormat="1" customHeight="1" s="152">
      <c r="A11" s="201" t="n"/>
      <c r="B11" s="198" t="inlineStr">
        <is>
          <t>ТЕХНОЛОГИЧЕСКОЕ ОБОРУДОВАНИЕ</t>
        </is>
      </c>
      <c r="C11" s="213" t="n"/>
      <c r="D11" s="213" t="n"/>
      <c r="E11" s="213" t="n"/>
      <c r="F11" s="213" t="n"/>
      <c r="G11" s="214" t="n"/>
    </row>
    <row r="12" ht="31.35" customFormat="1" customHeight="1" s="152">
      <c r="A12" s="201" t="n"/>
      <c r="B12" s="198" t="n"/>
      <c r="C12" s="198" t="inlineStr">
        <is>
          <t>ИТОГО ТЕХНОЛОГИЧЕСКОЕ ОБОРУДОВАНИЕ</t>
        </is>
      </c>
      <c r="D12" s="198" t="n"/>
      <c r="E12" s="199" t="n"/>
      <c r="F12" s="200" t="n"/>
      <c r="G12" s="200" t="n">
        <v>0</v>
      </c>
    </row>
    <row r="13" ht="15.6" customFormat="1" customHeight="1" s="152">
      <c r="A13" s="201" t="n"/>
      <c r="B13" s="198" t="n"/>
      <c r="C13" s="198" t="inlineStr">
        <is>
          <t>Итого по разделу "Оборудование"</t>
        </is>
      </c>
      <c r="D13" s="198" t="n"/>
      <c r="E13" s="199" t="n"/>
      <c r="F13" s="200" t="n"/>
      <c r="G13" s="200" t="n">
        <v>0</v>
      </c>
    </row>
    <row r="14" ht="15.6" customFormat="1" customHeight="1" s="152">
      <c r="B14" s="193" t="n"/>
    </row>
    <row r="15" ht="15.6" customFormat="1" customHeight="1" s="152">
      <c r="A15" s="152" t="inlineStr">
        <is>
          <t>Составил ______________________        М.С. Колотиевская</t>
        </is>
      </c>
      <c r="B15" s="152" t="n"/>
      <c r="C15" s="152" t="n"/>
    </row>
    <row r="16" ht="15.6" customFormat="1" customHeight="1" s="152">
      <c r="A16" s="98" t="inlineStr">
        <is>
          <t xml:space="preserve">                         (подпись, инициалы, фамилия)</t>
        </is>
      </c>
      <c r="B16" s="152" t="n"/>
      <c r="C16" s="152" t="n"/>
    </row>
    <row r="17" ht="15.6" customFormat="1" customHeight="1" s="152">
      <c r="A17" s="152" t="n"/>
      <c r="B17" s="152" t="n"/>
      <c r="C17" s="152" t="n"/>
    </row>
    <row r="18" ht="15.6" customFormat="1" customHeight="1" s="152">
      <c r="A18" s="152" t="inlineStr">
        <is>
          <t>Проверил ______________________          А.В. Костянецкая</t>
        </is>
      </c>
      <c r="B18" s="152" t="n"/>
      <c r="C18" s="152" t="n"/>
    </row>
    <row r="19" ht="15.6" customFormat="1" customHeight="1" s="152">
      <c r="A19" s="98" t="inlineStr">
        <is>
          <t xml:space="preserve">                        (подпись, инициалы, фамилия)</t>
        </is>
      </c>
      <c r="B19" s="152" t="n"/>
      <c r="C19" s="152" t="n"/>
    </row>
    <row r="20" ht="15.6" customFormat="1" customHeight="1" s="152"/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E17"/>
  <sheetViews>
    <sheetView view="pageBreakPreview" workbookViewId="0">
      <selection activeCell="A16" sqref="A16"/>
    </sheetView>
  </sheetViews>
  <sheetFormatPr baseColWidth="8" defaultColWidth="8.85546875" defaultRowHeight="15"/>
  <cols>
    <col width="14.42578125" customWidth="1" style="150" min="1" max="1"/>
    <col width="29.5703125" customWidth="1" style="150" min="2" max="2"/>
    <col width="39.140625" customWidth="1" style="150" min="3" max="3"/>
    <col width="24.42578125" customWidth="1" style="150" min="4" max="4"/>
    <col width="8.85546875" customWidth="1" style="150" min="5" max="5"/>
  </cols>
  <sheetData>
    <row r="1">
      <c r="B1" s="137" t="n"/>
      <c r="C1" s="137" t="n"/>
      <c r="D1" s="134" t="inlineStr">
        <is>
          <t>Приложение №7</t>
        </is>
      </c>
    </row>
    <row r="2">
      <c r="A2" s="134" t="n"/>
      <c r="B2" s="134" t="n"/>
      <c r="C2" s="134" t="n"/>
      <c r="D2" s="134" t="n"/>
    </row>
    <row r="3" ht="24.75" customHeight="1" s="150">
      <c r="A3" s="202" t="inlineStr">
        <is>
          <t>Расчет показателя УНЦ</t>
        </is>
      </c>
    </row>
    <row r="4" ht="24.75" customHeight="1" s="150">
      <c r="A4" s="202" t="n"/>
      <c r="B4" s="202" t="n"/>
      <c r="C4" s="202" t="n"/>
      <c r="D4" s="202" t="n"/>
    </row>
    <row r="5" ht="24.6" customHeight="1" s="150">
      <c r="A5" s="203" t="inlineStr">
        <is>
          <t xml:space="preserve">Наименование разрабатываемого показателя УНЦ - </t>
        </is>
      </c>
      <c r="D5" s="203">
        <f>'Прил.5 Расчет СМР и ОБ'!D6:J6</f>
        <v/>
      </c>
    </row>
    <row r="6" ht="19.9" customHeight="1" s="150">
      <c r="A6" s="203" t="inlineStr">
        <is>
          <t>Единица измерения  — пог.м</t>
        </is>
      </c>
      <c r="D6" s="203" t="n"/>
    </row>
    <row r="7">
      <c r="A7" s="137" t="n"/>
      <c r="B7" s="137" t="n"/>
      <c r="C7" s="137" t="n"/>
      <c r="D7" s="137" t="n"/>
    </row>
    <row r="8" ht="14.45" customHeight="1" s="150">
      <c r="A8" s="186" t="inlineStr">
        <is>
          <t>Код показателя</t>
        </is>
      </c>
      <c r="B8" s="186" t="inlineStr">
        <is>
          <t>Наименование показателя</t>
        </is>
      </c>
      <c r="C8" s="186" t="inlineStr">
        <is>
          <t>Наименование РМ, входящих в состав показателя</t>
        </is>
      </c>
      <c r="D8" s="186" t="inlineStr">
        <is>
          <t>Норматив цены на 01.01.2023, тыс.руб.</t>
        </is>
      </c>
    </row>
    <row r="9" ht="15" customHeight="1" s="150">
      <c r="A9" s="216" t="n"/>
      <c r="B9" s="216" t="n"/>
      <c r="C9" s="216" t="n"/>
      <c r="D9" s="216" t="n"/>
    </row>
    <row r="10">
      <c r="A10" s="167" t="n">
        <v>1</v>
      </c>
      <c r="B10" s="167" t="n">
        <v>2</v>
      </c>
      <c r="C10" s="167" t="n">
        <v>3</v>
      </c>
      <c r="D10" s="167" t="n">
        <v>4</v>
      </c>
    </row>
    <row r="11" ht="41.45" customHeight="1" s="150">
      <c r="A11" s="167" t="inlineStr">
        <is>
          <t>З8-17</t>
        </is>
      </c>
      <c r="B11" s="167" t="inlineStr">
        <is>
          <t>УНЦ прочих здания и сооружений ПС</t>
        </is>
      </c>
      <c r="C11" s="139">
        <f>D5</f>
        <v/>
      </c>
      <c r="D11" s="140">
        <f>'Прил.4 РМ'!C41/1000</f>
        <v/>
      </c>
      <c r="E11" s="131" t="n"/>
    </row>
    <row r="12">
      <c r="A12" s="141" t="n"/>
      <c r="B12" s="142" t="n"/>
      <c r="C12" s="141" t="n"/>
      <c r="D12" s="141" t="n"/>
    </row>
    <row r="13">
      <c r="A13" s="137" t="inlineStr">
        <is>
          <t>Составил ______________________      М.С. Колотиевская</t>
        </is>
      </c>
      <c r="B13" s="143" t="n"/>
      <c r="C13" s="143" t="n"/>
      <c r="D13" s="141" t="n"/>
    </row>
    <row r="14">
      <c r="A14" s="144" t="inlineStr">
        <is>
          <t xml:space="preserve">                         (подпись, инициалы, фамилия)</t>
        </is>
      </c>
      <c r="B14" s="143" t="n"/>
      <c r="C14" s="143" t="n"/>
      <c r="D14" s="141" t="n"/>
    </row>
    <row r="15">
      <c r="A15" s="137" t="n"/>
      <c r="B15" s="143" t="n"/>
      <c r="C15" s="143" t="n"/>
      <c r="D15" s="141" t="n"/>
    </row>
    <row r="16" ht="15.75" customHeight="1" s="150">
      <c r="A16" s="152" t="inlineStr">
        <is>
          <t>Проверил ______________________          А.В. Костянецкая</t>
        </is>
      </c>
      <c r="B16" s="143" t="n"/>
      <c r="C16" s="143" t="n"/>
      <c r="D16" s="141" t="n"/>
    </row>
    <row r="17">
      <c r="A17" s="144" t="inlineStr">
        <is>
          <t xml:space="preserve">                        (подпись, инициалы, фамилия)</t>
        </is>
      </c>
      <c r="B17" s="143" t="n"/>
      <c r="C17" s="143" t="n"/>
      <c r="D17" s="141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7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4:E30"/>
  <sheetViews>
    <sheetView view="pageBreakPreview" topLeftCell="A6" zoomScale="60" zoomScaleNormal="100" workbookViewId="0">
      <selection activeCell="J30" sqref="J30"/>
    </sheetView>
  </sheetViews>
  <sheetFormatPr baseColWidth="8" defaultColWidth="9.140625" defaultRowHeight="15"/>
  <cols>
    <col width="9.140625" customWidth="1" style="150" min="1" max="1"/>
    <col width="40.5703125" customWidth="1" style="150" min="2" max="2"/>
    <col width="37" customWidth="1" style="150" min="3" max="3"/>
    <col width="32" customWidth="1" style="150" min="4" max="4"/>
    <col width="9.140625" customWidth="1" style="150" min="5" max="5"/>
  </cols>
  <sheetData>
    <row r="4" ht="15.6" customHeight="1" s="150">
      <c r="B4" s="168" t="inlineStr">
        <is>
          <t>Приложение № 10</t>
        </is>
      </c>
    </row>
    <row r="5" ht="18" customHeight="1" s="150">
      <c r="B5" s="8" t="n"/>
    </row>
    <row r="6" ht="15.6" customHeight="1" s="150">
      <c r="B6" s="169" t="inlineStr">
        <is>
          <t>Используемые индексы изменений сметной стоимости и нормы сопутствующих затрат</t>
        </is>
      </c>
    </row>
    <row r="7" ht="18" customHeight="1" s="150">
      <c r="B7" s="9" t="n"/>
    </row>
    <row r="8" ht="46.9" customFormat="1" customHeight="1" s="152">
      <c r="B8" s="186" t="inlineStr">
        <is>
          <t>Наименование индекса / норм сопутствующих затрат</t>
        </is>
      </c>
      <c r="C8" s="186" t="inlineStr">
        <is>
          <t>Дата применения и обоснование индекса / норм сопутствующих затрат</t>
        </is>
      </c>
      <c r="D8" s="186" t="inlineStr">
        <is>
          <t>Размер индекса / норма сопутствующих затрат</t>
        </is>
      </c>
    </row>
    <row r="9" ht="15.6" customFormat="1" customHeight="1" s="152">
      <c r="B9" s="186" t="n">
        <v>1</v>
      </c>
      <c r="C9" s="186" t="n">
        <v>2</v>
      </c>
      <c r="D9" s="186" t="n">
        <v>3</v>
      </c>
    </row>
    <row r="10" ht="31.35" customFormat="1" customHeight="1" s="152">
      <c r="B10" s="186" t="inlineStr">
        <is>
          <t xml:space="preserve">Индекс изменения сметной стоимости на 1 квартал 2023 года. ОЗП </t>
        </is>
      </c>
      <c r="C10" s="186" t="inlineStr">
        <is>
          <t>Письмо Минстроя России от 30.03.2023г. №17106-ИФ/09  прил.1</t>
        </is>
      </c>
      <c r="D10" s="186" t="n">
        <v>44.29</v>
      </c>
    </row>
    <row r="11" ht="31.35" customFormat="1" customHeight="1" s="152">
      <c r="B11" s="186" t="inlineStr">
        <is>
          <t>Индекс изменения сметной стоимости на 1 квартал 2023 года. ЭМ</t>
        </is>
      </c>
      <c r="C11" s="186" t="inlineStr">
        <is>
          <t>Письмо Минстроя России от 30.03.2023г. №17106-ИФ/09  прил.1</t>
        </is>
      </c>
      <c r="D11" s="186" t="n">
        <v>13.47</v>
      </c>
    </row>
    <row r="12" ht="31.35" customFormat="1" customHeight="1" s="152">
      <c r="B12" s="186" t="inlineStr">
        <is>
          <t>Индекс изменения сметной стоимости на 1 квартал 2023 года. МАТ</t>
        </is>
      </c>
      <c r="C12" s="186" t="inlineStr">
        <is>
          <t>Письмо Минстроя России от 30.03.2023г. №17106-ИФ/09  прил.1</t>
        </is>
      </c>
      <c r="D12" s="186" t="n">
        <v>8.039999999999999</v>
      </c>
    </row>
    <row r="13" ht="31.35" customFormat="1" customHeight="1" s="152">
      <c r="B13" s="186" t="inlineStr">
        <is>
          <t>Индекс изменения сметной стоимости на 1 квартал 2023 года. ОБ</t>
        </is>
      </c>
      <c r="C13" s="102" t="inlineStr">
        <is>
          <t>Письмо Минстроя России от 23.02.2023г. №9791-ИФ/09 прил.6</t>
        </is>
      </c>
      <c r="D13" s="186" t="n">
        <v>6.26</v>
      </c>
    </row>
    <row r="14" ht="78" customFormat="1" customHeight="1" s="152">
      <c r="B14" s="186" t="inlineStr">
        <is>
          <t>Временные здания и сооружения</t>
        </is>
      </c>
      <c r="C14" s="186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4" s="12" t="n">
        <v>0.039</v>
      </c>
    </row>
    <row r="15" ht="78" customFormat="1" customHeight="1" s="152">
      <c r="B15" s="186" t="inlineStr">
        <is>
          <t>Дополнительные затраты при производстве строительно-монтажных работ в зимнее время</t>
        </is>
      </c>
      <c r="C15" s="186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5" s="12" t="n">
        <v>0.021</v>
      </c>
      <c r="E15" s="101" t="n"/>
    </row>
    <row r="16" ht="31.35" customFormat="1" customHeight="1" s="152">
      <c r="B16" s="186" t="inlineStr">
        <is>
          <t>Пусконаладочные работы</t>
        </is>
      </c>
      <c r="C16" s="186" t="n"/>
      <c r="D16" s="186" t="inlineStr">
        <is>
          <t>Расчёт</t>
        </is>
      </c>
    </row>
    <row r="17" ht="31.35" customFormat="1" customHeight="1" s="152">
      <c r="B17" s="186" t="inlineStr">
        <is>
          <t>Строительный контроль</t>
        </is>
      </c>
      <c r="C17" s="186" t="inlineStr">
        <is>
          <t>Постановление Правительства РФ от 21.06.10 г. № 468</t>
        </is>
      </c>
      <c r="D17" s="12" t="n">
        <v>0.0214</v>
      </c>
    </row>
    <row r="18" ht="15.6" customFormat="1" customHeight="1" s="152">
      <c r="B18" s="186" t="inlineStr">
        <is>
          <t>Авторский надзор</t>
        </is>
      </c>
      <c r="C18" s="186" t="inlineStr">
        <is>
          <t>Приказ от 4.08.2020 № 421/пр п.173</t>
        </is>
      </c>
      <c r="D18" s="12" t="n">
        <v>0.002</v>
      </c>
    </row>
    <row r="19" ht="15.6" customFormat="1" customHeight="1" s="152">
      <c r="B19" s="186" t="inlineStr">
        <is>
          <t>Непредвиденные расходы</t>
        </is>
      </c>
      <c r="C19" s="186" t="inlineStr">
        <is>
          <t>Приказ от 4.08.2020 № 421/пр п.179</t>
        </is>
      </c>
      <c r="D19" s="12" t="n">
        <v>0.03</v>
      </c>
    </row>
    <row r="20" ht="15.6" customFormat="1" customHeight="1" s="152">
      <c r="B20" s="170" t="n"/>
    </row>
    <row r="21" ht="15.6" customFormat="1" customHeight="1" s="152">
      <c r="B21" s="170" t="n"/>
    </row>
    <row r="22" ht="15.6" customFormat="1" customHeight="1" s="152">
      <c r="B22" s="170" t="n"/>
    </row>
    <row r="23" ht="15.6" customFormat="1" customHeight="1" s="152">
      <c r="B23" s="170" t="n"/>
    </row>
    <row r="24" ht="15.6" customFormat="1" customHeight="1" s="152"/>
    <row r="25" ht="15.6" customFormat="1" customHeight="1" s="152"/>
    <row r="26" ht="15.6" customFormat="1" customHeight="1" s="152">
      <c r="B26" s="152" t="inlineStr">
        <is>
          <t>Составил ______________________        М.С. Колотиевская</t>
        </is>
      </c>
      <c r="C26" s="152" t="n"/>
    </row>
    <row r="27" ht="15.6" customFormat="1" customHeight="1" s="152">
      <c r="B27" s="98" t="inlineStr">
        <is>
          <t xml:space="preserve">                         (подпись, инициалы, фамилия)</t>
        </is>
      </c>
      <c r="C27" s="152" t="n"/>
    </row>
    <row r="28" ht="15.6" customFormat="1" customHeight="1" s="152">
      <c r="B28" s="152" t="n"/>
      <c r="C28" s="152" t="n"/>
    </row>
    <row r="29" ht="15.6" customFormat="1" customHeight="1" s="152">
      <c r="B29" s="152" t="inlineStr">
        <is>
          <t>Проверил ______________________          А.В. Костянецкая</t>
        </is>
      </c>
      <c r="C29" s="152" t="n"/>
    </row>
    <row r="30" ht="15.6" customFormat="1" customHeight="1" s="152">
      <c r="B30" s="98" t="inlineStr">
        <is>
          <t xml:space="preserve">                        (подпись, инициалы, фамилия)</t>
        </is>
      </c>
      <c r="C30" s="152" t="n"/>
    </row>
    <row r="31" ht="15.6" customFormat="1" customHeight="1" s="152"/>
    <row r="32" ht="15.6" customFormat="1" customHeight="1" s="152"/>
  </sheetData>
  <mergeCells count="2">
    <mergeCell ref="B6:D6"/>
    <mergeCell ref="B4:D4"/>
  </mergeCells>
  <pageMargins left="0.7" right="0.7" top="0.75" bottom="0.75" header="0.3" footer="0.3"/>
  <pageSetup orientation="portrait" scale="76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G13"/>
  <sheetViews>
    <sheetView tabSelected="1" view="pageBreakPreview" zoomScale="60" zoomScaleNormal="100" workbookViewId="0">
      <selection activeCell="A13" sqref="A13:F13"/>
    </sheetView>
  </sheetViews>
  <sheetFormatPr baseColWidth="8" defaultColWidth="9.140625" defaultRowHeight="15"/>
  <cols>
    <col width="44.85546875" customWidth="1" style="150" min="2" max="2"/>
    <col width="13" customWidth="1" style="150" min="3" max="3"/>
    <col width="22.85546875" customWidth="1" style="150" min="4" max="4"/>
    <col width="21.5703125" customWidth="1" style="150" min="5" max="5"/>
    <col width="43.85546875" customWidth="1" style="150" min="6" max="6"/>
  </cols>
  <sheetData>
    <row r="1" s="150"/>
    <row r="2" ht="18" customHeight="1" s="150">
      <c r="A2" s="169" t="inlineStr">
        <is>
          <t>Расчет размера средств на оплату труда рабочих-строителей в текущем уровне цен (ФОТр.тек.)</t>
        </is>
      </c>
    </row>
    <row r="3" s="150"/>
    <row r="4" ht="18" customHeight="1" s="150">
      <c r="A4" s="151" t="inlineStr">
        <is>
          <t>Составлен в уровне цен на 01.01.2023 г.</t>
        </is>
      </c>
      <c r="B4" s="152" t="n"/>
      <c r="C4" s="152" t="n"/>
      <c r="D4" s="152" t="n"/>
      <c r="E4" s="152" t="n"/>
      <c r="F4" s="152" t="n"/>
      <c r="G4" s="152" t="n"/>
    </row>
    <row r="5" ht="15.6" customHeight="1" s="150">
      <c r="A5" s="153" t="inlineStr">
        <is>
          <t>№ пп.</t>
        </is>
      </c>
      <c r="B5" s="153" t="inlineStr">
        <is>
          <t>Наименование элемента</t>
        </is>
      </c>
      <c r="C5" s="153" t="inlineStr">
        <is>
          <t>Обозначение</t>
        </is>
      </c>
      <c r="D5" s="153" t="inlineStr">
        <is>
          <t>Формула</t>
        </is>
      </c>
      <c r="E5" s="153" t="inlineStr">
        <is>
          <t>Величина элемента</t>
        </is>
      </c>
      <c r="F5" s="153" t="inlineStr">
        <is>
          <t>Наименования обосновывающих документов</t>
        </is>
      </c>
      <c r="G5" s="152" t="n"/>
    </row>
    <row r="6" ht="15.6" customHeight="1" s="150">
      <c r="A6" s="153" t="n">
        <v>1</v>
      </c>
      <c r="B6" s="153" t="n">
        <v>2</v>
      </c>
      <c r="C6" s="153" t="n">
        <v>3</v>
      </c>
      <c r="D6" s="153" t="n">
        <v>4</v>
      </c>
      <c r="E6" s="153" t="n">
        <v>5</v>
      </c>
      <c r="F6" s="153" t="n">
        <v>6</v>
      </c>
      <c r="G6" s="152" t="n"/>
    </row>
    <row r="7" ht="109.15" customHeight="1" s="150">
      <c r="A7" s="154" t="inlineStr">
        <is>
          <t>1.1</t>
        </is>
      </c>
      <c r="B7" s="159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186" t="inlineStr">
        <is>
          <t>С1ср</t>
        </is>
      </c>
      <c r="D7" s="186" t="inlineStr">
        <is>
          <t>-</t>
        </is>
      </c>
      <c r="E7" s="157" t="n">
        <v>47872.94</v>
      </c>
      <c r="F7" s="159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52" t="n"/>
    </row>
    <row r="8" ht="31.15" customHeight="1" s="150">
      <c r="A8" s="154" t="inlineStr">
        <is>
          <t>1.2</t>
        </is>
      </c>
      <c r="B8" s="159" t="inlineStr">
        <is>
          <t>Среднегодовое нормативное число часов работы одного рабочего в месяц, часы (ч.)</t>
        </is>
      </c>
      <c r="C8" s="186" t="inlineStr">
        <is>
          <t>tср</t>
        </is>
      </c>
      <c r="D8" s="186" t="inlineStr">
        <is>
          <t>1973ч/12мес.</t>
        </is>
      </c>
      <c r="E8" s="158">
        <f>1973/12</f>
        <v/>
      </c>
      <c r="F8" s="159" t="inlineStr">
        <is>
          <t>Производственный календарь 2023 год
(40-часов.неделя)</t>
        </is>
      </c>
      <c r="G8" s="161" t="n"/>
    </row>
    <row r="9" ht="15.6" customHeight="1" s="150">
      <c r="A9" s="154" t="inlineStr">
        <is>
          <t>1.3</t>
        </is>
      </c>
      <c r="B9" s="159" t="inlineStr">
        <is>
          <t>Коэффициент увеличения</t>
        </is>
      </c>
      <c r="C9" s="186" t="inlineStr">
        <is>
          <t>Кув</t>
        </is>
      </c>
      <c r="D9" s="186" t="inlineStr">
        <is>
          <t>-</t>
        </is>
      </c>
      <c r="E9" s="158" t="n">
        <v>1</v>
      </c>
      <c r="F9" s="159" t="n"/>
      <c r="G9" s="161" t="n"/>
    </row>
    <row r="10" ht="15.6" customHeight="1" s="150">
      <c r="A10" s="154" t="inlineStr">
        <is>
          <t>1.4</t>
        </is>
      </c>
      <c r="B10" s="159" t="inlineStr">
        <is>
          <t>Средний разряд работ</t>
        </is>
      </c>
      <c r="C10" s="186" t="n"/>
      <c r="D10" s="186" t="n"/>
      <c r="E10" s="162" t="n">
        <v>2.7</v>
      </c>
      <c r="F10" s="159" t="inlineStr">
        <is>
          <t>РТМ</t>
        </is>
      </c>
      <c r="G10" s="161" t="n"/>
    </row>
    <row r="11" ht="78" customHeight="1" s="150">
      <c r="A11" s="154" t="inlineStr">
        <is>
          <t>1.5</t>
        </is>
      </c>
      <c r="B11" s="159" t="inlineStr">
        <is>
          <t>Тарифный коэффициент среднего разряда работ</t>
        </is>
      </c>
      <c r="C11" s="186" t="inlineStr">
        <is>
          <t>КТ</t>
        </is>
      </c>
      <c r="D11" s="186" t="inlineStr">
        <is>
          <t>-</t>
        </is>
      </c>
      <c r="E11" s="163" t="n">
        <v>1.156</v>
      </c>
      <c r="F11" s="159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52" t="n"/>
    </row>
    <row r="12" ht="78" customHeight="1" s="150">
      <c r="A12" s="154" t="inlineStr">
        <is>
          <t>1.6</t>
        </is>
      </c>
      <c r="B12" s="197" t="inlineStr">
        <is>
          <t>Коэффициент инфляции, определяемый поквартально</t>
        </is>
      </c>
      <c r="C12" s="186" t="inlineStr">
        <is>
          <t>Кинф</t>
        </is>
      </c>
      <c r="D12" s="186" t="inlineStr">
        <is>
          <t>-</t>
        </is>
      </c>
      <c r="E12" s="165" t="n">
        <v>1.139</v>
      </c>
      <c r="F12" s="189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61" t="n"/>
    </row>
    <row r="13" ht="62.45" customHeight="1" s="150">
      <c r="A13" s="204" t="inlineStr">
        <is>
          <t>1.7</t>
        </is>
      </c>
      <c r="B13" s="205" t="inlineStr">
        <is>
          <t>Размер средств на оплату труда рабочих-строителей в текущем уровне цен (ФОТр.тек.), руб/чел.-ч</t>
        </is>
      </c>
      <c r="C13" s="206" t="inlineStr">
        <is>
          <t>ФОТр.тек.</t>
        </is>
      </c>
      <c r="D13" s="206" t="inlineStr">
        <is>
          <t>(С1ср/tср*КТ*Т*Кув)*Кинф</t>
        </is>
      </c>
      <c r="E13" s="207">
        <f>((E7*E9/E8)*E11)*E12</f>
        <v/>
      </c>
      <c r="F13" s="208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52" t="n"/>
    </row>
  </sheetData>
  <mergeCells count="1">
    <mergeCell ref="A2:F2"/>
  </mergeCells>
  <pageMargins left="0.7" right="0.7" top="0.75" bottom="0.75" header="0.3" footer="0.3"/>
  <pageSetup orientation="portrait" scale="58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KM</dc:creator>
  <dcterms:created xsi:type="dcterms:W3CDTF">2023-08-25T11:35:03Z</dcterms:created>
  <dcterms:modified xsi:type="dcterms:W3CDTF">2025-01-24T12:00:03Z</dcterms:modified>
  <cp:lastModifiedBy>Nikolay Ivanov</cp:lastModifiedBy>
  <cp:lastPrinted>2023-11-30T09:35:58Z</cp:lastPrinted>
</cp:coreProperties>
</file>