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стоим'!$A$1:$J$31</definedName>
    <definedName name="_Toc132270799" localSheetId="2">Прил.3!$A$2</definedName>
    <definedName name="_xlnm.Print_Titles" localSheetId="2">'Прил.3'!$9:$11</definedName>
    <definedName name="_xlnm.Print_Area" localSheetId="2">'Прил.3'!$A$1:$H$70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0.000"/>
    <numFmt numFmtId="170" formatCode="0.0"/>
    <numFmt numFmtId="171" formatCode="0.000%"/>
    <numFmt numFmtId="172" formatCode="_-* #,##0.00\ _₽_-;\-* #,##0.00\ _₽_-;_-* &quot;-&quot;??\ _₽_-;_-@_-"/>
    <numFmt numFmtId="173" formatCode="_-* #,##0.0000\ _₽_-;\-* #,##0.0000\ _₽_-;_-* &quot;-&quot;????\ _₽_-;_-@_-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2" fillId="0" borderId="0" pivotButton="0" quotePrefix="0" xfId="0"/>
    <xf numFmtId="0" fontId="10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" fontId="9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5" applyAlignment="1" pivotButton="0" quotePrefix="0" xfId="0">
      <alignment horizontal="justify" vertical="center" wrapText="1"/>
    </xf>
    <xf numFmtId="2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9" fillId="0" borderId="1" applyAlignment="1" pivotButton="0" quotePrefix="0" xfId="0">
      <alignment vertical="center" wrapText="1"/>
    </xf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166" fontId="13" fillId="0" borderId="1" applyAlignment="1" pivotButton="0" quotePrefix="0" xfId="0">
      <alignment vertical="center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169" fontId="9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4" fontId="9" fillId="0" borderId="0" pivotButton="0" quotePrefix="0" xfId="0"/>
    <xf numFmtId="0" fontId="9" fillId="0" borderId="1" applyAlignment="1" pivotButton="0" quotePrefix="1" xfId="0">
      <alignment horizontal="center" vertical="center"/>
    </xf>
    <xf numFmtId="0" fontId="9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right" vertical="center" wrapText="1"/>
    </xf>
    <xf numFmtId="166" fontId="13" fillId="0" borderId="0" applyAlignment="1" pivotButton="0" quotePrefix="0" xfId="0">
      <alignment vertical="center" wrapText="1"/>
    </xf>
    <xf numFmtId="166" fontId="13" fillId="0" borderId="0" applyAlignment="1" pivotButton="0" quotePrefix="0" xfId="0">
      <alignment vertical="center" wrapText="1"/>
    </xf>
    <xf numFmtId="170" fontId="9" fillId="0" borderId="0" pivotButton="0" quotePrefix="0" xfId="0"/>
    <xf numFmtId="0" fontId="16" fillId="0" borderId="0" pivotButton="0" quotePrefix="0" xfId="0"/>
    <xf numFmtId="171" fontId="0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169" fontId="2" fillId="0" borderId="1" applyAlignment="1" pivotButton="0" quotePrefix="0" xfId="0">
      <alignment horizontal="center" vertical="top" wrapText="1"/>
    </xf>
    <xf numFmtId="164" fontId="2" fillId="0" borderId="1" applyAlignment="1" pivotButton="0" quotePrefix="0" xfId="0">
      <alignment horizontal="right" vertical="top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72" fontId="9" fillId="0" borderId="0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173" fontId="13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0" fillId="0" borderId="0" pivotButton="0" quotePrefix="0" xfId="0"/>
    <xf numFmtId="0" fontId="13" fillId="0" borderId="0" pivotButton="0" quotePrefix="0" xfId="0"/>
    <xf numFmtId="4" fontId="9" fillId="0" borderId="0" applyAlignment="1" pivotButton="0" quotePrefix="0" xfId="0">
      <alignment horizontal="left" vertical="center" wrapText="1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1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9" fillId="0" borderId="0" applyAlignment="1" pivotButton="0" quotePrefix="0" xfId="0">
      <alignment horizontal="left" vertical="center"/>
    </xf>
    <xf numFmtId="0" fontId="13" fillId="0" borderId="5" applyAlignment="1" pivotButton="0" quotePrefix="0" xfId="0">
      <alignment vertical="top"/>
    </xf>
    <xf numFmtId="0" fontId="13" fillId="0" borderId="6" applyAlignment="1" pivotButton="0" quotePrefix="0" xfId="0">
      <alignment vertical="top"/>
    </xf>
    <xf numFmtId="0" fontId="13" fillId="0" borderId="7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9" fontId="9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166" fontId="13" fillId="0" borderId="0" applyAlignment="1" pivotButton="0" quotePrefix="0" xfId="0">
      <alignment vertical="center" wrapText="1"/>
    </xf>
    <xf numFmtId="170" fontId="9" fillId="0" borderId="0" pivotButton="0" quotePrefix="0" xfId="0"/>
    <xf numFmtId="164" fontId="3" fillId="0" borderId="1" applyAlignment="1" pivotButton="0" quotePrefix="0" xfId="0">
      <alignment vertical="center" wrapText="1"/>
    </xf>
    <xf numFmtId="169" fontId="2" fillId="0" borderId="1" applyAlignment="1" pivotButton="0" quotePrefix="0" xfId="0">
      <alignment horizontal="center" vertical="top" wrapText="1"/>
    </xf>
    <xf numFmtId="164" fontId="2" fillId="0" borderId="1" applyAlignment="1" pivotButton="0" quotePrefix="0" xfId="0">
      <alignment horizontal="right" vertical="top" wrapText="1"/>
    </xf>
    <xf numFmtId="173" fontId="13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172" fontId="9" fillId="0" borderId="0" pivotButton="0" quotePrefix="0" xfId="0"/>
    <xf numFmtId="164" fontId="0" fillId="0" borderId="0" pivotButton="0" quotePrefix="0" xfId="0"/>
    <xf numFmtId="171" fontId="0" fillId="0" borderId="0" pivotButton="0" quotePrefix="0" xfId="0"/>
    <xf numFmtId="167" fontId="1" fillId="0" borderId="0" pivotButton="0" quotePrefix="0" xfId="0"/>
    <xf numFmtId="164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7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J35"/>
  <sheetViews>
    <sheetView view="pageBreakPreview" topLeftCell="A13" zoomScale="60" zoomScaleNormal="55" workbookViewId="0">
      <selection activeCell="F1" sqref="F1:F1048576"/>
    </sheetView>
  </sheetViews>
  <sheetFormatPr baseColWidth="8" defaultRowHeight="15.75"/>
  <cols>
    <col width="9.140625" customWidth="1" style="189" min="1" max="2"/>
    <col width="36.85546875" customWidth="1" style="189" min="3" max="3"/>
    <col width="42" customWidth="1" style="189" min="4" max="4"/>
    <col width="46.28515625" customWidth="1" style="189" min="5" max="5"/>
    <col width="14.28515625" customWidth="1" style="186" min="6" max="6"/>
    <col width="12.140625" customWidth="1" style="186" min="7" max="7"/>
    <col width="12.28515625" customWidth="1" style="186" min="8" max="8"/>
    <col width="15" customWidth="1" style="186" min="9" max="9"/>
  </cols>
  <sheetData>
    <row r="1">
      <c r="F1" s="189" t="n"/>
      <c r="G1" s="189" t="n"/>
      <c r="H1" s="189" t="n"/>
      <c r="I1" s="189" t="n"/>
      <c r="J1" s="189" t="n"/>
    </row>
    <row r="2">
      <c r="F2" s="189" t="n"/>
      <c r="G2" s="189" t="n"/>
      <c r="H2" s="189" t="n"/>
      <c r="I2" s="189" t="n"/>
      <c r="J2" s="189" t="n"/>
    </row>
    <row r="3">
      <c r="B3" s="202" t="inlineStr">
        <is>
          <t>Приложение № 1</t>
        </is>
      </c>
      <c r="F3" s="189" t="n"/>
      <c r="G3" s="189" t="n"/>
      <c r="H3" s="189" t="n"/>
      <c r="I3" s="189" t="n"/>
      <c r="J3" s="189" t="n"/>
    </row>
    <row r="4">
      <c r="B4" s="203" t="inlineStr">
        <is>
          <t>Сравнительная таблица отбора объекта-представителя</t>
        </is>
      </c>
      <c r="F4" s="189" t="n"/>
      <c r="G4" s="189" t="n"/>
      <c r="H4" s="189" t="n"/>
      <c r="I4" s="189" t="n"/>
      <c r="J4" s="189" t="n"/>
    </row>
    <row r="5">
      <c r="B5" s="108" t="n"/>
      <c r="C5" s="108" t="n"/>
      <c r="D5" s="108" t="n"/>
      <c r="E5" s="108" t="n"/>
      <c r="F5" s="189" t="n"/>
      <c r="G5" s="189" t="n"/>
      <c r="H5" s="189" t="n"/>
      <c r="I5" s="189" t="n"/>
      <c r="J5" s="189" t="n"/>
    </row>
    <row r="6">
      <c r="B6" s="108" t="n"/>
      <c r="C6" s="108" t="n"/>
      <c r="D6" s="108" t="n"/>
      <c r="E6" s="108" t="n"/>
      <c r="F6" s="189" t="n"/>
      <c r="G6" s="189" t="n"/>
      <c r="H6" s="189" t="n"/>
      <c r="I6" s="189" t="n"/>
      <c r="J6" s="189" t="n"/>
    </row>
    <row r="7" ht="48" customHeight="1" s="186">
      <c r="B7" s="201">
        <f>_xlfn.CONCAT(TEXT('Прил.5 Расчет СМР и ОБ'!A6,0)," - ",TEXT('Прил.5 Расчет СМР и ОБ'!D6,0))</f>
        <v/>
      </c>
      <c r="F7" s="109" t="n"/>
      <c r="G7" s="189" t="n"/>
      <c r="H7" s="189" t="n"/>
      <c r="I7" s="189" t="n"/>
      <c r="J7" s="189" t="n"/>
    </row>
    <row r="8" ht="15.75" customHeight="1" s="186">
      <c r="B8" s="106" t="inlineStr">
        <is>
          <t xml:space="preserve">Сопоставимый уровень цен: </t>
        </is>
      </c>
      <c r="C8" s="106" t="n"/>
      <c r="D8" s="106">
        <f>D22</f>
        <v/>
      </c>
      <c r="E8" s="106" t="n"/>
      <c r="F8" s="189" t="n"/>
      <c r="G8" s="189" t="n"/>
      <c r="H8" s="189" t="n"/>
      <c r="I8" s="189" t="n"/>
      <c r="J8" s="189" t="n"/>
    </row>
    <row r="9" ht="15.75" customHeight="1" s="186">
      <c r="B9" s="201" t="inlineStr">
        <is>
          <t>Единица измерения  — 1 ед</t>
        </is>
      </c>
      <c r="F9" s="109" t="n"/>
      <c r="G9" s="189" t="n"/>
      <c r="H9" s="189" t="n"/>
      <c r="I9" s="189" t="n"/>
      <c r="J9" s="189" t="n"/>
    </row>
    <row r="10">
      <c r="B10" s="201" t="n"/>
      <c r="F10" s="189" t="n"/>
      <c r="G10" s="189" t="n"/>
      <c r="H10" s="189" t="n"/>
      <c r="I10" s="189" t="n"/>
      <c r="J10" s="189" t="n"/>
    </row>
    <row r="11" ht="27" customHeight="1" s="186">
      <c r="B11" s="204" t="inlineStr">
        <is>
          <t>№ п/п</t>
        </is>
      </c>
      <c r="C11" s="204" t="inlineStr">
        <is>
          <t>Параметр</t>
        </is>
      </c>
      <c r="D11" s="204" t="inlineStr">
        <is>
          <t>Объект-представитель 1</t>
        </is>
      </c>
      <c r="E11" s="204" t="inlineStr">
        <is>
          <t>Объект-представитель 2</t>
        </is>
      </c>
      <c r="F11" s="109" t="n"/>
      <c r="G11" s="189" t="n"/>
      <c r="H11" s="189" t="n"/>
      <c r="I11" s="189" t="n"/>
      <c r="J11" s="189" t="n"/>
    </row>
    <row r="12" ht="138" customHeight="1" s="186">
      <c r="B12" s="204" t="n">
        <v>1</v>
      </c>
      <c r="C12" s="127" t="inlineStr">
        <is>
          <t>Наименование объекта-представителя</t>
        </is>
      </c>
      <c r="D12" s="204" t="inlineStr">
        <is>
          <t>Строительство одной ЛЭП 110 кВ отпайкой от ВЛ 110 кВ Еланская - Тальжино-1 до проектируемой ПС 110 кВ и строительство ПС 110 кВ с установкой одного силового трансформатора 110/6 кВ номинальной мощностью 16 МВА (ПС 110/6 кВ Кийзасская)</t>
        </is>
      </c>
      <c r="E12" s="204" t="inlineStr">
        <is>
          <t>Техническое перевооружение ПС 220 кВ Гумрак (замена 4 ячеек 220 кВ, 12 ячеек 110 кВ, 6 ячеек 35 кВ, 24 ячеек 6 кВ (с заменой РЗА))</t>
        </is>
      </c>
      <c r="F12" s="189" t="n"/>
      <c r="G12" s="189" t="n"/>
      <c r="H12" s="189" t="n"/>
      <c r="I12" s="189" t="n"/>
      <c r="J12" s="189" t="n"/>
    </row>
    <row r="13" ht="41.25" customHeight="1" s="186">
      <c r="B13" s="204" t="n">
        <v>2</v>
      </c>
      <c r="C13" s="127" t="inlineStr">
        <is>
          <t>Наименование субъекта Российской Федерации</t>
        </is>
      </c>
      <c r="D13" s="204" t="inlineStr">
        <is>
          <t>Кемеровская область, Мысковское лесничество, урочище "Чуазасское"</t>
        </is>
      </c>
      <c r="E13" s="204" t="inlineStr">
        <is>
          <t xml:space="preserve">Дзержинский район,  г. Волгограда </t>
        </is>
      </c>
      <c r="F13" s="189" t="n"/>
      <c r="G13" s="189" t="n"/>
      <c r="H13" s="189" t="n"/>
      <c r="I13" s="189" t="n"/>
      <c r="J13" s="189" t="n"/>
    </row>
    <row r="14">
      <c r="B14" s="204" t="n">
        <v>3</v>
      </c>
      <c r="C14" s="127" t="inlineStr">
        <is>
          <t>Климатический район и подрайон</t>
        </is>
      </c>
      <c r="D14" s="204" t="inlineStr">
        <is>
          <t>IВ</t>
        </is>
      </c>
      <c r="E14" s="204" t="inlineStr">
        <is>
          <t>III В</t>
        </is>
      </c>
      <c r="F14" s="189" t="n"/>
      <c r="G14" s="189" t="n"/>
      <c r="H14" s="189" t="n"/>
      <c r="I14" s="189" t="n"/>
      <c r="J14" s="189" t="n"/>
    </row>
    <row r="15">
      <c r="B15" s="204" t="n">
        <v>4</v>
      </c>
      <c r="C15" s="127" t="inlineStr">
        <is>
          <t>Мощность объекта</t>
        </is>
      </c>
      <c r="D15" s="204" t="n">
        <v>4</v>
      </c>
      <c r="E15" s="204" t="n">
        <v>12</v>
      </c>
      <c r="F15" s="189" t="n"/>
      <c r="G15" s="189" t="n"/>
      <c r="H15" s="189" t="n"/>
      <c r="I15" s="189" t="n"/>
      <c r="J15" s="189" t="n"/>
    </row>
    <row r="16" ht="143.25" customHeight="1" s="186">
      <c r="B16" s="204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Монолитный фундамент ФМ6 -4 шт</t>
        </is>
      </c>
      <c r="E16" s="204" t="inlineStr">
        <is>
          <t>Фундамент ФВ1 - 11 шт.
Фундамент ФВ2 - 1 шт.
с опорами</t>
        </is>
      </c>
      <c r="F16" s="189" t="n"/>
      <c r="G16" s="189" t="n"/>
      <c r="H16" s="189" t="n"/>
      <c r="I16" s="189" t="n"/>
      <c r="J16" s="189" t="n"/>
    </row>
    <row r="17" ht="82.5" customHeight="1" s="186">
      <c r="B17" s="204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2">
        <f>SUM(D18:D21)</f>
        <v/>
      </c>
      <c r="E17" s="112">
        <f>SUM(E18:E21)</f>
        <v/>
      </c>
      <c r="F17" s="113" t="n"/>
      <c r="G17" s="189" t="n"/>
      <c r="H17" s="189" t="n"/>
      <c r="I17" s="189" t="n"/>
      <c r="J17" s="189" t="n"/>
    </row>
    <row r="18">
      <c r="B18" s="114" t="inlineStr">
        <is>
          <t>6.1</t>
        </is>
      </c>
      <c r="C18" s="127" t="inlineStr">
        <is>
          <t>строительно-монтажные работы</t>
        </is>
      </c>
      <c r="D18" s="112">
        <f>'Прил.2 Расч стоим'!F13+'Прил.2 Расч стоим'!G13</f>
        <v/>
      </c>
      <c r="E18" s="112">
        <f>'Прил.2 Расч стоим'!F21+'Прил.2 Расч стоим'!G21</f>
        <v/>
      </c>
      <c r="F18" s="189" t="n"/>
      <c r="G18" s="189" t="n"/>
      <c r="H18" s="189" t="n"/>
      <c r="I18" s="189" t="n"/>
      <c r="J18" s="189" t="n"/>
    </row>
    <row r="19">
      <c r="B19" s="114" t="inlineStr">
        <is>
          <t>6.2</t>
        </is>
      </c>
      <c r="C19" s="127" t="inlineStr">
        <is>
          <t>оборудование и инвентарь</t>
        </is>
      </c>
      <c r="D19" s="112">
        <f>'Прил.2 Расч стоим'!H13</f>
        <v/>
      </c>
      <c r="E19" s="112">
        <f>'Прил.2 Расч стоим'!H20</f>
        <v/>
      </c>
      <c r="F19" s="189" t="n"/>
      <c r="G19" s="189" t="n"/>
      <c r="H19" s="189" t="n"/>
      <c r="I19" s="189" t="n"/>
      <c r="J19" s="189" t="n"/>
    </row>
    <row r="20">
      <c r="B20" s="114" t="inlineStr">
        <is>
          <t>6.3</t>
        </is>
      </c>
      <c r="C20" s="127" t="inlineStr">
        <is>
          <t>пусконаладочные работы</t>
        </is>
      </c>
      <c r="D20" s="112" t="n">
        <v>0</v>
      </c>
      <c r="E20" s="243" t="n">
        <v>0</v>
      </c>
      <c r="F20" s="189" t="n"/>
      <c r="G20" s="189" t="n"/>
      <c r="H20" s="189" t="n"/>
      <c r="I20" s="189" t="n"/>
      <c r="J20" s="189" t="n"/>
    </row>
    <row r="21" ht="31.5" customHeight="1" s="186">
      <c r="B21" s="114" t="inlineStr">
        <is>
          <t>6.4</t>
        </is>
      </c>
      <c r="C21" s="115" t="inlineStr">
        <is>
          <t>прочие и лимитированные затраты</t>
        </is>
      </c>
      <c r="D21" s="243">
        <f>D18*2.5%+(D18+D18*2.5%)*2.1%</f>
        <v/>
      </c>
      <c r="E21" s="243">
        <f>E18*2.5%+(E18+E18*2.5%)*2.1%</f>
        <v/>
      </c>
      <c r="F21" s="189" t="n"/>
      <c r="G21" s="189" t="n"/>
      <c r="H21" s="189" t="n"/>
      <c r="I21" s="189" t="n"/>
      <c r="J21" s="189" t="n"/>
    </row>
    <row r="22">
      <c r="B22" s="204" t="n">
        <v>7</v>
      </c>
      <c r="C22" s="115" t="inlineStr">
        <is>
          <t>Сопоставимый уровень цен</t>
        </is>
      </c>
      <c r="D22" s="204" t="inlineStr">
        <is>
          <t>2 кв. 2020г</t>
        </is>
      </c>
      <c r="E22" s="204">
        <f>D22</f>
        <v/>
      </c>
      <c r="F22" s="113" t="n"/>
      <c r="G22" s="189" t="n"/>
      <c r="H22" s="189" t="n"/>
      <c r="I22" s="189" t="n"/>
      <c r="J22" s="189" t="n"/>
    </row>
    <row r="23" ht="119.25" customHeight="1" s="186">
      <c r="B23" s="204" t="n">
        <v>8</v>
      </c>
      <c r="C23" s="1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7">
        <f>D17</f>
        <v/>
      </c>
      <c r="E23" s="112">
        <f>'Прил.2 Расч стоим'!M21*8.19+'Прил.2 Расч стоим'!N21*8.19+'Прил.2 Расч стоим'!O21*4.91+'Прил.2 Расч стоим'!M26+'Прил.2 Расч стоим'!M27</f>
        <v/>
      </c>
      <c r="F23" s="189" t="n"/>
      <c r="G23" s="189" t="n"/>
      <c r="H23" s="189" t="n"/>
      <c r="I23" s="189" t="n"/>
      <c r="J23" s="189" t="n"/>
    </row>
    <row r="24" ht="65.25" customHeight="1" s="186">
      <c r="B24" s="204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17">
        <f>D23/D15</f>
        <v/>
      </c>
      <c r="E24" s="117">
        <f>E23/E15</f>
        <v/>
      </c>
      <c r="F24" s="113" t="n"/>
      <c r="G24" s="189" t="n"/>
      <c r="H24" s="189" t="n"/>
      <c r="I24" s="189" t="n"/>
      <c r="J24" s="189" t="n"/>
    </row>
    <row r="25" ht="72.75" customHeight="1" s="186">
      <c r="B25" s="204" t="n">
        <v>10</v>
      </c>
      <c r="C25" s="127" t="inlineStr">
        <is>
          <t>Примечание</t>
        </is>
      </c>
      <c r="D25" s="127" t="inlineStr">
        <is>
          <t xml:space="preserve">Выбран объектом-представителем с учетом минимальной удельной стоимости </t>
        </is>
      </c>
      <c r="E25" s="126" t="n"/>
      <c r="F25" s="189" t="n"/>
      <c r="G25" s="189" t="n"/>
      <c r="H25" s="189" t="n"/>
      <c r="I25" s="189" t="n"/>
      <c r="J25" s="189" t="n"/>
    </row>
    <row r="26">
      <c r="B26" s="239" t="n"/>
      <c r="C26" s="119" t="n"/>
      <c r="D26" s="119" t="n"/>
      <c r="E26" s="119" t="n"/>
      <c r="F26" s="189" t="n"/>
      <c r="G26" s="189" t="n"/>
      <c r="H26" s="189" t="n"/>
      <c r="I26" s="189" t="n"/>
      <c r="J26" s="189" t="n"/>
    </row>
    <row r="27">
      <c r="B27" s="106" t="n"/>
      <c r="F27" s="189" t="n"/>
      <c r="G27" s="189" t="n"/>
      <c r="H27" s="189" t="n"/>
      <c r="I27" s="189" t="n"/>
      <c r="J27" s="189" t="n"/>
    </row>
    <row r="28">
      <c r="B28" s="189" t="inlineStr">
        <is>
          <t>Составил ______________________  Е. М. Добровольская</t>
        </is>
      </c>
      <c r="F28" s="189" t="n"/>
      <c r="G28" s="189" t="n"/>
      <c r="H28" s="189" t="n"/>
      <c r="I28" s="189" t="n"/>
      <c r="J28" s="189" t="n"/>
    </row>
    <row r="29" ht="22.5" customHeight="1" s="186">
      <c r="B29" s="128" t="inlineStr">
        <is>
          <t xml:space="preserve">                         (подпись, инициалы, фамилия)</t>
        </is>
      </c>
      <c r="F29" s="189" t="n"/>
      <c r="G29" s="189" t="n"/>
      <c r="H29" s="189" t="n"/>
      <c r="I29" s="189" t="n"/>
      <c r="J29" s="189" t="n"/>
    </row>
    <row r="30">
      <c r="F30" s="189" t="n"/>
      <c r="G30" s="189" t="n"/>
      <c r="H30" s="189" t="n"/>
      <c r="I30" s="189" t="n"/>
      <c r="J30" s="189" t="n"/>
    </row>
    <row r="31">
      <c r="B31" s="189" t="inlineStr">
        <is>
          <t>Проверил ______________________        А.В. Костянецкая</t>
        </is>
      </c>
      <c r="F31" s="189" t="n"/>
      <c r="G31" s="189" t="n"/>
      <c r="H31" s="189" t="n"/>
      <c r="I31" s="189" t="n"/>
      <c r="J31" s="189" t="n"/>
    </row>
    <row r="32" ht="22.5" customHeight="1" s="186">
      <c r="B32" s="128" t="inlineStr">
        <is>
          <t xml:space="preserve">                        (подпись, инициалы, фамилия)</t>
        </is>
      </c>
      <c r="F32" s="189" t="n"/>
      <c r="G32" s="189" t="n"/>
      <c r="H32" s="189" t="n"/>
      <c r="I32" s="189" t="n"/>
      <c r="J32" s="189" t="n"/>
    </row>
    <row r="33">
      <c r="F33" s="189" t="n"/>
      <c r="G33" s="189" t="n"/>
      <c r="H33" s="189" t="n"/>
      <c r="I33" s="189" t="n"/>
      <c r="J33" s="189" t="n"/>
    </row>
    <row r="34">
      <c r="F34" s="189" t="n"/>
      <c r="G34" s="189" t="n"/>
      <c r="H34" s="189" t="n"/>
      <c r="I34" s="189" t="n"/>
      <c r="J34" s="189" t="n"/>
    </row>
    <row r="35">
      <c r="F35" s="189" t="n"/>
      <c r="G35" s="189" t="n"/>
      <c r="H35" s="189" t="n"/>
      <c r="I35" s="189" t="n"/>
      <c r="J35" s="189" t="n"/>
    </row>
  </sheetData>
  <mergeCells count="4">
    <mergeCell ref="B7:E7"/>
    <mergeCell ref="B9:E9"/>
    <mergeCell ref="B3:E3"/>
    <mergeCell ref="B4:E4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31"/>
  <sheetViews>
    <sheetView view="pageBreakPreview" topLeftCell="A7" zoomScale="60" zoomScaleNormal="70" workbookViewId="0">
      <selection activeCell="G27" sqref="G27"/>
    </sheetView>
  </sheetViews>
  <sheetFormatPr baseColWidth="8" defaultRowHeight="15"/>
  <cols>
    <col width="5.5703125" customWidth="1" style="186" min="1" max="1"/>
    <col width="35.28515625" customWidth="1" style="186" min="3" max="3"/>
    <col width="13.85546875" customWidth="1" style="186" min="4" max="4"/>
    <col width="24.85546875" customWidth="1" style="186" min="5" max="5"/>
    <col width="15.28515625" customWidth="1" style="186" min="6" max="6"/>
    <col width="14.85546875" customWidth="1" style="186" min="7" max="7"/>
    <col width="16.7109375" customWidth="1" style="186" min="8" max="8"/>
    <col width="13" customWidth="1" style="186" min="9" max="10"/>
    <col hidden="1" width="13.42578125" customWidth="1" style="186" min="12" max="12"/>
    <col hidden="1" width="20" customWidth="1" style="186" min="13" max="13"/>
    <col hidden="1" width="14" customWidth="1" style="186" min="14" max="14"/>
    <col hidden="1" width="14.28515625" customWidth="1" style="186" min="15" max="15"/>
    <col hidden="1" width="9.140625" customWidth="1" style="186" min="16" max="16"/>
    <col hidden="1" width="15.28515625" customWidth="1" style="186" min="17" max="17"/>
    <col hidden="1" width="9.140625" customWidth="1" style="186" min="18" max="18"/>
    <col hidden="1" style="186" min="19" max="19"/>
  </cols>
  <sheetData>
    <row r="1" ht="15.75" customHeight="1" s="186">
      <c r="A1" s="189" t="n"/>
      <c r="B1" s="189" t="n"/>
      <c r="C1" s="189" t="n"/>
      <c r="D1" s="189" t="n"/>
      <c r="E1" s="189" t="n"/>
      <c r="F1" s="189" t="n"/>
      <c r="G1" s="189" t="n"/>
      <c r="H1" s="189" t="n"/>
      <c r="I1" s="189" t="n"/>
      <c r="J1" s="189" t="n"/>
    </row>
    <row r="2" ht="15.75" customHeight="1" s="186">
      <c r="A2" s="189" t="n"/>
      <c r="B2" s="189" t="n"/>
      <c r="C2" s="189" t="n"/>
      <c r="D2" s="189" t="n"/>
      <c r="E2" s="189" t="n"/>
      <c r="F2" s="189" t="n"/>
      <c r="G2" s="189" t="n"/>
      <c r="H2" s="189" t="n"/>
      <c r="I2" s="189" t="n"/>
      <c r="J2" s="189" t="n"/>
    </row>
    <row r="3" ht="15.75" customHeight="1" s="186">
      <c r="A3" s="189" t="n"/>
      <c r="B3" s="202" t="inlineStr">
        <is>
          <t>Приложение № 2</t>
        </is>
      </c>
    </row>
    <row r="4" ht="15.75" customHeight="1" s="186">
      <c r="A4" s="189" t="n"/>
      <c r="B4" s="203" t="inlineStr">
        <is>
          <t>Расчет стоимости основных видов работ для выбора объекта-представителя</t>
        </is>
      </c>
    </row>
    <row r="5" ht="15.75" customHeight="1" s="186">
      <c r="A5" s="189" t="n"/>
      <c r="B5" s="108" t="n"/>
      <c r="C5" s="108" t="n"/>
      <c r="D5" s="108" t="n"/>
      <c r="E5" s="108" t="n"/>
      <c r="F5" s="108" t="n"/>
      <c r="G5" s="108" t="n"/>
      <c r="H5" s="108" t="n"/>
      <c r="I5" s="108" t="n"/>
      <c r="J5" s="108" t="n"/>
    </row>
    <row r="6" ht="45.75" customHeight="1" s="186">
      <c r="A6" s="189" t="n"/>
      <c r="B6" s="206">
        <f>'Прил.1 Сравнит табл'!B7</f>
        <v/>
      </c>
    </row>
    <row r="7" ht="15.75" customHeight="1" s="186">
      <c r="A7" s="189" t="n"/>
      <c r="B7" s="201">
        <f>'Прил.1 Сравнит табл'!B9</f>
        <v/>
      </c>
    </row>
    <row r="8" ht="15.75" customHeight="1" s="186">
      <c r="A8" s="189" t="n"/>
      <c r="B8" s="201" t="n"/>
      <c r="C8" s="189" t="n"/>
      <c r="D8" s="189" t="n"/>
      <c r="E8" s="189" t="n"/>
      <c r="F8" s="189" t="n"/>
      <c r="G8" s="189" t="n"/>
      <c r="H8" s="189" t="n"/>
      <c r="I8" s="189" t="n"/>
      <c r="J8" s="189" t="n"/>
    </row>
    <row r="9" ht="15.75" customHeight="1" s="186">
      <c r="A9" s="189" t="n"/>
      <c r="B9" s="204" t="inlineStr">
        <is>
          <t>№ п/п</t>
        </is>
      </c>
      <c r="C9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4" t="inlineStr">
        <is>
          <t>Объект-представитель 1</t>
        </is>
      </c>
      <c r="E9" s="244" t="n"/>
      <c r="F9" s="244" t="n"/>
      <c r="G9" s="244" t="n"/>
      <c r="H9" s="244" t="n"/>
      <c r="I9" s="244" t="n"/>
      <c r="J9" s="245" t="n"/>
    </row>
    <row r="10" ht="15.75" customHeight="1" s="186">
      <c r="A10" s="189" t="n"/>
      <c r="B10" s="246" t="n"/>
      <c r="C10" s="246" t="n"/>
      <c r="D10" s="204" t="inlineStr">
        <is>
          <t>Номер сметы</t>
        </is>
      </c>
      <c r="E10" s="204" t="inlineStr">
        <is>
          <t>Наименование сметы</t>
        </is>
      </c>
      <c r="F10" s="204" t="inlineStr">
        <is>
          <t>Сметная стоимость в уровне цен 2 квартал 2020г, тыс. руб.</t>
        </is>
      </c>
      <c r="G10" s="244" t="n"/>
      <c r="H10" s="244" t="n"/>
      <c r="I10" s="244" t="n"/>
      <c r="J10" s="245" t="n"/>
    </row>
    <row r="11" ht="77.25" customHeight="1" s="186">
      <c r="A11" s="189" t="n"/>
      <c r="B11" s="247" t="n"/>
      <c r="C11" s="247" t="n"/>
      <c r="D11" s="247" t="n"/>
      <c r="E11" s="247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93" customHeight="1" s="186">
      <c r="A12" s="189" t="n"/>
      <c r="B12" s="145" t="n">
        <v>1</v>
      </c>
      <c r="C12" s="127" t="inlineStr">
        <is>
          <t>Общестроительные работы</t>
        </is>
      </c>
      <c r="D12" s="144" t="inlineStr">
        <is>
          <t>02-01-01</t>
        </is>
      </c>
      <c r="E12" s="127" t="inlineStr">
        <is>
          <t>Строительные работы</t>
        </is>
      </c>
      <c r="F12" s="248">
        <f>15728.44/1000</f>
        <v/>
      </c>
      <c r="G12" s="248" t="n"/>
      <c r="H12" s="248" t="n"/>
      <c r="I12" s="248" t="n"/>
      <c r="J12" s="249">
        <f>SUM(F12:I12)</f>
        <v/>
      </c>
    </row>
    <row r="13" ht="15" customHeight="1" s="186">
      <c r="A13" s="189" t="n"/>
      <c r="B13" s="205" t="inlineStr">
        <is>
          <t>Всего по объекту:</t>
        </is>
      </c>
      <c r="C13" s="244" t="n"/>
      <c r="D13" s="244" t="n"/>
      <c r="E13" s="245" t="n"/>
      <c r="F13" s="250">
        <f>SUM(F12:F12)</f>
        <v/>
      </c>
      <c r="G13" s="250">
        <f>SUM(G12:G12)</f>
        <v/>
      </c>
      <c r="H13" s="250">
        <f>SUM(H12:H12)</f>
        <v/>
      </c>
      <c r="I13" s="250">
        <f>SUM(I12:I12)</f>
        <v/>
      </c>
      <c r="J13" s="250">
        <f>SUM(F13:I13)</f>
        <v/>
      </c>
    </row>
    <row r="14" ht="15.75" customHeight="1" s="186">
      <c r="A14" s="189" t="n"/>
      <c r="B14" s="205" t="inlineStr">
        <is>
          <t>Всего по объекту в сопоставимом уровне цен 2 кв. 2020г:</t>
        </is>
      </c>
      <c r="C14" s="244" t="n"/>
      <c r="D14" s="244" t="n"/>
      <c r="E14" s="245" t="n"/>
      <c r="F14" s="250">
        <f>F13</f>
        <v/>
      </c>
      <c r="G14" s="250">
        <f>G13</f>
        <v/>
      </c>
      <c r="H14" s="250">
        <f>H13</f>
        <v/>
      </c>
      <c r="I14" s="250">
        <f>I13</f>
        <v/>
      </c>
      <c r="J14" s="250">
        <f>SUM(F14:I14)</f>
        <v/>
      </c>
    </row>
    <row r="15" ht="15.75" customHeight="1" s="186">
      <c r="A15" s="189" t="n"/>
      <c r="B15" s="146" t="n"/>
      <c r="C15" s="146" t="n"/>
      <c r="D15" s="146" t="n"/>
      <c r="E15" s="146" t="n"/>
      <c r="F15" s="251" t="n"/>
      <c r="G15" s="251" t="n"/>
      <c r="H15" s="251" t="n"/>
      <c r="I15" s="251" t="n"/>
      <c r="J15" s="251" t="n"/>
    </row>
    <row r="16" ht="66" customHeight="1" s="186">
      <c r="A16" s="189" t="n"/>
      <c r="B16" s="201" t="n"/>
      <c r="C16" s="189" t="n"/>
      <c r="D16" s="189" t="n"/>
      <c r="E16" s="189" t="n"/>
      <c r="F16" s="189" t="n"/>
      <c r="G16" s="189" t="n"/>
      <c r="H16" s="189" t="n"/>
      <c r="I16" s="189" t="n"/>
      <c r="J16" s="189" t="n"/>
    </row>
    <row r="17" ht="15.75" customHeight="1" s="186">
      <c r="A17" s="189" t="n"/>
      <c r="B17" s="204" t="inlineStr">
        <is>
          <t>№ п/п</t>
        </is>
      </c>
      <c r="C17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204" t="inlineStr">
        <is>
          <t>Объект-представитель 2</t>
        </is>
      </c>
      <c r="E17" s="244" t="n"/>
      <c r="F17" s="244" t="n"/>
      <c r="G17" s="244" t="n"/>
      <c r="H17" s="244" t="n"/>
      <c r="I17" s="244" t="n"/>
      <c r="J17" s="245" t="n"/>
    </row>
    <row r="18" ht="15.75" customHeight="1" s="186">
      <c r="A18" s="189" t="n"/>
      <c r="B18" s="246" t="n"/>
      <c r="C18" s="246" t="n"/>
      <c r="D18" s="204" t="inlineStr">
        <is>
          <t>Номер сметы</t>
        </is>
      </c>
      <c r="E18" s="204" t="inlineStr">
        <is>
          <t>Наименование сметы</t>
        </is>
      </c>
      <c r="F18" s="204" t="inlineStr">
        <is>
          <t>Сметная стоимость в уровне цен 2 кв. 2018 г., тыс. руб.</t>
        </is>
      </c>
      <c r="G18" s="244" t="n"/>
      <c r="H18" s="244" t="n"/>
      <c r="I18" s="244" t="n"/>
      <c r="J18" s="245" t="n"/>
    </row>
    <row r="19" ht="80.25" customHeight="1" s="186">
      <c r="A19" s="189" t="n"/>
      <c r="B19" s="247" t="n"/>
      <c r="C19" s="247" t="n"/>
      <c r="D19" s="247" t="n"/>
      <c r="E19" s="247" t="n"/>
      <c r="F19" s="204" t="inlineStr">
        <is>
          <t>Строительные работы</t>
        </is>
      </c>
      <c r="G19" s="204" t="inlineStr">
        <is>
          <t>Монтажные работы</t>
        </is>
      </c>
      <c r="H19" s="204" t="inlineStr">
        <is>
          <t>Оборудование</t>
        </is>
      </c>
      <c r="I19" s="204" t="inlineStr">
        <is>
          <t>Прочее</t>
        </is>
      </c>
      <c r="J19" s="204" t="inlineStr">
        <is>
          <t>Всего</t>
        </is>
      </c>
      <c r="M19" s="204" t="inlineStr">
        <is>
          <t>Строительные работы</t>
        </is>
      </c>
      <c r="N19" s="204" t="inlineStr">
        <is>
          <t>Монтажные работы</t>
        </is>
      </c>
      <c r="O19" s="204" t="inlineStr">
        <is>
          <t>Оборудование</t>
        </is>
      </c>
      <c r="P19" s="204" t="inlineStr">
        <is>
          <t>Прочее</t>
        </is>
      </c>
      <c r="Q19" s="204" t="inlineStr">
        <is>
          <t>Всего</t>
        </is>
      </c>
    </row>
    <row r="20" ht="132" customHeight="1" s="186">
      <c r="A20" s="189" t="n"/>
      <c r="B20" s="127" t="n">
        <v>1</v>
      </c>
      <c r="C20" s="127" t="inlineStr">
        <is>
          <t>Земляные работы, фундаменты, заземление</t>
        </is>
      </c>
      <c r="D20" s="144" t="inlineStr">
        <is>
          <t>02-03-01</t>
        </is>
      </c>
      <c r="E20" s="127" t="inlineStr">
        <is>
          <t>ОРУ 110 кВ. Строительные решения Открытое распределительное устройство (ОРУ) 110кВ</t>
        </is>
      </c>
      <c r="F20" s="248">
        <f>319783.75/1000*6.91</f>
        <v/>
      </c>
      <c r="G20" s="248" t="n"/>
      <c r="H20" s="248" t="n"/>
      <c r="I20" s="248" t="n"/>
      <c r="J20" s="249">
        <f>SUM(F20:I20)</f>
        <v/>
      </c>
      <c r="M20" s="248">
        <f>319783.75/1000</f>
        <v/>
      </c>
      <c r="N20" s="248" t="n"/>
      <c r="O20" s="248" t="n"/>
      <c r="P20" s="248" t="n"/>
      <c r="Q20" s="249">
        <f>SUM(M20:P20)</f>
        <v/>
      </c>
    </row>
    <row r="21" ht="15.75" customHeight="1" s="186">
      <c r="A21" s="189" t="n"/>
      <c r="B21" s="205" t="inlineStr">
        <is>
          <t>Всего по объекту:</t>
        </is>
      </c>
      <c r="C21" s="244" t="n"/>
      <c r="D21" s="244" t="n"/>
      <c r="E21" s="245" t="n"/>
      <c r="F21" s="250">
        <f>SUM(F20:F20)</f>
        <v/>
      </c>
      <c r="G21" s="250">
        <f>SUM(G20:G20)</f>
        <v/>
      </c>
      <c r="H21" s="250">
        <f>SUM(H20:H20)</f>
        <v/>
      </c>
      <c r="I21" s="250">
        <f>SUM(I20:I20)</f>
        <v/>
      </c>
      <c r="J21" s="250">
        <f>SUM(F21:I21)</f>
        <v/>
      </c>
      <c r="M21" s="250">
        <f>SUM(M20:M20)</f>
        <v/>
      </c>
      <c r="N21" s="250">
        <f>SUM(N20:N20)</f>
        <v/>
      </c>
      <c r="O21" s="250">
        <f>SUM(O20:O20)</f>
        <v/>
      </c>
      <c r="P21" s="250">
        <f>SUM(P20:P20)</f>
        <v/>
      </c>
      <c r="Q21" s="250">
        <f>SUM(M21:P21)</f>
        <v/>
      </c>
    </row>
    <row r="22" ht="15.75" customHeight="1" s="186">
      <c r="A22" s="189" t="n"/>
      <c r="B22" s="205" t="inlineStr">
        <is>
          <t>Всего по объекту в сопоставимом уровне цен 2 кв. 2018г:</t>
        </is>
      </c>
      <c r="C22" s="244" t="n"/>
      <c r="D22" s="244" t="n"/>
      <c r="E22" s="245" t="n"/>
      <c r="F22" s="250">
        <f>F21</f>
        <v/>
      </c>
      <c r="G22" s="250">
        <f>G21</f>
        <v/>
      </c>
      <c r="H22" s="250">
        <f>H21</f>
        <v/>
      </c>
      <c r="I22" s="250">
        <f>I21</f>
        <v/>
      </c>
      <c r="J22" s="250">
        <f>SUM(F22:I22)</f>
        <v/>
      </c>
    </row>
    <row r="23" ht="15.75" customHeight="1" s="186">
      <c r="A23" s="189" t="n"/>
      <c r="B23" s="189" t="n"/>
      <c r="C23" s="189" t="n"/>
      <c r="D23" s="189" t="n"/>
      <c r="E23" s="189" t="n"/>
      <c r="F23" s="189" t="n"/>
      <c r="G23" s="189" t="n"/>
      <c r="H23" s="189" t="n"/>
      <c r="I23" s="189" t="n"/>
      <c r="J23" s="189" t="n"/>
      <c r="M23">
        <f>M21*7.59</f>
        <v/>
      </c>
      <c r="N23">
        <f>N21*8.19</f>
        <v/>
      </c>
      <c r="O23">
        <f>O21*4.91</f>
        <v/>
      </c>
      <c r="Q23">
        <f>O23+N23+M23</f>
        <v/>
      </c>
    </row>
    <row r="24" ht="15.75" customHeight="1" s="186">
      <c r="A24" s="189" t="n"/>
      <c r="B24" s="189" t="n"/>
      <c r="C24" s="189" t="n"/>
      <c r="D24" s="189" t="n"/>
      <c r="E24" s="189" t="n"/>
      <c r="F24" s="189" t="n"/>
      <c r="G24" s="189" t="n"/>
      <c r="H24" s="189" t="n"/>
      <c r="I24" s="189" t="n"/>
      <c r="J24" s="189" t="n"/>
      <c r="M24">
        <f>M23+N23</f>
        <v/>
      </c>
    </row>
    <row r="25" ht="15.75" customHeight="1" s="186">
      <c r="A25" s="189" t="n"/>
      <c r="B25" s="189" t="n"/>
      <c r="C25" s="189" t="n"/>
      <c r="D25" s="189" t="n"/>
      <c r="E25" s="189" t="n"/>
      <c r="F25" s="189" t="n"/>
      <c r="G25" s="189" t="n"/>
      <c r="H25" s="189" t="n"/>
      <c r="I25" s="189" t="n"/>
      <c r="J25" s="189" t="n"/>
    </row>
    <row r="26" ht="15.75" customHeight="1" s="186">
      <c r="A26" s="189" t="n"/>
      <c r="B26" s="189" t="n"/>
      <c r="C26" s="189" t="n"/>
      <c r="D26" s="189" t="n"/>
      <c r="E26" s="189" t="n"/>
      <c r="F26" s="189" t="n"/>
      <c r="G26" s="189" t="n"/>
      <c r="H26" s="189" t="n"/>
      <c r="I26" s="189" t="n"/>
      <c r="J26" s="189" t="n"/>
      <c r="M26">
        <f>M24*2.5%</f>
        <v/>
      </c>
    </row>
    <row r="27" ht="15.75" customHeight="1" s="186">
      <c r="A27" s="189" t="n"/>
      <c r="B27" s="189" t="inlineStr">
        <is>
          <t>Составил ______________________   Е. М. Добровольская</t>
        </is>
      </c>
      <c r="C27" s="189" t="n"/>
      <c r="D27" s="189" t="n"/>
      <c r="E27" s="189" t="n"/>
      <c r="F27" s="189" t="n"/>
      <c r="G27" s="189" t="n"/>
      <c r="H27" s="189" t="n"/>
      <c r="I27" s="189" t="n"/>
      <c r="J27" s="189" t="n"/>
      <c r="M27">
        <f>(M24+M26*2.5%)*2.1%</f>
        <v/>
      </c>
    </row>
    <row r="28" ht="22.5" customHeight="1" s="186">
      <c r="A28" s="189" t="n"/>
      <c r="B28" s="128" t="inlineStr">
        <is>
          <t xml:space="preserve">                         (подпись, инициалы, фамилия)</t>
        </is>
      </c>
      <c r="C28" s="189" t="n"/>
      <c r="D28" s="189" t="n"/>
      <c r="E28" s="189" t="n"/>
      <c r="F28" s="189" t="n"/>
      <c r="G28" s="189" t="n"/>
      <c r="H28" s="189" t="n"/>
      <c r="I28" s="189" t="n"/>
      <c r="J28" s="189" t="n"/>
    </row>
    <row r="29" ht="15.75" customHeight="1" s="186">
      <c r="A29" s="189" t="n"/>
      <c r="B29" s="189" t="n"/>
      <c r="C29" s="189" t="n"/>
      <c r="D29" s="189" t="n"/>
      <c r="E29" s="189" t="n"/>
      <c r="F29" s="189" t="n"/>
      <c r="G29" s="189" t="n"/>
      <c r="H29" s="189" t="n"/>
      <c r="I29" s="189" t="n"/>
      <c r="J29" s="189" t="n"/>
    </row>
    <row r="30" ht="15.75" customHeight="1" s="186">
      <c r="A30" s="189" t="n"/>
      <c r="B30" s="189" t="inlineStr">
        <is>
          <t>Проверил ______________________        А.В. Костянецкая</t>
        </is>
      </c>
      <c r="C30" s="189" t="n"/>
      <c r="D30" s="189" t="n"/>
      <c r="E30" s="189" t="n"/>
      <c r="F30" s="189" t="n"/>
      <c r="G30" s="189" t="n"/>
      <c r="H30" s="189" t="n"/>
      <c r="I30" s="189" t="n"/>
      <c r="J30" s="189" t="n"/>
    </row>
    <row r="31" ht="22.5" customHeight="1" s="186">
      <c r="A31" s="189" t="n"/>
      <c r="B31" s="128" t="inlineStr">
        <is>
          <t xml:space="preserve">                        (подпись, инициалы, фамилия)</t>
        </is>
      </c>
      <c r="C31" s="189" t="n"/>
      <c r="D31" s="189" t="n"/>
      <c r="E31" s="189" t="n"/>
      <c r="F31" s="189" t="n"/>
      <c r="G31" s="189" t="n"/>
      <c r="H31" s="189" t="n"/>
      <c r="I31" s="189" t="n"/>
      <c r="J31" s="189" t="n"/>
    </row>
  </sheetData>
  <mergeCells count="20">
    <mergeCell ref="D9:J9"/>
    <mergeCell ref="C17:C19"/>
    <mergeCell ref="F10:J10"/>
    <mergeCell ref="E10:E11"/>
    <mergeCell ref="F18:J18"/>
    <mergeCell ref="B6:J6"/>
    <mergeCell ref="B22:E22"/>
    <mergeCell ref="D18:D19"/>
    <mergeCell ref="B21:E21"/>
    <mergeCell ref="B4:J4"/>
    <mergeCell ref="B14:E14"/>
    <mergeCell ref="B7:J7"/>
    <mergeCell ref="B17:B19"/>
    <mergeCell ref="B3:J3"/>
    <mergeCell ref="D10:D11"/>
    <mergeCell ref="D17:J17"/>
    <mergeCell ref="B13:E13"/>
    <mergeCell ref="E18:E19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0"/>
  <sheetViews>
    <sheetView tabSelected="1" view="pageBreakPreview" topLeftCell="A43" zoomScale="70" workbookViewId="0">
      <selection activeCell="F66" sqref="F66"/>
    </sheetView>
  </sheetViews>
  <sheetFormatPr baseColWidth="8" defaultRowHeight="15.75"/>
  <cols>
    <col width="9.140625" customWidth="1" style="189" min="1" max="1"/>
    <col width="12.5703125" customWidth="1" style="189" min="2" max="2"/>
    <col width="22.42578125" customWidth="1" style="189" min="3" max="3"/>
    <col width="49.7109375" customWidth="1" style="189" min="4" max="4"/>
    <col width="12.42578125" customWidth="1" style="189" min="5" max="5"/>
    <col width="24.5703125" customWidth="1" style="189" min="6" max="6"/>
    <col width="16.140625" customWidth="1" style="189" min="7" max="7"/>
    <col width="16.7109375" customWidth="1" style="189" min="8" max="8"/>
    <col width="9.140625" customWidth="1" style="189" min="9" max="9"/>
    <col width="19.42578125" customWidth="1" style="189" min="10" max="10"/>
    <col width="13" customWidth="1" style="186" min="11" max="11"/>
    <col width="9.140625" customWidth="1" style="186" min="12" max="12"/>
  </cols>
  <sheetData>
    <row r="1" ht="10.5" customHeight="1" s="186">
      <c r="K1" s="189" t="n"/>
    </row>
    <row r="2">
      <c r="A2" s="202" t="inlineStr">
        <is>
          <t xml:space="preserve">Приложение № 3 </t>
        </is>
      </c>
      <c r="K2" s="189" t="n"/>
    </row>
    <row r="3">
      <c r="A3" s="203" t="inlineStr">
        <is>
          <t>Объектная ресурсная ведомость</t>
        </is>
      </c>
      <c r="K3" s="189" t="n"/>
    </row>
    <row r="4" s="186">
      <c r="A4" s="203" t="n"/>
      <c r="B4" s="203" t="n"/>
      <c r="C4" s="203" t="n"/>
      <c r="D4" s="203" t="n"/>
      <c r="E4" s="203" t="n"/>
      <c r="F4" s="203" t="n"/>
      <c r="G4" s="203" t="n"/>
      <c r="H4" s="203" t="n"/>
      <c r="I4" s="189" t="n"/>
      <c r="J4" s="189" t="n"/>
      <c r="K4" s="189" t="n"/>
    </row>
    <row r="5" ht="8.25" customHeight="1" s="186">
      <c r="A5" s="203" t="n"/>
      <c r="B5" s="203" t="n"/>
      <c r="C5" s="203" t="n"/>
      <c r="D5" s="203" t="n"/>
      <c r="E5" s="203" t="n"/>
      <c r="F5" s="203" t="n"/>
      <c r="G5" s="203" t="n"/>
      <c r="H5" s="203" t="n"/>
      <c r="I5" s="189" t="n"/>
      <c r="J5" s="189" t="n"/>
      <c r="K5" s="189" t="n"/>
    </row>
    <row r="6">
      <c r="A6" s="210">
        <f>'Прил.1 Сравнит табл'!B7</f>
        <v/>
      </c>
      <c r="K6" s="189" t="n"/>
    </row>
    <row r="7" ht="8.25" customHeight="1" s="186">
      <c r="A7" s="210" t="n"/>
      <c r="B7" s="210" t="n"/>
      <c r="C7" s="210" t="n"/>
      <c r="D7" s="210" t="n"/>
      <c r="E7" s="210" t="n"/>
      <c r="F7" s="210" t="n"/>
      <c r="G7" s="210" t="n"/>
      <c r="H7" s="210" t="n"/>
      <c r="K7" s="189" t="n"/>
    </row>
    <row r="8" ht="9" customHeight="1" s="186">
      <c r="A8" s="210" t="n"/>
      <c r="B8" s="210" t="n"/>
      <c r="C8" s="210" t="n"/>
      <c r="D8" s="210" t="n"/>
      <c r="E8" s="210" t="n"/>
      <c r="F8" s="210" t="n"/>
      <c r="G8" s="210" t="n"/>
      <c r="H8" s="210" t="n"/>
      <c r="I8" s="189" t="n"/>
      <c r="J8" s="189" t="n"/>
      <c r="K8" s="189" t="n"/>
    </row>
    <row r="9" ht="15.75" customHeight="1" s="186">
      <c r="A9" s="204" t="inlineStr">
        <is>
          <t>п/п</t>
        </is>
      </c>
      <c r="B9" s="204" t="inlineStr">
        <is>
          <t>№ЛСР</t>
        </is>
      </c>
      <c r="C9" s="204" t="inlineStr">
        <is>
          <t>Код ресурса</t>
        </is>
      </c>
      <c r="D9" s="204" t="inlineStr">
        <is>
          <t>Наименование ресурса</t>
        </is>
      </c>
      <c r="E9" s="204" t="inlineStr">
        <is>
          <t>Ед. изм.</t>
        </is>
      </c>
      <c r="F9" s="204" t="inlineStr">
        <is>
          <t>Кол-во единиц по данным объекта-представителя</t>
        </is>
      </c>
      <c r="G9" s="204" t="inlineStr">
        <is>
          <t>Сметная стоимость в ценах на 01.01.2000 (руб.)</t>
        </is>
      </c>
      <c r="H9" s="245" t="n"/>
      <c r="K9" s="189" t="n"/>
    </row>
    <row r="10">
      <c r="A10" s="247" t="n"/>
      <c r="B10" s="247" t="n"/>
      <c r="C10" s="247" t="n"/>
      <c r="D10" s="247" t="n"/>
      <c r="E10" s="247" t="n"/>
      <c r="F10" s="247" t="n"/>
      <c r="G10" s="204" t="inlineStr">
        <is>
          <t>на ед.изм.</t>
        </is>
      </c>
      <c r="H10" s="204" t="inlineStr">
        <is>
          <t>общая</t>
        </is>
      </c>
      <c r="K10" s="189" t="n"/>
    </row>
    <row r="11">
      <c r="A11" s="121" t="n">
        <v>1</v>
      </c>
      <c r="B11" s="121" t="n"/>
      <c r="C11" s="121" t="n">
        <v>2</v>
      </c>
      <c r="D11" s="121" t="inlineStr">
        <is>
          <t>З</t>
        </is>
      </c>
      <c r="E11" s="121" t="n">
        <v>4</v>
      </c>
      <c r="F11" s="121" t="n">
        <v>5</v>
      </c>
      <c r="G11" s="121" t="n">
        <v>6</v>
      </c>
      <c r="H11" s="121" t="n">
        <v>7</v>
      </c>
      <c r="I11" s="252" t="n"/>
      <c r="K11" s="189" t="n"/>
    </row>
    <row r="12">
      <c r="A12" s="207" t="inlineStr">
        <is>
          <t>Затраты труда рабочих</t>
        </is>
      </c>
      <c r="B12" s="244" t="n"/>
      <c r="C12" s="244" t="n"/>
      <c r="D12" s="244" t="n"/>
      <c r="E12" s="245" t="n"/>
      <c r="F12" s="253">
        <f>SUM(F13:F19)</f>
        <v/>
      </c>
      <c r="G12" s="161" t="n"/>
      <c r="H12" s="253">
        <f>SUM(H13:H19)</f>
        <v/>
      </c>
      <c r="I12" s="187" t="n"/>
      <c r="J12" s="187" t="n"/>
      <c r="K12" s="187" t="n"/>
    </row>
    <row r="13">
      <c r="A13" s="163" t="n">
        <v>1</v>
      </c>
      <c r="B13" s="140" t="n"/>
      <c r="C13" s="178" t="inlineStr">
        <is>
          <t>1-3-3</t>
        </is>
      </c>
      <c r="D13" s="179" t="inlineStr">
        <is>
          <t>Затраты труда рабочих (ср 3,3)</t>
        </is>
      </c>
      <c r="E13" s="238" t="inlineStr">
        <is>
          <t>чел.-ч</t>
        </is>
      </c>
      <c r="F13" s="254" t="n">
        <v>57.5688</v>
      </c>
      <c r="G13" s="157" t="n">
        <v>8.859999999999999</v>
      </c>
      <c r="H13" s="157">
        <f>ROUND(F13*G13,2)</f>
        <v/>
      </c>
      <c r="K13" s="189" t="n"/>
    </row>
    <row r="14" ht="15" customHeight="1" s="186">
      <c r="A14" s="163" t="n">
        <v>2</v>
      </c>
      <c r="B14" s="140" t="n"/>
      <c r="C14" s="178" t="inlineStr">
        <is>
          <t>1-3-0</t>
        </is>
      </c>
      <c r="D14" s="179" t="inlineStr">
        <is>
          <t>Затраты труда рабочих (ср 3)</t>
        </is>
      </c>
      <c r="E14" s="238" t="inlineStr">
        <is>
          <t>чел.-ч</t>
        </is>
      </c>
      <c r="F14" s="254" t="n">
        <v>59.50005</v>
      </c>
      <c r="G14" s="157" t="n">
        <v>8.529999999999999</v>
      </c>
      <c r="H14" s="157">
        <f>ROUND(F14*G14,2)</f>
        <v/>
      </c>
      <c r="K14" s="189" t="n"/>
    </row>
    <row r="15">
      <c r="A15" s="163" t="n">
        <v>3</v>
      </c>
      <c r="B15" s="140" t="n"/>
      <c r="C15" s="178" t="inlineStr">
        <is>
          <t>1-4-1</t>
        </is>
      </c>
      <c r="D15" s="179" t="inlineStr">
        <is>
          <t>Затраты труда рабочих (ср 4,1)</t>
        </is>
      </c>
      <c r="E15" s="238" t="inlineStr">
        <is>
          <t>чел.-ч</t>
        </is>
      </c>
      <c r="F15" s="254" t="n">
        <v>18.3882</v>
      </c>
      <c r="G15" s="157" t="n">
        <v>9.76</v>
      </c>
      <c r="H15" s="157">
        <f>ROUND(F15*G15,2)</f>
        <v/>
      </c>
      <c r="K15" s="189" t="n"/>
    </row>
    <row r="16" ht="15" customHeight="1" s="186">
      <c r="A16" s="163" t="n">
        <v>4</v>
      </c>
      <c r="B16" s="140" t="n"/>
      <c r="C16" s="178" t="inlineStr">
        <is>
          <t>1-2-0</t>
        </is>
      </c>
      <c r="D16" s="179" t="inlineStr">
        <is>
          <t>Затраты труда рабочих (ср 2)</t>
        </is>
      </c>
      <c r="E16" s="238" t="inlineStr">
        <is>
          <t>чел.-ч</t>
        </is>
      </c>
      <c r="F16" s="254" t="n">
        <v>10.2048</v>
      </c>
      <c r="G16" s="157" t="n">
        <v>7.8</v>
      </c>
      <c r="H16" s="157">
        <f>ROUND(F16*G16,2)</f>
        <v/>
      </c>
      <c r="K16" s="189" t="n"/>
    </row>
    <row r="17">
      <c r="A17" s="163" t="n">
        <v>5</v>
      </c>
      <c r="B17" s="140" t="n"/>
      <c r="C17" s="178" t="inlineStr">
        <is>
          <t>1-4-0</t>
        </is>
      </c>
      <c r="D17" s="179" t="inlineStr">
        <is>
          <t>Затраты труда рабочих (ср 4)</t>
        </is>
      </c>
      <c r="E17" s="238" t="inlineStr">
        <is>
          <t>чел.-ч</t>
        </is>
      </c>
      <c r="F17" s="254" t="n">
        <v>6.22625</v>
      </c>
      <c r="G17" s="157" t="n">
        <v>9.619999999999999</v>
      </c>
      <c r="H17" s="157">
        <f>ROUND(F17*G17,2)</f>
        <v/>
      </c>
      <c r="K17" s="189" t="n"/>
    </row>
    <row r="18" ht="15" customHeight="1" s="186">
      <c r="A18" s="163" t="n">
        <v>6</v>
      </c>
      <c r="B18" s="140" t="n"/>
      <c r="C18" s="178" t="inlineStr">
        <is>
          <t>1-3-9</t>
        </is>
      </c>
      <c r="D18" s="179" t="inlineStr">
        <is>
          <t>Затраты труда рабочих (ср 3,9)</t>
        </is>
      </c>
      <c r="E18" s="238" t="inlineStr">
        <is>
          <t>чел.-ч</t>
        </is>
      </c>
      <c r="F18" s="254" t="n">
        <v>5.088</v>
      </c>
      <c r="G18" s="157" t="n">
        <v>9.51</v>
      </c>
      <c r="H18" s="157">
        <f>ROUND(F18*G18,2)</f>
        <v/>
      </c>
      <c r="K18" s="189" t="n"/>
    </row>
    <row r="19">
      <c r="A19" s="163" t="n">
        <v>7</v>
      </c>
      <c r="B19" s="140" t="n"/>
      <c r="C19" s="178" t="inlineStr">
        <is>
          <t>1-3-4</t>
        </is>
      </c>
      <c r="D19" s="179" t="inlineStr">
        <is>
          <t>Затраты труда рабочих (ср 3,4)</t>
        </is>
      </c>
      <c r="E19" s="238" t="inlineStr">
        <is>
          <t>чел.-ч</t>
        </is>
      </c>
      <c r="F19" s="254" t="n">
        <v>2.808</v>
      </c>
      <c r="G19" s="157" t="n">
        <v>8.970000000000001</v>
      </c>
      <c r="H19" s="157">
        <f>ROUND(F19*G19,2)</f>
        <v/>
      </c>
      <c r="K19" s="189" t="n"/>
    </row>
    <row r="20">
      <c r="A20" s="207" t="inlineStr">
        <is>
          <t>Затраты труда машинистов</t>
        </is>
      </c>
      <c r="B20" s="244" t="n"/>
      <c r="C20" s="244" t="n"/>
      <c r="D20" s="244" t="n"/>
      <c r="E20" s="245" t="n"/>
      <c r="F20" s="207" t="n"/>
      <c r="G20" s="122" t="n"/>
      <c r="H20" s="253">
        <f>H21</f>
        <v/>
      </c>
      <c r="K20" s="189" t="n"/>
    </row>
    <row r="21">
      <c r="A21" s="163" t="n">
        <v>8</v>
      </c>
      <c r="B21" s="141" t="n"/>
      <c r="C21" s="178" t="n">
        <v>2</v>
      </c>
      <c r="D21" s="179" t="inlineStr">
        <is>
          <t>Затраты труда машинистов</t>
        </is>
      </c>
      <c r="E21" s="238" t="inlineStr">
        <is>
          <t>чел.-ч</t>
        </is>
      </c>
      <c r="F21" s="254" t="n">
        <v>25.329136</v>
      </c>
      <c r="G21" s="157" t="n"/>
      <c r="H21" s="255" t="n">
        <v>384.47</v>
      </c>
      <c r="K21" s="189" t="n"/>
    </row>
    <row r="22">
      <c r="A22" s="207" t="inlineStr">
        <is>
          <t>Машины и механизмы</t>
        </is>
      </c>
      <c r="B22" s="244" t="n"/>
      <c r="C22" s="244" t="n"/>
      <c r="D22" s="244" t="n"/>
      <c r="E22" s="245" t="n"/>
      <c r="F22" s="207" t="n"/>
      <c r="G22" s="122" t="n"/>
      <c r="H22" s="253">
        <f>SUM(H23:H37)</f>
        <v/>
      </c>
      <c r="I22" s="187" t="n"/>
      <c r="J22" s="256" t="n"/>
      <c r="K22" s="187" t="n"/>
    </row>
    <row r="23">
      <c r="A23" s="163" t="n">
        <v>9</v>
      </c>
      <c r="B23" s="141" t="n"/>
      <c r="C23" s="178" t="inlineStr">
        <is>
          <t>91.05.01-017</t>
        </is>
      </c>
      <c r="D23" s="179" t="inlineStr">
        <is>
          <t>Краны башенные, грузоподъемность 8 т</t>
        </is>
      </c>
      <c r="E23" s="238" t="inlineStr">
        <is>
          <t>маш.час</t>
        </is>
      </c>
      <c r="F23" s="257" t="n">
        <v>4.86696</v>
      </c>
      <c r="G23" s="174" t="n">
        <v>86.40000000000001</v>
      </c>
      <c r="H23" s="124">
        <f>ROUND(F23*G23,2)</f>
        <v/>
      </c>
      <c r="J23" s="258" t="n"/>
      <c r="K23" s="189" t="n"/>
    </row>
    <row r="24" ht="25.5" customHeight="1" s="186">
      <c r="A24" s="163" t="n">
        <v>10</v>
      </c>
      <c r="B24" s="141" t="n"/>
      <c r="C24" s="178" t="inlineStr">
        <is>
          <t>91.05.05-015</t>
        </is>
      </c>
      <c r="D24" s="179" t="inlineStr">
        <is>
          <t>Краны на автомобильном ходу, грузоподъемность 16 т</t>
        </is>
      </c>
      <c r="E24" s="238" t="inlineStr">
        <is>
          <t>маш.час</t>
        </is>
      </c>
      <c r="F24" s="257" t="n">
        <v>3.554095</v>
      </c>
      <c r="G24" s="174" t="n">
        <v>115.4</v>
      </c>
      <c r="H24" s="124">
        <f>ROUND(F24*G24,2)</f>
        <v/>
      </c>
      <c r="I24" s="187" t="n"/>
      <c r="J24" s="187" t="n"/>
      <c r="K24" s="187" t="n"/>
    </row>
    <row r="25">
      <c r="A25" s="163" t="n">
        <v>11</v>
      </c>
      <c r="B25" s="141" t="n"/>
      <c r="C25" s="178" t="inlineStr">
        <is>
          <t>91.14.03-002</t>
        </is>
      </c>
      <c r="D25" s="179" t="inlineStr">
        <is>
          <t>Автомобили-самосвалы, грузоподъемность до 10 т</t>
        </is>
      </c>
      <c r="E25" s="238" t="inlineStr">
        <is>
          <t>маш.-ч</t>
        </is>
      </c>
      <c r="F25" s="257" t="n">
        <v>2.14</v>
      </c>
      <c r="G25" s="174" t="n">
        <v>87.48999999999999</v>
      </c>
      <c r="H25" s="124">
        <f>ROUND(F25*G25,2)</f>
        <v/>
      </c>
      <c r="K25" s="189" t="n"/>
    </row>
    <row r="26" ht="25.5" customHeight="1" s="186">
      <c r="A26" s="163" t="n">
        <v>12</v>
      </c>
      <c r="B26" s="141" t="n"/>
      <c r="C26" s="178" t="inlineStr">
        <is>
          <t>91.01.05-087</t>
        </is>
      </c>
      <c r="D26" s="179" t="inlineStr">
        <is>
          <t>Экскаваторы одноковшовые дизельные на гусеничном ходу, емкость ковша 1,0 м3</t>
        </is>
      </c>
      <c r="E26" s="238" t="inlineStr">
        <is>
          <t>маш.час</t>
        </is>
      </c>
      <c r="F26" s="257" t="n">
        <v>1.515</v>
      </c>
      <c r="G26" s="174" t="n">
        <v>122.9</v>
      </c>
      <c r="H26" s="124">
        <f>ROUND(F26*G26,2)</f>
        <v/>
      </c>
      <c r="K26" s="189" t="n"/>
    </row>
    <row r="27" ht="38.25" customHeight="1" s="186">
      <c r="A27" s="163" t="n">
        <v>13</v>
      </c>
      <c r="B27" s="141" t="n"/>
      <c r="C27" s="178" t="inlineStr">
        <is>
          <t>91.18.01-007</t>
        </is>
      </c>
      <c r="D27" s="1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7" s="238" t="inlineStr">
        <is>
          <t>маш.час</t>
        </is>
      </c>
      <c r="F27" s="257" t="n">
        <v>1.5327</v>
      </c>
      <c r="G27" s="174" t="n">
        <v>90</v>
      </c>
      <c r="H27" s="124">
        <f>ROUND(F27*G27,2)</f>
        <v/>
      </c>
      <c r="K27" s="189" t="n"/>
    </row>
    <row r="28" ht="25.5" customHeight="1" s="186">
      <c r="A28" s="163" t="n">
        <v>14</v>
      </c>
      <c r="B28" s="141" t="n"/>
      <c r="C28" s="178" t="inlineStr">
        <is>
          <t>91.17.04-036</t>
        </is>
      </c>
      <c r="D28" s="179" t="inlineStr">
        <is>
          <t>Агрегаты сварочные передвижные с дизельным двигателем, номинальный сварочный ток 250-400 А</t>
        </is>
      </c>
      <c r="E28" s="238" t="inlineStr">
        <is>
          <t>маш.час</t>
        </is>
      </c>
      <c r="F28" s="257" t="n">
        <v>4.6758</v>
      </c>
      <c r="G28" s="174" t="n">
        <v>14</v>
      </c>
      <c r="H28" s="124">
        <f>ROUND(F28*G28,2)</f>
        <v/>
      </c>
      <c r="K28" s="189" t="n"/>
    </row>
    <row r="29">
      <c r="A29" s="163" t="n">
        <v>15</v>
      </c>
      <c r="B29" s="141" t="n"/>
      <c r="C29" s="178" t="inlineStr">
        <is>
          <t>91.14.02-001</t>
        </is>
      </c>
      <c r="D29" s="179" t="inlineStr">
        <is>
          <t>Автомобили бортовые, грузоподъемность до 5 т</t>
        </is>
      </c>
      <c r="E29" s="238" t="inlineStr">
        <is>
          <t>маш.час</t>
        </is>
      </c>
      <c r="F29" s="257" t="n">
        <v>0.597433</v>
      </c>
      <c r="G29" s="174" t="n">
        <v>65.70999999999999</v>
      </c>
      <c r="H29" s="124">
        <f>ROUND(F29*G29,2)</f>
        <v/>
      </c>
      <c r="K29" s="189" t="n"/>
    </row>
    <row r="30">
      <c r="A30" s="163" t="n">
        <v>16</v>
      </c>
      <c r="B30" s="141" t="n"/>
      <c r="C30" s="178" t="inlineStr">
        <is>
          <t>91.01.01-034</t>
        </is>
      </c>
      <c r="D30" s="179" t="inlineStr">
        <is>
          <t>Бульдозеры, мощность 59 кВт (80 л.с.)</t>
        </is>
      </c>
      <c r="E30" s="238" t="inlineStr">
        <is>
          <t>маш.час</t>
        </is>
      </c>
      <c r="F30" s="257" t="n">
        <v>0.50568</v>
      </c>
      <c r="G30" s="174" t="n">
        <v>59.47</v>
      </c>
      <c r="H30" s="124">
        <f>ROUND(F30*G30,2)</f>
        <v/>
      </c>
      <c r="K30" s="189" t="n"/>
    </row>
    <row r="31">
      <c r="A31" s="163" t="n">
        <v>17</v>
      </c>
      <c r="B31" s="141" t="n"/>
      <c r="C31" s="178" t="inlineStr">
        <is>
          <t>91.08.04-021</t>
        </is>
      </c>
      <c r="D31" s="179" t="inlineStr">
        <is>
          <t>Котлы битумные передвижные 400 л</t>
        </is>
      </c>
      <c r="E31" s="238" t="inlineStr">
        <is>
          <t>маш.час</t>
        </is>
      </c>
      <c r="F31" s="257" t="n">
        <v>0.468</v>
      </c>
      <c r="G31" s="174" t="n">
        <v>30</v>
      </c>
      <c r="H31" s="124">
        <f>ROUND(F31*G31,2)</f>
        <v/>
      </c>
      <c r="K31" s="189" t="n"/>
    </row>
    <row r="32" ht="25.5" customHeight="1" s="186">
      <c r="A32" s="163" t="n">
        <v>18</v>
      </c>
      <c r="B32" s="141" t="n"/>
      <c r="C32" s="178" t="inlineStr">
        <is>
          <t>91.17.04-233</t>
        </is>
      </c>
      <c r="D32" s="179" t="inlineStr">
        <is>
          <t>Установки для сварки ручной дуговой (постоянного тока)</t>
        </is>
      </c>
      <c r="E32" s="238" t="inlineStr">
        <is>
          <t>маш.час</t>
        </is>
      </c>
      <c r="F32" s="257" t="n">
        <v>1.185185</v>
      </c>
      <c r="G32" s="174" t="n">
        <v>8.1</v>
      </c>
      <c r="H32" s="124">
        <f>ROUND(F32*G32,2)</f>
        <v/>
      </c>
      <c r="K32" s="189" t="n"/>
    </row>
    <row r="33">
      <c r="A33" s="163" t="n">
        <v>19</v>
      </c>
      <c r="B33" s="141" t="n"/>
      <c r="C33" s="178" t="inlineStr">
        <is>
          <t>91.06.05-011</t>
        </is>
      </c>
      <c r="D33" s="179" t="inlineStr">
        <is>
          <t>Погрузчики, грузоподъемность 5 т</t>
        </is>
      </c>
      <c r="E33" s="238" t="inlineStr">
        <is>
          <t>маш.час</t>
        </is>
      </c>
      <c r="F33" s="257" t="n">
        <v>0.0555</v>
      </c>
      <c r="G33" s="174" t="n">
        <v>89.98999999999999</v>
      </c>
      <c r="H33" s="124">
        <f>ROUND(F33*G33,2)</f>
        <v/>
      </c>
      <c r="K33" s="189" t="n"/>
    </row>
    <row r="34">
      <c r="A34" s="163" t="n">
        <v>20</v>
      </c>
      <c r="B34" s="141" t="n"/>
      <c r="C34" s="178" t="inlineStr">
        <is>
          <t>91.07.04-001</t>
        </is>
      </c>
      <c r="D34" s="179" t="inlineStr">
        <is>
          <t>Вибраторы глубинные</t>
        </is>
      </c>
      <c r="E34" s="238" t="inlineStr">
        <is>
          <t>маш.час</t>
        </is>
      </c>
      <c r="F34" s="257" t="n">
        <v>2.6085</v>
      </c>
      <c r="G34" s="174" t="n">
        <v>1.9</v>
      </c>
      <c r="H34" s="124">
        <f>ROUND(F34*G34,2)</f>
        <v/>
      </c>
      <c r="K34" s="189" t="n"/>
    </row>
    <row r="35" ht="25.5" customHeight="1" s="186">
      <c r="A35" s="163" t="n">
        <v>21</v>
      </c>
      <c r="B35" s="141" t="n"/>
      <c r="C35" s="178" t="inlineStr">
        <is>
          <t>91.08.09-023</t>
        </is>
      </c>
      <c r="D35" s="179" t="inlineStr">
        <is>
          <t>Трамбовки пневматические при работе от передвижных компрессорных станций</t>
        </is>
      </c>
      <c r="E35" s="238" t="inlineStr">
        <is>
          <t>маш.час</t>
        </is>
      </c>
      <c r="F35" s="257" t="n">
        <v>6.1425</v>
      </c>
      <c r="G35" s="174" t="n">
        <v>0.55</v>
      </c>
      <c r="H35" s="124">
        <f>ROUND(F35*G35,2)</f>
        <v/>
      </c>
      <c r="K35" s="189" t="n"/>
    </row>
    <row r="36">
      <c r="A36" s="163" t="n">
        <v>22</v>
      </c>
      <c r="B36" s="141" t="n"/>
      <c r="C36" s="178" t="inlineStr">
        <is>
          <t>91.14.02-002</t>
        </is>
      </c>
      <c r="D36" s="179" t="inlineStr">
        <is>
          <t>Автомобили бортовые, грузоподъемность до 8 т</t>
        </is>
      </c>
      <c r="E36" s="238" t="inlineStr">
        <is>
          <t>маш.час</t>
        </is>
      </c>
      <c r="F36" s="257" t="n">
        <v>0.0372</v>
      </c>
      <c r="G36" s="174" t="n">
        <v>85.84</v>
      </c>
      <c r="H36" s="124">
        <f>ROUND(F36*G36,2)</f>
        <v/>
      </c>
      <c r="K36" s="189" t="n"/>
    </row>
    <row r="37">
      <c r="A37" s="163" t="n">
        <v>23</v>
      </c>
      <c r="B37" s="141" t="n"/>
      <c r="C37" s="178" t="inlineStr">
        <is>
          <t>91.07.04-002</t>
        </is>
      </c>
      <c r="D37" s="179" t="inlineStr">
        <is>
          <t>Вибраторы поверхностные</t>
        </is>
      </c>
      <c r="E37" s="238" t="inlineStr">
        <is>
          <t>маш.час</t>
        </is>
      </c>
      <c r="F37" s="257" t="n">
        <v>0.40064</v>
      </c>
      <c r="G37" s="174" t="n">
        <v>0.5</v>
      </c>
      <c r="H37" s="124">
        <f>ROUND(F37*G37,2)</f>
        <v/>
      </c>
      <c r="K37" s="189" t="n"/>
    </row>
    <row r="38">
      <c r="A38" s="207" t="inlineStr">
        <is>
          <t>Оборудование</t>
        </is>
      </c>
      <c r="B38" s="244" t="n"/>
      <c r="C38" s="244" t="n"/>
      <c r="D38" s="244" t="n"/>
      <c r="E38" s="245" t="n"/>
      <c r="F38" s="207" t="n"/>
      <c r="G38" s="122" t="n"/>
      <c r="H38" s="253" t="n">
        <v>0</v>
      </c>
      <c r="J38" s="137" t="n"/>
    </row>
    <row r="39">
      <c r="A39" s="207" t="inlineStr">
        <is>
          <t>Материалы</t>
        </is>
      </c>
      <c r="B39" s="244" t="n"/>
      <c r="C39" s="244" t="n"/>
      <c r="D39" s="244" t="n"/>
      <c r="E39" s="245" t="n"/>
      <c r="F39" s="207" t="n"/>
      <c r="G39" s="122" t="n"/>
      <c r="H39" s="253">
        <f>SUM(H40:H63)</f>
        <v/>
      </c>
      <c r="J39" s="137" t="n"/>
    </row>
    <row r="40" ht="25.5" customHeight="1" s="186">
      <c r="A40" s="163" t="n">
        <v>24</v>
      </c>
      <c r="B40" s="142" t="n"/>
      <c r="C40" s="178" t="inlineStr">
        <is>
          <t>04.1.02.05-0046</t>
        </is>
      </c>
      <c r="D40" s="179" t="inlineStr">
        <is>
          <t>Смеси бетонные тяжелого бетона (БСТ), крупность заполнителя 20 мм, класс В25 (М350)</t>
        </is>
      </c>
      <c r="E40" s="238" t="inlineStr">
        <is>
          <t>м3</t>
        </is>
      </c>
      <c r="F40" s="238" t="n">
        <v>45.066</v>
      </c>
      <c r="G40" s="157" t="n">
        <v>720</v>
      </c>
      <c r="H40" s="157">
        <f>ROUND(F40*G40,2)</f>
        <v/>
      </c>
    </row>
    <row r="41" ht="25.5" customHeight="1" s="186">
      <c r="A41" s="163" t="n">
        <v>25</v>
      </c>
      <c r="B41" s="142" t="n"/>
      <c r="C41" s="178" t="inlineStr">
        <is>
          <t>04.3.02.09-1531</t>
        </is>
      </c>
      <c r="D41" s="179" t="inlineStr">
        <is>
          <t>Смесь сухая безусадочная быстротвердеющая для ремонта бетонных конструкций, наливного типа</t>
        </is>
      </c>
      <c r="E41" s="238" t="inlineStr">
        <is>
          <t>кг</t>
        </is>
      </c>
      <c r="F41" s="238" t="n">
        <v>756</v>
      </c>
      <c r="G41" s="157" t="n">
        <v>12.91</v>
      </c>
      <c r="H41" s="157">
        <f>ROUND(F41*G41,2)</f>
        <v/>
      </c>
    </row>
    <row r="42" ht="25.5" customHeight="1" s="186">
      <c r="A42" s="163" t="n">
        <v>26</v>
      </c>
      <c r="B42" s="142" t="n"/>
      <c r="C42" s="178" t="inlineStr">
        <is>
          <t>08.4.03.03-0004</t>
        </is>
      </c>
      <c r="D42" s="179" t="inlineStr">
        <is>
          <t>Сталь арматурная рифленая свариваемая, класс А500С, диаметр 12 мм</t>
        </is>
      </c>
      <c r="E42" s="238" t="inlineStr">
        <is>
          <t>т</t>
        </is>
      </c>
      <c r="F42" s="238" t="n">
        <v>1.0478</v>
      </c>
      <c r="G42" s="157" t="n">
        <v>5584.58</v>
      </c>
      <c r="H42" s="157">
        <f>ROUND(F42*G42,2)</f>
        <v/>
      </c>
    </row>
    <row r="43" ht="25.5" customHeight="1" s="186">
      <c r="A43" s="163" t="n">
        <v>27</v>
      </c>
      <c r="B43" s="142" t="n"/>
      <c r="C43" s="178" t="inlineStr">
        <is>
          <t>04.1.02.05-0040</t>
        </is>
      </c>
      <c r="D43" s="179" t="inlineStr">
        <is>
          <t>Смеси бетонные тяжелого бетона (БСТ), крупность заполнителя 20 мм, класс В7,5 (М100)</t>
        </is>
      </c>
      <c r="E43" s="238" t="inlineStr">
        <is>
          <t>м3</t>
        </is>
      </c>
      <c r="F43" s="238" t="n">
        <v>8.16</v>
      </c>
      <c r="G43" s="157" t="n">
        <v>535.46</v>
      </c>
      <c r="H43" s="157">
        <f>ROUND(F43*G43,2)</f>
        <v/>
      </c>
    </row>
    <row r="44" ht="15" customHeight="1" s="186">
      <c r="A44" s="163" t="n">
        <v>28</v>
      </c>
      <c r="B44" s="142" t="n"/>
      <c r="C44" s="178" t="inlineStr">
        <is>
          <t>08.4.01.01-0022</t>
        </is>
      </c>
      <c r="D44" s="179" t="inlineStr">
        <is>
          <t>Детали анкерные с резьбой из прямых или гнутых круглых стержней</t>
        </is>
      </c>
      <c r="E44" s="238" t="inlineStr">
        <is>
          <t>т</t>
        </is>
      </c>
      <c r="F44" s="238" t="n">
        <v>0.3984</v>
      </c>
      <c r="G44" s="157" t="n">
        <v>10100</v>
      </c>
      <c r="H44" s="157">
        <f>ROUND(F44*G44,2)</f>
        <v/>
      </c>
    </row>
    <row r="45">
      <c r="A45" s="163" t="n">
        <v>29</v>
      </c>
      <c r="B45" s="142" t="n"/>
      <c r="C45" s="178" t="inlineStr">
        <is>
          <t>08.4.02.04-0001</t>
        </is>
      </c>
      <c r="D45" s="179" t="inlineStr">
        <is>
          <t>Каркасы металлические</t>
        </is>
      </c>
      <c r="E45" s="238" t="inlineStr">
        <is>
          <t>т</t>
        </is>
      </c>
      <c r="F45" s="238" t="n">
        <v>0.293</v>
      </c>
      <c r="G45" s="157" t="n">
        <v>8200</v>
      </c>
      <c r="H45" s="157">
        <f>ROUND(F45*G45,2)</f>
        <v/>
      </c>
    </row>
    <row r="46" ht="25.5" customHeight="1" s="186">
      <c r="A46" s="163" t="n">
        <v>30</v>
      </c>
      <c r="B46" s="142" t="n"/>
      <c r="C46" s="178" t="inlineStr">
        <is>
          <t>01.2.03.03-0018</t>
        </is>
      </c>
      <c r="D46" s="179" t="inlineStr">
        <is>
          <t>Мастика битумная кровельная холодного применения, универсальная</t>
        </is>
      </c>
      <c r="E46" s="238" t="inlineStr">
        <is>
          <t>т</t>
        </is>
      </c>
      <c r="F46" s="238" t="n">
        <v>0.168</v>
      </c>
      <c r="G46" s="157" t="n">
        <v>4812.7</v>
      </c>
      <c r="H46" s="157">
        <f>ROUND(F46*G46,2)</f>
        <v/>
      </c>
    </row>
    <row r="47" ht="15" customHeight="1" s="186">
      <c r="A47" s="163" t="n">
        <v>31</v>
      </c>
      <c r="B47" s="142" t="n"/>
      <c r="C47" s="178" t="inlineStr">
        <is>
          <t>08.4.03.03-0003</t>
        </is>
      </c>
      <c r="D47" s="179" t="inlineStr">
        <is>
          <t>Сталь арматурная рифленая свариваемая, класс А500С, диаметр 10 мм</t>
        </is>
      </c>
      <c r="E47" s="238" t="inlineStr">
        <is>
          <t>т</t>
        </is>
      </c>
      <c r="F47" s="238" t="n">
        <v>0.1238</v>
      </c>
      <c r="G47" s="157" t="n">
        <v>5802.77</v>
      </c>
      <c r="H47" s="157">
        <f>ROUND(F47*G47,2)</f>
        <v/>
      </c>
    </row>
    <row r="48">
      <c r="A48" s="163" t="n">
        <v>32</v>
      </c>
      <c r="B48" s="142" t="n"/>
      <c r="C48" s="178" t="inlineStr">
        <is>
          <t>11.2.13.04-0012</t>
        </is>
      </c>
      <c r="D48" s="179" t="inlineStr">
        <is>
          <t>Щиты из досок, толщина 40 мм</t>
        </is>
      </c>
      <c r="E48" s="238" t="inlineStr">
        <is>
          <t>м2</t>
        </is>
      </c>
      <c r="F48" s="238" t="n">
        <v>10.3452</v>
      </c>
      <c r="G48" s="157" t="n">
        <v>57.63</v>
      </c>
      <c r="H48" s="157">
        <f>ROUND(F48*G48,2)</f>
        <v/>
      </c>
    </row>
    <row r="49" ht="25.5" customHeight="1" s="186">
      <c r="A49" s="163" t="n">
        <v>33</v>
      </c>
      <c r="B49" s="142" t="n"/>
      <c r="C49" s="178" t="inlineStr">
        <is>
          <t>08.4.03.02-0003</t>
        </is>
      </c>
      <c r="D49" s="179" t="inlineStr">
        <is>
          <t>Сталь арматурная, горячекатаная, гладкая, класс А-I, диаметр 10 мм</t>
        </is>
      </c>
      <c r="E49" s="238" t="inlineStr">
        <is>
          <t>т</t>
        </is>
      </c>
      <c r="F49" s="238" t="n">
        <v>0.0605</v>
      </c>
      <c r="G49" s="157" t="n">
        <v>6726.18</v>
      </c>
      <c r="H49" s="157">
        <f>ROUND(F49*G49,2)</f>
        <v/>
      </c>
    </row>
    <row r="50">
      <c r="A50" s="163" t="n">
        <v>34</v>
      </c>
      <c r="B50" s="142" t="n"/>
      <c r="C50" s="178" t="inlineStr">
        <is>
          <t>01.7.11.07-0032</t>
        </is>
      </c>
      <c r="D50" s="179" t="inlineStr">
        <is>
          <t>Электроды сварочные Э42, диаметр 4 мм</t>
        </is>
      </c>
      <c r="E50" s="238" t="inlineStr">
        <is>
          <t>т</t>
        </is>
      </c>
      <c r="F50" s="238" t="n">
        <v>0.024851</v>
      </c>
      <c r="G50" s="157" t="n">
        <v>10315.01</v>
      </c>
      <c r="H50" s="157">
        <f>ROUND(F50*G50,2)</f>
        <v/>
      </c>
    </row>
    <row r="51">
      <c r="A51" s="163" t="n">
        <v>35</v>
      </c>
      <c r="B51" s="142" t="n"/>
      <c r="C51" s="178" t="inlineStr">
        <is>
          <t>01.2.03.05-0006</t>
        </is>
      </c>
      <c r="D51" s="179" t="inlineStr">
        <is>
          <t>Праймер битумно-полимерный ТЕХНОНИКОЛЬ №03</t>
        </is>
      </c>
      <c r="E51" s="238" t="inlineStr">
        <is>
          <t>л</t>
        </is>
      </c>
      <c r="F51" s="238" t="n">
        <v>14.4</v>
      </c>
      <c r="G51" s="157" t="n">
        <v>12.71</v>
      </c>
      <c r="H51" s="157">
        <f>ROUND(F51*G51,2)</f>
        <v/>
      </c>
    </row>
    <row r="52" ht="15" customHeight="1" s="186">
      <c r="A52" s="163" t="n">
        <v>36</v>
      </c>
      <c r="B52" s="142" t="n"/>
      <c r="C52" s="178" t="inlineStr">
        <is>
          <t>01.7.07.12-0024</t>
        </is>
      </c>
      <c r="D52" s="179" t="inlineStr">
        <is>
          <t>Пленка полиэтиленовая, толщина 0,15 мм</t>
        </is>
      </c>
      <c r="E52" s="238" t="inlineStr">
        <is>
          <t>м2</t>
        </is>
      </c>
      <c r="F52" s="238" t="n">
        <v>43.7984</v>
      </c>
      <c r="G52" s="157" t="n">
        <v>3.62</v>
      </c>
      <c r="H52" s="157">
        <f>ROUND(F52*G52,2)</f>
        <v/>
      </c>
    </row>
    <row r="53" ht="25.5" customHeight="1" s="186">
      <c r="A53" s="163" t="n">
        <v>37</v>
      </c>
      <c r="B53" s="142" t="n"/>
      <c r="C53" s="178" t="inlineStr">
        <is>
          <t>11.1.03.06-0095</t>
        </is>
      </c>
      <c r="D53" s="179" t="inlineStr">
        <is>
          <t>Доска обрезная, хвойных пород, ширина 75-150 мм, толщина 44 мм и более, длина 4-6,5 м, сорт III</t>
        </is>
      </c>
      <c r="E53" s="238" t="inlineStr">
        <is>
          <t>м3</t>
        </is>
      </c>
      <c r="F53" s="238" t="n">
        <v>0.12048</v>
      </c>
      <c r="G53" s="157" t="n">
        <v>1056</v>
      </c>
      <c r="H53" s="157">
        <f>ROUND(F53*G53,2)</f>
        <v/>
      </c>
    </row>
    <row r="54" ht="25.5" customHeight="1" s="186">
      <c r="A54" s="163" t="n">
        <v>38</v>
      </c>
      <c r="B54" s="142" t="n"/>
      <c r="C54" s="178" t="inlineStr">
        <is>
          <t>08.4.03.02-0002</t>
        </is>
      </c>
      <c r="D54" s="179" t="inlineStr">
        <is>
          <t>Сталь арматурная, горячекатаная, гладкая, класс А-I, диаметр 8 мм</t>
        </is>
      </c>
      <c r="E54" s="238" t="inlineStr">
        <is>
          <t>т</t>
        </is>
      </c>
      <c r="F54" s="238" t="n">
        <v>0.0173</v>
      </c>
      <c r="G54" s="157" t="n">
        <v>6780</v>
      </c>
      <c r="H54" s="157">
        <f>ROUND(F54*G54,2)</f>
        <v/>
      </c>
    </row>
    <row r="55" ht="15" customHeight="1" s="186">
      <c r="A55" s="163" t="n">
        <v>39</v>
      </c>
      <c r="B55" s="142" t="n"/>
      <c r="C55" s="178" t="inlineStr">
        <is>
          <t>01.7.15.06-0111</t>
        </is>
      </c>
      <c r="D55" s="179" t="inlineStr">
        <is>
          <t>Гвозди строительные</t>
        </is>
      </c>
      <c r="E55" s="238" t="inlineStr">
        <is>
          <t>т</t>
        </is>
      </c>
      <c r="F55" s="238" t="n">
        <v>0.004134</v>
      </c>
      <c r="G55" s="157" t="n">
        <v>11978</v>
      </c>
      <c r="H55" s="157">
        <f>ROUND(F55*G55,2)</f>
        <v/>
      </c>
    </row>
    <row r="56">
      <c r="A56" s="163" t="n">
        <v>40</v>
      </c>
      <c r="B56" s="142" t="n"/>
      <c r="C56" s="178" t="inlineStr">
        <is>
          <t>01.3.01.03-0002</t>
        </is>
      </c>
      <c r="D56" s="179" t="inlineStr">
        <is>
          <t>Керосин для технических целей</t>
        </is>
      </c>
      <c r="E56" s="238" t="inlineStr">
        <is>
          <t>т</t>
        </is>
      </c>
      <c r="F56" s="238" t="n">
        <v>0.01152</v>
      </c>
      <c r="G56" s="157" t="n">
        <v>2606.9</v>
      </c>
      <c r="H56" s="157">
        <f>ROUND(F56*G56,2)</f>
        <v/>
      </c>
    </row>
    <row r="57" ht="15" customHeight="1" s="186">
      <c r="A57" s="163" t="n">
        <v>41</v>
      </c>
      <c r="B57" s="142" t="n"/>
      <c r="C57" s="178" t="inlineStr">
        <is>
          <t>08.3.03.06-0002</t>
        </is>
      </c>
      <c r="D57" s="179" t="inlineStr">
        <is>
          <t>Проволока горячекатаная в мотках, диаметр 6,3-6,5 мм</t>
        </is>
      </c>
      <c r="E57" s="238" t="inlineStr">
        <is>
          <t>т</t>
        </is>
      </c>
      <c r="F57" s="238" t="n">
        <v>0.003552</v>
      </c>
      <c r="G57" s="157" t="n">
        <v>4455.2</v>
      </c>
      <c r="H57" s="157">
        <f>ROUND(F57*G57,2)</f>
        <v/>
      </c>
    </row>
    <row r="58" ht="25.5" customHeight="1" s="186">
      <c r="A58" s="163" t="n">
        <v>42</v>
      </c>
      <c r="B58" s="142" t="n"/>
      <c r="C58" s="178" t="inlineStr">
        <is>
          <t>11.1.03.06-0087</t>
        </is>
      </c>
      <c r="D58" s="179" t="inlineStr">
        <is>
          <t>Доска обрезная, хвойных пород, ширина 75-150 мм, толщина 25 мм, длина 4-6,5 м, сорт III</t>
        </is>
      </c>
      <c r="E58" s="238" t="inlineStr">
        <is>
          <t>м3</t>
        </is>
      </c>
      <c r="F58" s="238" t="n">
        <v>0.01152</v>
      </c>
      <c r="G58" s="157" t="n">
        <v>1100</v>
      </c>
      <c r="H58" s="157">
        <f>ROUND(F58*G58,2)</f>
        <v/>
      </c>
    </row>
    <row r="59">
      <c r="A59" s="163" t="n">
        <v>43</v>
      </c>
      <c r="B59" s="142" t="n"/>
      <c r="C59" s="178" t="inlineStr">
        <is>
          <t>08.3.03.04-0012</t>
        </is>
      </c>
      <c r="D59" s="179" t="inlineStr">
        <is>
          <t>Проволока светлая, диаметр 1,1 мм</t>
        </is>
      </c>
      <c r="E59" s="238" t="inlineStr">
        <is>
          <t>т</t>
        </is>
      </c>
      <c r="F59" s="238" t="n">
        <v>0.0009768000000000001</v>
      </c>
      <c r="G59" s="157" t="n">
        <v>10200</v>
      </c>
      <c r="H59" s="157">
        <f>ROUND(F59*G59,2)</f>
        <v/>
      </c>
    </row>
    <row r="60">
      <c r="A60" s="163" t="n">
        <v>44</v>
      </c>
      <c r="B60" s="142" t="n"/>
      <c r="C60" s="178" t="inlineStr">
        <is>
          <t>03.1.02.03-0011</t>
        </is>
      </c>
      <c r="D60" s="179" t="inlineStr">
        <is>
          <t>Известь строительная негашеная комовая, сорт I</t>
        </is>
      </c>
      <c r="E60" s="238" t="inlineStr">
        <is>
          <t>т</t>
        </is>
      </c>
      <c r="F60" s="238" t="n">
        <v>0.004884</v>
      </c>
      <c r="G60" s="157" t="n">
        <v>734.5</v>
      </c>
      <c r="H60" s="157">
        <f>ROUND(F60*G60,2)</f>
        <v/>
      </c>
    </row>
    <row r="61">
      <c r="A61" s="163" t="n">
        <v>45</v>
      </c>
      <c r="B61" s="142" t="n"/>
      <c r="C61" s="178" t="inlineStr">
        <is>
          <t>07.2.07.02-0001</t>
        </is>
      </c>
      <c r="D61" s="179" t="inlineStr">
        <is>
          <t>Кондуктор инвентарный металлический</t>
        </is>
      </c>
      <c r="E61" s="238" t="inlineStr">
        <is>
          <t>шт</t>
        </is>
      </c>
      <c r="F61" s="238" t="n">
        <v>0.003984</v>
      </c>
      <c r="G61" s="157" t="n">
        <v>346</v>
      </c>
      <c r="H61" s="157">
        <f>ROUND(F61*G61,2)</f>
        <v/>
      </c>
    </row>
    <row r="62" ht="15" customHeight="1" s="186">
      <c r="A62" s="163" t="n">
        <v>46</v>
      </c>
      <c r="B62" s="142" t="n"/>
      <c r="C62" s="178" t="inlineStr">
        <is>
          <t>01.7.03.01-0001</t>
        </is>
      </c>
      <c r="D62" s="179" t="inlineStr">
        <is>
          <t>Вода</t>
        </is>
      </c>
      <c r="E62" s="238" t="inlineStr">
        <is>
          <t>м3</t>
        </is>
      </c>
      <c r="F62" s="238" t="n">
        <v>0.211928</v>
      </c>
      <c r="G62" s="157" t="n">
        <v>2.44</v>
      </c>
      <c r="H62" s="157">
        <f>ROUND(F62*G62,2)</f>
        <v/>
      </c>
    </row>
    <row r="63">
      <c r="A63" s="163" t="n">
        <v>47</v>
      </c>
      <c r="B63" s="142" t="n"/>
      <c r="C63" s="178" t="inlineStr">
        <is>
          <t>01.7.20.08-0051</t>
        </is>
      </c>
      <c r="D63" s="179" t="inlineStr">
        <is>
          <t>Ветошь</t>
        </is>
      </c>
      <c r="E63" s="238" t="inlineStr">
        <is>
          <t>кг</t>
        </is>
      </c>
      <c r="F63" s="238" t="n">
        <v>0.048</v>
      </c>
      <c r="G63" s="157" t="n">
        <v>1.82</v>
      </c>
      <c r="H63" s="157">
        <f>ROUND(F63*G63,2)</f>
        <v/>
      </c>
    </row>
    <row r="64" ht="8.25" customHeight="1" s="186">
      <c r="J64" s="143" t="n"/>
    </row>
    <row r="65" ht="7.5" customHeight="1" s="186"/>
    <row r="66">
      <c r="B66" s="189" t="inlineStr">
        <is>
          <t>Составил ______________________  Е. М. Добровольская</t>
        </is>
      </c>
    </row>
    <row r="67">
      <c r="B67" s="106" t="inlineStr">
        <is>
          <t xml:space="preserve">                         (подпись, инициалы, фамилия)</t>
        </is>
      </c>
    </row>
    <row r="69">
      <c r="B69" s="189" t="inlineStr">
        <is>
          <t>Проверил ______________________        А.В. Костянецкая</t>
        </is>
      </c>
    </row>
    <row r="70">
      <c r="B70" s="106" t="inlineStr">
        <is>
          <t xml:space="preserve">                        (подпись, инициалы, фамилия)</t>
        </is>
      </c>
    </row>
  </sheetData>
  <mergeCells count="15">
    <mergeCell ref="A39:E39"/>
    <mergeCell ref="B9:B10"/>
    <mergeCell ref="A12:E12"/>
    <mergeCell ref="A3:H3"/>
    <mergeCell ref="C9:C10"/>
    <mergeCell ref="A20:E20"/>
    <mergeCell ref="D9:D10"/>
    <mergeCell ref="E9:E10"/>
    <mergeCell ref="A9:A10"/>
    <mergeCell ref="F9:F10"/>
    <mergeCell ref="A38:E38"/>
    <mergeCell ref="A2:H2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9.140625" customWidth="1" style="186" min="6" max="6"/>
    <col width="12.85546875" customWidth="1" style="186" min="7" max="7"/>
    <col width="9.140625" customWidth="1" style="186" min="8" max="11"/>
    <col width="13.5703125" customWidth="1" style="186" min="12" max="12"/>
    <col width="9.140625" customWidth="1" style="186" min="13" max="13"/>
  </cols>
  <sheetData>
    <row r="1">
      <c r="B1" s="193" t="n"/>
      <c r="C1" s="193" t="n"/>
      <c r="D1" s="193" t="n"/>
      <c r="E1" s="193" t="n"/>
    </row>
    <row r="2">
      <c r="B2" s="193" t="n"/>
      <c r="C2" s="193" t="n"/>
      <c r="D2" s="193" t="n"/>
      <c r="E2" s="237" t="inlineStr">
        <is>
          <t>Приложение № 4</t>
        </is>
      </c>
    </row>
    <row r="3">
      <c r="B3" s="193" t="n"/>
      <c r="C3" s="193" t="n"/>
      <c r="D3" s="193" t="n"/>
      <c r="E3" s="193" t="n"/>
    </row>
    <row r="4">
      <c r="B4" s="193" t="n"/>
      <c r="C4" s="193" t="n"/>
      <c r="D4" s="193" t="n"/>
      <c r="E4" s="193" t="n"/>
    </row>
    <row r="5">
      <c r="B5" s="214" t="inlineStr">
        <is>
          <t>Ресурсная модель</t>
        </is>
      </c>
    </row>
    <row r="6">
      <c r="B6" s="18" t="n"/>
      <c r="C6" s="193" t="n"/>
      <c r="D6" s="193" t="n"/>
      <c r="E6" s="193" t="n"/>
    </row>
    <row r="7" ht="39.75" customHeight="1" s="186">
      <c r="B7" s="215">
        <f>'Прил.1 Сравнит табл'!B7</f>
        <v/>
      </c>
    </row>
    <row r="8">
      <c r="B8" s="216">
        <f>'Прил.1 Сравнит табл'!B9</f>
        <v/>
      </c>
    </row>
    <row r="9">
      <c r="B9" s="18" t="n"/>
      <c r="C9" s="193" t="n"/>
      <c r="D9" s="193" t="n"/>
      <c r="E9" s="193" t="n"/>
    </row>
    <row r="10" ht="51" customHeight="1" s="186">
      <c r="B10" s="218" t="inlineStr">
        <is>
          <t>Наименование</t>
        </is>
      </c>
      <c r="C10" s="218" t="inlineStr">
        <is>
          <t>Сметная стоимость в ценах на 01.01.2023
 (руб.)</t>
        </is>
      </c>
      <c r="D10" s="218" t="inlineStr">
        <is>
          <t>Удельный вес, 
(в СМР)</t>
        </is>
      </c>
      <c r="E10" s="218" t="inlineStr">
        <is>
          <t>Удельный вес, % 
(от всего по РМ)</t>
        </is>
      </c>
    </row>
    <row r="11">
      <c r="B11" s="51" t="inlineStr">
        <is>
          <t>Оплата труда рабочих</t>
        </is>
      </c>
      <c r="C11" s="55">
        <f>'Прил.5 Расчет СМР и ОБ'!J14</f>
        <v/>
      </c>
      <c r="D11" s="53">
        <f>C11/$C$24</f>
        <v/>
      </c>
      <c r="E11" s="53">
        <f>C11/$C$40</f>
        <v/>
      </c>
    </row>
    <row r="12">
      <c r="B12" s="51" t="inlineStr">
        <is>
          <t>Эксплуатация машин основных</t>
        </is>
      </c>
      <c r="C12" s="55">
        <f>'Прил.5 Расчет СМР и ОБ'!J24</f>
        <v/>
      </c>
      <c r="D12" s="53">
        <f>C12/$C$24</f>
        <v/>
      </c>
      <c r="E12" s="53">
        <f>C12/$C$40</f>
        <v/>
      </c>
    </row>
    <row r="13">
      <c r="B13" s="51" t="inlineStr">
        <is>
          <t>Эксплуатация машин прочих</t>
        </is>
      </c>
      <c r="C13" s="55">
        <f>'Прил.5 Расчет СМР и ОБ'!J35</f>
        <v/>
      </c>
      <c r="D13" s="53">
        <f>C13/$C$24</f>
        <v/>
      </c>
      <c r="E13" s="53">
        <f>C13/$C$40</f>
        <v/>
      </c>
    </row>
    <row r="14">
      <c r="B14" s="51" t="inlineStr">
        <is>
          <t>ЭКСПЛУАТАЦИЯ МАШИН, ВСЕГО:</t>
        </is>
      </c>
      <c r="C14" s="55">
        <f>C13+C12</f>
        <v/>
      </c>
      <c r="D14" s="53">
        <f>C14/$C$24</f>
        <v/>
      </c>
      <c r="E14" s="53">
        <f>C14/$C$40</f>
        <v/>
      </c>
    </row>
    <row r="15">
      <c r="B15" s="51" t="inlineStr">
        <is>
          <t>в том числе зарплата машинистов</t>
        </is>
      </c>
      <c r="C15" s="55">
        <f>'Прил.5 Расчет СМР и ОБ'!J16</f>
        <v/>
      </c>
      <c r="D15" s="53">
        <f>C15/$C$24</f>
        <v/>
      </c>
      <c r="E15" s="53">
        <f>C15/$C$40</f>
        <v/>
      </c>
    </row>
    <row r="16">
      <c r="B16" s="51" t="inlineStr">
        <is>
          <t>Материалы основные</t>
        </is>
      </c>
      <c r="C16" s="55">
        <f>'Прил.5 Расчет СМР и ОБ'!J50</f>
        <v/>
      </c>
      <c r="D16" s="53">
        <f>C16/$C$24</f>
        <v/>
      </c>
      <c r="E16" s="53">
        <f>C16/$C$40</f>
        <v/>
      </c>
    </row>
    <row r="17">
      <c r="B17" s="51" t="inlineStr">
        <is>
          <t>Материалы прочие</t>
        </is>
      </c>
      <c r="C17" s="55">
        <f>'Прил.5 Расчет СМР и ОБ'!J70</f>
        <v/>
      </c>
      <c r="D17" s="53">
        <f>C17/$C$24</f>
        <v/>
      </c>
      <c r="E17" s="53">
        <f>C17/$C$40</f>
        <v/>
      </c>
      <c r="G17" s="259" t="n"/>
    </row>
    <row r="18">
      <c r="B18" s="51" t="inlineStr">
        <is>
          <t>МАТЕРИАЛЫ, ВСЕГО:</t>
        </is>
      </c>
      <c r="C18" s="55">
        <f>C17+C16</f>
        <v/>
      </c>
      <c r="D18" s="53">
        <f>C18/$C$24</f>
        <v/>
      </c>
      <c r="E18" s="53">
        <f>C18/$C$40</f>
        <v/>
      </c>
    </row>
    <row r="19">
      <c r="B19" s="51" t="inlineStr">
        <is>
          <t>ИТОГО</t>
        </is>
      </c>
      <c r="C19" s="55">
        <f>C18+C14+C11</f>
        <v/>
      </c>
      <c r="D19" s="53" t="n"/>
      <c r="E19" s="51" t="n"/>
    </row>
    <row r="20">
      <c r="B20" s="51" t="inlineStr">
        <is>
          <t>Сметная прибыль, руб.</t>
        </is>
      </c>
      <c r="C20" s="55">
        <f>ROUND(C21*(C11+C15),2)</f>
        <v/>
      </c>
      <c r="D20" s="53">
        <f>C20/$C$24</f>
        <v/>
      </c>
      <c r="E20" s="53">
        <f>C20/$C$40</f>
        <v/>
      </c>
    </row>
    <row r="21">
      <c r="B21" s="51" t="inlineStr">
        <is>
          <t>Сметная прибыль, %</t>
        </is>
      </c>
      <c r="C21" s="56">
        <f>'Прил.5 Расчет СМР и ОБ'!E74</f>
        <v/>
      </c>
      <c r="D21" s="53" t="n"/>
      <c r="E21" s="51" t="n"/>
    </row>
    <row r="22">
      <c r="B22" s="51" t="inlineStr">
        <is>
          <t>Накладные расходы, руб.</t>
        </is>
      </c>
      <c r="C22" s="55">
        <f>ROUND(C23*(C11+C15),2)</f>
        <v/>
      </c>
      <c r="D22" s="53">
        <f>C22/$C$24</f>
        <v/>
      </c>
      <c r="E22" s="53">
        <f>C22/$C$40</f>
        <v/>
      </c>
    </row>
    <row r="23">
      <c r="B23" s="51" t="inlineStr">
        <is>
          <t>Накладные расходы, %</t>
        </is>
      </c>
      <c r="C23" s="56">
        <f>'Прил.5 Расчет СМР и ОБ'!E73</f>
        <v/>
      </c>
      <c r="D23" s="53" t="n"/>
      <c r="E23" s="51" t="n"/>
    </row>
    <row r="24">
      <c r="B24" s="51" t="inlineStr">
        <is>
          <t>ВСЕГО СМР с НР и СП</t>
        </is>
      </c>
      <c r="C24" s="55">
        <f>C19+C20+C22</f>
        <v/>
      </c>
      <c r="D24" s="53">
        <f>C24/$C$24</f>
        <v/>
      </c>
      <c r="E24" s="53">
        <f>C24/$C$40</f>
        <v/>
      </c>
    </row>
    <row r="25" ht="25.5" customHeight="1" s="186">
      <c r="B25" s="51" t="inlineStr">
        <is>
          <t>ВСЕГО стоимость оборудования, в том числе</t>
        </is>
      </c>
      <c r="C25" s="55">
        <f>'Прил.5 Расчет СМР и ОБ'!J41</f>
        <v/>
      </c>
      <c r="D25" s="53" t="n"/>
      <c r="E25" s="53">
        <f>C25/$C$40</f>
        <v/>
      </c>
    </row>
    <row r="26" ht="25.5" customHeight="1" s="186">
      <c r="B26" s="51" t="inlineStr">
        <is>
          <t>стоимость оборудования технологического</t>
        </is>
      </c>
      <c r="C26" s="55">
        <f>'Прил.5 Расчет СМР и ОБ'!J42</f>
        <v/>
      </c>
      <c r="D26" s="53" t="n"/>
      <c r="E26" s="53">
        <f>C26/$C$40</f>
        <v/>
      </c>
    </row>
    <row r="27">
      <c r="B27" s="51" t="inlineStr">
        <is>
          <t>ИТОГО (СМР + ОБОРУДОВАНИЕ)</t>
        </is>
      </c>
      <c r="C27" s="52">
        <f>C24+C25</f>
        <v/>
      </c>
      <c r="D27" s="53" t="n"/>
      <c r="E27" s="53">
        <f>C27/$C$40</f>
        <v/>
      </c>
    </row>
    <row r="28" ht="33" customHeight="1" s="186">
      <c r="B28" s="51" t="inlineStr">
        <is>
          <t>ПРОЧ. ЗАТР., УЧТЕННЫЕ ПОКАЗАТЕЛЕМ,  в том числе</t>
        </is>
      </c>
      <c r="C28" s="51" t="n"/>
      <c r="D28" s="51" t="n"/>
      <c r="E28" s="51" t="n"/>
    </row>
    <row r="29" ht="25.5" customHeight="1" s="186">
      <c r="B29" s="51" t="inlineStr">
        <is>
          <t>Временные здания и сооружения - 3,9%</t>
        </is>
      </c>
      <c r="C29" s="52">
        <f>ROUND(C24*3.9%,2)</f>
        <v/>
      </c>
      <c r="D29" s="51" t="n"/>
      <c r="E29" s="53" t="n">
        <v>0.039</v>
      </c>
    </row>
    <row r="30" ht="38.25" customHeight="1" s="186">
      <c r="B30" s="51" t="inlineStr">
        <is>
          <t>Дополнительные затраты при производстве строительно-монтажных работ в зимнее время - 2,1%</t>
        </is>
      </c>
      <c r="C30" s="52">
        <f>ROUND((C24+C29)*2.1%,2)</f>
        <v/>
      </c>
      <c r="D30" s="51" t="n"/>
      <c r="E30" s="53" t="n">
        <v>0.021</v>
      </c>
    </row>
    <row r="31">
      <c r="B31" s="51" t="inlineStr">
        <is>
          <t xml:space="preserve">Пусконаладочные работы </t>
        </is>
      </c>
      <c r="C31" s="52" t="n">
        <v>0</v>
      </c>
      <c r="D31" s="51" t="n"/>
      <c r="E31" s="53">
        <f>C31/$C$40</f>
        <v/>
      </c>
    </row>
    <row r="32" ht="25.5" customHeight="1" s="186">
      <c r="B32" s="51" t="inlineStr">
        <is>
          <t>Затраты по перевозке работников к месту работы и обратно</t>
        </is>
      </c>
      <c r="C32" s="52" t="n">
        <v>0</v>
      </c>
      <c r="D32" s="51" t="n"/>
      <c r="E32" s="53">
        <f>C32/$C$40</f>
        <v/>
      </c>
      <c r="G32" s="139" t="n"/>
    </row>
    <row r="33" ht="25.5" customHeight="1" s="186">
      <c r="B33" s="51" t="inlineStr">
        <is>
          <t xml:space="preserve">Затраты, связанные с осуществлением работ вахтовым методом </t>
        </is>
      </c>
      <c r="C33" s="52" t="n">
        <v>0</v>
      </c>
      <c r="D33" s="51" t="n"/>
      <c r="E33" s="53">
        <f>C33/$C$40</f>
        <v/>
      </c>
      <c r="G33" s="139" t="n"/>
    </row>
    <row r="34" ht="51" customHeight="1" s="186">
      <c r="B34" s="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2" t="n">
        <v>0</v>
      </c>
      <c r="D34" s="51" t="n"/>
      <c r="E34" s="53">
        <f>C34/$C$40</f>
        <v/>
      </c>
      <c r="G34" s="139" t="n"/>
    </row>
    <row r="35" ht="76.5" customHeight="1" s="186">
      <c r="B35" s="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2" t="n">
        <v>0</v>
      </c>
      <c r="D35" s="51" t="n"/>
      <c r="E35" s="53">
        <f>C35/$C$40</f>
        <v/>
      </c>
      <c r="G35" s="260" t="n"/>
    </row>
    <row r="36" ht="25.5" customHeight="1" s="186">
      <c r="B36" s="51" t="inlineStr">
        <is>
          <t>Строительный контроль и содержание службы заказчика - 2,14%</t>
        </is>
      </c>
      <c r="C36" s="52">
        <f>ROUND(SUM(C27:C35)*2.14%,2)</f>
        <v/>
      </c>
      <c r="D36" s="51" t="n"/>
      <c r="E36" s="53">
        <f>C36/$C$40</f>
        <v/>
      </c>
      <c r="G36" s="86" t="n"/>
      <c r="L36" s="20" t="n"/>
    </row>
    <row r="37">
      <c r="B37" s="51" t="inlineStr">
        <is>
          <t>Авторский надзор - 0,2%</t>
        </is>
      </c>
      <c r="C37" s="52">
        <f>ROUND(SUM(C27:C35)*0.2%,2)</f>
        <v/>
      </c>
      <c r="D37" s="51" t="n"/>
      <c r="E37" s="53">
        <f>C37/$C$40</f>
        <v/>
      </c>
      <c r="G37" s="86" t="n"/>
      <c r="L37" s="20" t="n"/>
    </row>
    <row r="38" ht="38.25" customHeight="1" s="186">
      <c r="B38" s="51" t="inlineStr">
        <is>
          <t>ИТОГО (СМР+ОБОРУДОВАНИЕ+ПРОЧ. ЗАТР., УЧТЕННЫЕ ПОКАЗАТЕЛЕМ)</t>
        </is>
      </c>
      <c r="C38" s="55">
        <f>SUM(C27:C37)</f>
        <v/>
      </c>
      <c r="D38" s="51" t="n"/>
      <c r="E38" s="53">
        <f>C38/$C$40</f>
        <v/>
      </c>
    </row>
    <row r="39" ht="13.5" customHeight="1" s="186">
      <c r="B39" s="51" t="inlineStr">
        <is>
          <t>Непредвиденные расходы</t>
        </is>
      </c>
      <c r="C39" s="55">
        <f>ROUND(C38*3%,2)</f>
        <v/>
      </c>
      <c r="D39" s="51" t="n"/>
      <c r="E39" s="53">
        <f>C39/$C$40</f>
        <v/>
      </c>
    </row>
    <row r="40">
      <c r="B40" s="51" t="inlineStr">
        <is>
          <t>ВСЕГО:</t>
        </is>
      </c>
      <c r="C40" s="55">
        <f>C39+C38</f>
        <v/>
      </c>
      <c r="D40" s="51" t="n"/>
      <c r="E40" s="53">
        <f>C40/$C$40</f>
        <v/>
      </c>
    </row>
    <row r="41">
      <c r="B41" s="51" t="inlineStr">
        <is>
          <t>ИТОГО ПОКАЗАТЕЛЬ НА ЕД. ИЗМ.</t>
        </is>
      </c>
      <c r="C41" s="55">
        <f>C40/'Прил.5 Расчет СМР и ОБ'!E77</f>
        <v/>
      </c>
      <c r="D41" s="51" t="n"/>
      <c r="E41" s="51" t="n"/>
    </row>
    <row r="42">
      <c r="B42" s="21" t="n"/>
      <c r="C42" s="193" t="n"/>
      <c r="D42" s="193" t="n"/>
      <c r="E42" s="193" t="n"/>
    </row>
    <row r="43">
      <c r="B43" s="193" t="inlineStr">
        <is>
          <t>Составил ______________________    Е. М. Добровольская</t>
        </is>
      </c>
      <c r="C43" s="194" t="n"/>
      <c r="D43" s="193" t="n"/>
      <c r="E43" s="193" t="n"/>
    </row>
    <row r="44">
      <c r="B44" s="196" t="inlineStr">
        <is>
          <t xml:space="preserve">                         (подпись, инициалы, фамилия)</t>
        </is>
      </c>
      <c r="C44" s="194" t="n"/>
      <c r="D44" s="193" t="n"/>
      <c r="E44" s="193" t="n"/>
    </row>
    <row r="45">
      <c r="B45" s="193" t="n"/>
      <c r="C45" s="194" t="n"/>
      <c r="D45" s="193" t="n"/>
      <c r="E45" s="193" t="n"/>
    </row>
    <row r="46">
      <c r="B46" s="193" t="inlineStr">
        <is>
          <t>Проверил ______________________        А.В. Костянецкая</t>
        </is>
      </c>
      <c r="C46" s="194" t="n"/>
      <c r="D46" s="193" t="n"/>
      <c r="E46" s="193" t="n"/>
    </row>
    <row r="47">
      <c r="B47" s="196" t="inlineStr">
        <is>
          <t xml:space="preserve">                        (подпись, инициалы, фамилия)</t>
        </is>
      </c>
      <c r="C47" s="194" t="n"/>
      <c r="D47" s="193" t="n"/>
      <c r="E47" s="193" t="n"/>
    </row>
    <row r="49">
      <c r="B49" s="193" t="n"/>
      <c r="C49" s="193" t="n"/>
      <c r="D49" s="193" t="n"/>
      <c r="E49" s="193" t="n"/>
    </row>
    <row r="50">
      <c r="B50" s="193" t="n"/>
      <c r="C50" s="193" t="n"/>
      <c r="D50" s="193" t="n"/>
      <c r="E50" s="19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4"/>
  <sheetViews>
    <sheetView view="pageBreakPreview" topLeftCell="A62" workbookViewId="0">
      <selection activeCell="F80" sqref="F80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2.7109375" customWidth="1" style="194" min="5" max="5"/>
    <col width="14.5703125" customWidth="1" style="194" min="6" max="6"/>
    <col width="13.42578125" customWidth="1" style="194" min="7" max="7"/>
    <col width="12.7109375" customWidth="1" style="194" min="8" max="8"/>
    <col width="14.5703125" customWidth="1" style="194" min="9" max="9"/>
    <col width="15.140625" customWidth="1" style="194" min="10" max="10"/>
    <col width="21" customWidth="1" style="194" min="11" max="11"/>
    <col width="18.7109375" customWidth="1" style="194" min="12" max="12"/>
    <col width="10.85546875" customWidth="1" style="194" min="13" max="13"/>
    <col width="9.140625" customWidth="1" style="194" min="14" max="14"/>
    <col width="9.140625" customWidth="1" style="186" min="15" max="15"/>
  </cols>
  <sheetData>
    <row r="2" ht="15.75" customHeight="1" s="186">
      <c r="I2" s="189" t="n"/>
      <c r="J2" s="87" t="inlineStr">
        <is>
          <t>Приложение №5</t>
        </is>
      </c>
    </row>
    <row r="4" ht="12.75" customFormat="1" customHeight="1" s="193">
      <c r="A4" s="214" t="inlineStr">
        <is>
          <t>Расчет стоимости СМР и оборудования</t>
        </is>
      </c>
      <c r="I4" s="214" t="n"/>
      <c r="J4" s="214" t="n"/>
    </row>
    <row r="5" ht="12.75" customFormat="1" customHeight="1" s="193">
      <c r="A5" s="214" t="n"/>
      <c r="B5" s="214" t="n"/>
      <c r="C5" s="214" t="n"/>
      <c r="D5" s="214" t="n"/>
      <c r="E5" s="214" t="n"/>
      <c r="F5" s="214" t="n"/>
      <c r="G5" s="214" t="n"/>
      <c r="H5" s="214" t="n"/>
      <c r="I5" s="214" t="n"/>
      <c r="J5" s="214" t="n"/>
    </row>
    <row r="6" ht="41.25" customFormat="1" customHeight="1" s="193">
      <c r="A6" s="129" t="inlineStr">
        <is>
          <t>Наименование разрабатываемого показателя УНЦ</t>
        </is>
      </c>
      <c r="B6" s="130" t="n"/>
      <c r="C6" s="130" t="n"/>
      <c r="D6" s="228" t="inlineStr">
        <is>
          <t>Устройство фундамента 110кВ</t>
        </is>
      </c>
    </row>
    <row r="7" ht="12.75" customFormat="1" customHeight="1" s="193">
      <c r="A7" s="228">
        <f>'Прил.1 Сравнит табл'!B9</f>
        <v/>
      </c>
      <c r="I7" s="215" t="n"/>
      <c r="J7" s="215" t="n"/>
    </row>
    <row r="8" ht="12.75" customFormat="1" customHeight="1" s="193"/>
    <row r="9" ht="27" customHeight="1" s="186">
      <c r="A9" s="218" t="inlineStr">
        <is>
          <t>№ пп.</t>
        </is>
      </c>
      <c r="B9" s="218" t="inlineStr">
        <is>
          <t>Код ресурса</t>
        </is>
      </c>
      <c r="C9" s="218" t="inlineStr">
        <is>
          <t>Наименование</t>
        </is>
      </c>
      <c r="D9" s="218" t="inlineStr">
        <is>
          <t>Ед. изм.</t>
        </is>
      </c>
      <c r="E9" s="218" t="inlineStr">
        <is>
          <t>Кол-во единиц по проектным данным</t>
        </is>
      </c>
      <c r="F9" s="218" t="inlineStr">
        <is>
          <t>Сметная стоимость в ценах на 01.01.2000 (руб.)</t>
        </is>
      </c>
      <c r="G9" s="245" t="n"/>
      <c r="H9" s="218" t="inlineStr">
        <is>
          <t>Удельный вес, %</t>
        </is>
      </c>
      <c r="I9" s="218" t="inlineStr">
        <is>
          <t>Сметная стоимость в ценах на 01.01.2023 (руб.)</t>
        </is>
      </c>
      <c r="J9" s="245" t="n"/>
    </row>
    <row r="10" ht="28.5" customHeight="1" s="186">
      <c r="A10" s="247" t="n"/>
      <c r="B10" s="247" t="n"/>
      <c r="C10" s="247" t="n"/>
      <c r="D10" s="247" t="n"/>
      <c r="E10" s="247" t="n"/>
      <c r="F10" s="218" t="inlineStr">
        <is>
          <t>на ед. изм.</t>
        </is>
      </c>
      <c r="G10" s="218" t="inlineStr">
        <is>
          <t>общая</t>
        </is>
      </c>
      <c r="H10" s="247" t="n"/>
      <c r="I10" s="218" t="inlineStr">
        <is>
          <t>на ед. изм.</t>
        </is>
      </c>
      <c r="J10" s="218" t="inlineStr">
        <is>
          <t>общая</t>
        </is>
      </c>
    </row>
    <row r="11">
      <c r="A11" s="218" t="n">
        <v>1</v>
      </c>
      <c r="B11" s="218" t="n">
        <v>2</v>
      </c>
      <c r="C11" s="218" t="n">
        <v>3</v>
      </c>
      <c r="D11" s="218" t="n">
        <v>4</v>
      </c>
      <c r="E11" s="218" t="n">
        <v>5</v>
      </c>
      <c r="F11" s="218" t="n">
        <v>6</v>
      </c>
      <c r="G11" s="218" t="n">
        <v>7</v>
      </c>
      <c r="H11" s="218" t="n">
        <v>8</v>
      </c>
      <c r="I11" s="218" t="n">
        <v>9</v>
      </c>
      <c r="J11" s="218" t="n">
        <v>10</v>
      </c>
    </row>
    <row r="12">
      <c r="A12" s="218" t="n"/>
      <c r="B12" s="229" t="inlineStr">
        <is>
          <t>Затраты труда рабочих-строителей</t>
        </is>
      </c>
      <c r="C12" s="244" t="n"/>
      <c r="D12" s="244" t="n"/>
      <c r="E12" s="244" t="n"/>
      <c r="F12" s="244" t="n"/>
      <c r="G12" s="244" t="n"/>
      <c r="H12" s="245" t="n"/>
      <c r="I12" s="62" t="n"/>
      <c r="J12" s="62" t="n"/>
      <c r="L12" s="261" t="n"/>
    </row>
    <row r="13" ht="25.5" customHeight="1" s="186">
      <c r="A13" s="218" t="n">
        <v>1</v>
      </c>
      <c r="B13" s="152" t="inlineStr">
        <is>
          <t>1-3-2</t>
        </is>
      </c>
      <c r="C13" s="217" t="inlineStr">
        <is>
          <t>Затраты труда рабочих-строителей среднего разряда (3,2)</t>
        </is>
      </c>
      <c r="D13" s="218" t="inlineStr">
        <is>
          <t>чел.-ч.</t>
        </is>
      </c>
      <c r="E13" s="257">
        <f>G13/F13</f>
        <v/>
      </c>
      <c r="F13" s="101" t="n">
        <v>8.74</v>
      </c>
      <c r="G13" s="101">
        <f>Прил.3!H12</f>
        <v/>
      </c>
      <c r="H13" s="230">
        <f>G13/G14</f>
        <v/>
      </c>
      <c r="I13" s="101">
        <f>'ФОТр.тек.'!E13</f>
        <v/>
      </c>
      <c r="J13" s="101">
        <f>ROUND(I13*E13,2)</f>
        <v/>
      </c>
    </row>
    <row r="14" ht="25.5" customFormat="1" customHeight="1" s="194">
      <c r="A14" s="218" t="n"/>
      <c r="B14" s="218" t="n"/>
      <c r="C14" s="229" t="inlineStr">
        <is>
          <t>Итого по разделу "Затраты труда рабочих-строителей"</t>
        </is>
      </c>
      <c r="D14" s="218" t="inlineStr">
        <is>
          <t>чел.-ч.</t>
        </is>
      </c>
      <c r="E14" s="257">
        <f>SUM(E13:E13)</f>
        <v/>
      </c>
      <c r="F14" s="101" t="n"/>
      <c r="G14" s="101">
        <f>SUM(G13:G13)</f>
        <v/>
      </c>
      <c r="H14" s="230" t="n">
        <v>1</v>
      </c>
      <c r="I14" s="101" t="n"/>
      <c r="J14" s="101">
        <f>SUM(J13:J13)</f>
        <v/>
      </c>
      <c r="L14" s="95" t="n"/>
    </row>
    <row r="15" ht="14.25" customFormat="1" customHeight="1" s="194">
      <c r="A15" s="218" t="n"/>
      <c r="B15" s="217" t="inlineStr">
        <is>
          <t>Затраты труда машинистов</t>
        </is>
      </c>
      <c r="C15" s="244" t="n"/>
      <c r="D15" s="244" t="n"/>
      <c r="E15" s="244" t="n"/>
      <c r="F15" s="244" t="n"/>
      <c r="G15" s="244" t="n"/>
      <c r="H15" s="245" t="n"/>
      <c r="I15" s="62" t="n"/>
      <c r="J15" s="62" t="n"/>
      <c r="L15" s="261" t="n"/>
    </row>
    <row r="16" ht="14.25" customFormat="1" customHeight="1" s="194">
      <c r="A16" s="218" t="n">
        <v>2</v>
      </c>
      <c r="B16" s="152" t="n">
        <v>2</v>
      </c>
      <c r="C16" s="217" t="inlineStr">
        <is>
          <t>Затраты труда машинистов</t>
        </is>
      </c>
      <c r="D16" s="218" t="inlineStr">
        <is>
          <t>чел.-ч.</t>
        </is>
      </c>
      <c r="E16" s="257">
        <f>Прил.3!F21</f>
        <v/>
      </c>
      <c r="F16" s="101">
        <f>G16/E16</f>
        <v/>
      </c>
      <c r="G16" s="101">
        <f>Прил.3!H21</f>
        <v/>
      </c>
      <c r="H16" s="230" t="n">
        <v>1</v>
      </c>
      <c r="I16" s="101">
        <f>ROUND(F16*Прил.10!D10,2)</f>
        <v/>
      </c>
      <c r="J16" s="101">
        <f>ROUND(I16*E16,2)</f>
        <v/>
      </c>
      <c r="L16" s="83" t="n"/>
    </row>
    <row r="17" ht="14.25" customFormat="1" customHeight="1" s="194">
      <c r="A17" s="218" t="n"/>
      <c r="B17" s="229" t="inlineStr">
        <is>
          <t>Машины и механизмы</t>
        </is>
      </c>
      <c r="C17" s="244" t="n"/>
      <c r="D17" s="244" t="n"/>
      <c r="E17" s="244" t="n"/>
      <c r="F17" s="244" t="n"/>
      <c r="G17" s="244" t="n"/>
      <c r="H17" s="245" t="n"/>
      <c r="I17" s="230" t="n"/>
      <c r="J17" s="230" t="n"/>
    </row>
    <row r="18" ht="14.25" customFormat="1" customHeight="1" s="194">
      <c r="A18" s="218" t="n"/>
      <c r="B18" s="217" t="inlineStr">
        <is>
          <t>Основные машины и механизмы</t>
        </is>
      </c>
      <c r="C18" s="244" t="n"/>
      <c r="D18" s="244" t="n"/>
      <c r="E18" s="244" t="n"/>
      <c r="F18" s="244" t="n"/>
      <c r="G18" s="244" t="n"/>
      <c r="H18" s="245" t="n"/>
      <c r="I18" s="62" t="n"/>
      <c r="J18" s="62" t="n"/>
    </row>
    <row r="19" ht="26.25" customFormat="1" customHeight="1" s="194">
      <c r="A19" s="218" t="n">
        <v>3</v>
      </c>
      <c r="B19" s="152" t="inlineStr">
        <is>
          <t>91.05.01-017</t>
        </is>
      </c>
      <c r="C19" s="217" t="inlineStr">
        <is>
          <t>Краны башенные, грузоподъемность 8 т</t>
        </is>
      </c>
      <c r="D19" s="218" t="inlineStr">
        <is>
          <t>маш.час</t>
        </is>
      </c>
      <c r="E19" s="257" t="n">
        <v>4.86696</v>
      </c>
      <c r="F19" s="101" t="n">
        <v>86.40000000000001</v>
      </c>
      <c r="G19" s="101">
        <f>ROUND(E19*F19,2)</f>
        <v/>
      </c>
      <c r="H19" s="230">
        <f>G19/$G$36</f>
        <v/>
      </c>
      <c r="I19" s="101">
        <f>ROUND(F19*Прил.10!$D$11,2)</f>
        <v/>
      </c>
      <c r="J19" s="101">
        <f>ROUND(I19*E19,2)</f>
        <v/>
      </c>
    </row>
    <row r="20" ht="25.5" customFormat="1" customHeight="1" s="194">
      <c r="A20" s="218" t="n">
        <v>4</v>
      </c>
      <c r="B20" s="152" t="inlineStr">
        <is>
          <t>91.05.05-015</t>
        </is>
      </c>
      <c r="C20" s="217" t="inlineStr">
        <is>
          <t>Краны на автомобильном ходу, грузоподъемность 16 т</t>
        </is>
      </c>
      <c r="D20" s="218" t="inlineStr">
        <is>
          <t>маш.час</t>
        </is>
      </c>
      <c r="E20" s="257" t="n">
        <v>3.554095</v>
      </c>
      <c r="F20" s="101" t="n">
        <v>115.4</v>
      </c>
      <c r="G20" s="101">
        <f>ROUND(E20*F20,2)</f>
        <v/>
      </c>
      <c r="H20" s="230">
        <f>G20/$G$36</f>
        <v/>
      </c>
      <c r="I20" s="101">
        <f>ROUND(F20*Прил.10!$D$11,2)</f>
        <v/>
      </c>
      <c r="J20" s="101">
        <f>ROUND(I20*E20,2)</f>
        <v/>
      </c>
    </row>
    <row r="21" ht="25.5" customFormat="1" customHeight="1" s="194">
      <c r="A21" s="218" t="n">
        <v>5</v>
      </c>
      <c r="B21" s="152" t="inlineStr">
        <is>
          <t>91.14.03-002</t>
        </is>
      </c>
      <c r="C21" s="217" t="inlineStr">
        <is>
          <t>Автомобили-самосвалы, грузоподъемность до 10 т</t>
        </is>
      </c>
      <c r="D21" s="218" t="inlineStr">
        <is>
          <t>маш.-ч</t>
        </is>
      </c>
      <c r="E21" s="257" t="n">
        <v>2.14</v>
      </c>
      <c r="F21" s="101" t="n">
        <v>87.48999999999999</v>
      </c>
      <c r="G21" s="101">
        <f>ROUND(E21*F21,2)</f>
        <v/>
      </c>
      <c r="H21" s="230">
        <f>G21/$G$36</f>
        <v/>
      </c>
      <c r="I21" s="101">
        <f>ROUND(F21*Прил.10!$D$11,2)</f>
        <v/>
      </c>
      <c r="J21" s="101">
        <f>ROUND(I21*E21,2)</f>
        <v/>
      </c>
    </row>
    <row r="22" ht="38.25" customFormat="1" customHeight="1" s="194">
      <c r="A22" s="218" t="n">
        <v>6</v>
      </c>
      <c r="B22" s="152" t="inlineStr">
        <is>
          <t>91.01.05-087</t>
        </is>
      </c>
      <c r="C22" s="217" t="inlineStr">
        <is>
          <t>Экскаваторы одноковшовые дизельные на гусеничном ходу, емкость ковша 1,0 м3</t>
        </is>
      </c>
      <c r="D22" s="218" t="inlineStr">
        <is>
          <t>маш.час</t>
        </is>
      </c>
      <c r="E22" s="257" t="n">
        <v>1.515</v>
      </c>
      <c r="F22" s="101" t="n">
        <v>122.9</v>
      </c>
      <c r="G22" s="101">
        <f>ROUND(E22*F22,2)</f>
        <v/>
      </c>
      <c r="H22" s="230">
        <f>G22/$G$36</f>
        <v/>
      </c>
      <c r="I22" s="101">
        <f>ROUND(F22*Прил.10!$D$11,2)</f>
        <v/>
      </c>
      <c r="J22" s="101">
        <f>ROUND(I22*E22,2)</f>
        <v/>
      </c>
    </row>
    <row r="23" ht="51" customFormat="1" customHeight="1" s="194">
      <c r="A23" s="218" t="n">
        <v>7</v>
      </c>
      <c r="B23" s="152" t="inlineStr">
        <is>
          <t>91.18.01-007</t>
        </is>
      </c>
      <c r="C23" s="21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18" t="inlineStr">
        <is>
          <t>маш.час</t>
        </is>
      </c>
      <c r="E23" s="257" t="n">
        <v>1.5327</v>
      </c>
      <c r="F23" s="101" t="n">
        <v>90</v>
      </c>
      <c r="G23" s="101">
        <f>ROUND(E23*F23,2)</f>
        <v/>
      </c>
      <c r="H23" s="230">
        <f>G23/$G$36</f>
        <v/>
      </c>
      <c r="I23" s="101">
        <f>ROUND(F23*Прил.10!$D$11,2)</f>
        <v/>
      </c>
      <c r="J23" s="101">
        <f>ROUND(I23*E23,2)</f>
        <v/>
      </c>
    </row>
    <row r="24" ht="14.25" customFormat="1" customHeight="1" s="194">
      <c r="A24" s="218" t="n"/>
      <c r="B24" s="152" t="n"/>
      <c r="C24" s="217" t="inlineStr">
        <is>
          <t>Итого основные машины и механизмы</t>
        </is>
      </c>
      <c r="D24" s="218" t="n"/>
      <c r="E24" s="257" t="n"/>
      <c r="F24" s="101" t="n"/>
      <c r="G24" s="101">
        <f>SUM(G19:G23)</f>
        <v/>
      </c>
      <c r="H24" s="230">
        <f>G24/G36</f>
        <v/>
      </c>
      <c r="I24" s="101" t="n"/>
      <c r="J24" s="101">
        <f>SUM(J19:J23)</f>
        <v/>
      </c>
      <c r="L24" s="262" t="n"/>
    </row>
    <row r="25" outlineLevel="1" ht="38.25" customFormat="1" customHeight="1" s="194">
      <c r="A25" s="218" t="n">
        <v>8</v>
      </c>
      <c r="B25" s="152" t="inlineStr">
        <is>
          <t>91.17.04-036</t>
        </is>
      </c>
      <c r="C25" s="217" t="inlineStr">
        <is>
          <t>Агрегаты сварочные передвижные с дизельным двигателем, номинальный сварочный ток 250-400 А</t>
        </is>
      </c>
      <c r="D25" s="218" t="inlineStr">
        <is>
          <t>маш.час</t>
        </is>
      </c>
      <c r="E25" s="257" t="n">
        <v>4.6758</v>
      </c>
      <c r="F25" s="101" t="n">
        <v>14</v>
      </c>
      <c r="G25" s="101">
        <f>ROUND(E25*F25,2)</f>
        <v/>
      </c>
      <c r="H25" s="230">
        <f>G25/$G$36</f>
        <v/>
      </c>
      <c r="I25" s="101">
        <f>ROUND(F25*Прил.10!$D$11,2)</f>
        <v/>
      </c>
      <c r="J25" s="101">
        <f>ROUND(I25*E25,2)</f>
        <v/>
      </c>
      <c r="L25" s="262" t="n"/>
    </row>
    <row r="26" outlineLevel="1" ht="25.5" customFormat="1" customHeight="1" s="194">
      <c r="A26" s="218" t="n">
        <v>9</v>
      </c>
      <c r="B26" s="152" t="inlineStr">
        <is>
          <t>91.14.02-001</t>
        </is>
      </c>
      <c r="C26" s="217" t="inlineStr">
        <is>
          <t>Автомобили бортовые, грузоподъемность до 5 т</t>
        </is>
      </c>
      <c r="D26" s="218" t="inlineStr">
        <is>
          <t>маш.час</t>
        </is>
      </c>
      <c r="E26" s="257" t="n">
        <v>0.597433</v>
      </c>
      <c r="F26" s="101" t="n">
        <v>65.70999999999999</v>
      </c>
      <c r="G26" s="101">
        <f>ROUND(E26*F26,2)</f>
        <v/>
      </c>
      <c r="H26" s="230">
        <f>G26/$G$36</f>
        <v/>
      </c>
      <c r="I26" s="101">
        <f>ROUND(F26*Прил.10!$D$11,2)</f>
        <v/>
      </c>
      <c r="J26" s="101">
        <f>ROUND(I26*E26,2)</f>
        <v/>
      </c>
      <c r="L26" s="262" t="n"/>
    </row>
    <row r="27" outlineLevel="1" ht="14.25" customFormat="1" customHeight="1" s="194">
      <c r="A27" s="218" t="n">
        <v>10</v>
      </c>
      <c r="B27" s="152" t="inlineStr">
        <is>
          <t>91.01.01-034</t>
        </is>
      </c>
      <c r="C27" s="217" t="inlineStr">
        <is>
          <t>Бульдозеры, мощность 59 кВт (80 л.с.)</t>
        </is>
      </c>
      <c r="D27" s="218" t="inlineStr">
        <is>
          <t>маш.час</t>
        </is>
      </c>
      <c r="E27" s="257" t="n">
        <v>0.50568</v>
      </c>
      <c r="F27" s="101" t="n">
        <v>59.47</v>
      </c>
      <c r="G27" s="101">
        <f>ROUND(E27*F27,2)</f>
        <v/>
      </c>
      <c r="H27" s="230">
        <f>G27/$G$36</f>
        <v/>
      </c>
      <c r="I27" s="101">
        <f>ROUND(F27*Прил.10!$D$11,2)</f>
        <v/>
      </c>
      <c r="J27" s="101">
        <f>ROUND(I27*E27,2)</f>
        <v/>
      </c>
      <c r="L27" s="262" t="n"/>
    </row>
    <row r="28" outlineLevel="1" ht="14.25" customFormat="1" customHeight="1" s="194">
      <c r="A28" s="218" t="n">
        <v>11</v>
      </c>
      <c r="B28" s="152" t="inlineStr">
        <is>
          <t>91.08.04-021</t>
        </is>
      </c>
      <c r="C28" s="217" t="inlineStr">
        <is>
          <t>Котлы битумные передвижные 400 л</t>
        </is>
      </c>
      <c r="D28" s="218" t="inlineStr">
        <is>
          <t>маш.час</t>
        </is>
      </c>
      <c r="E28" s="257" t="n">
        <v>0.468</v>
      </c>
      <c r="F28" s="101" t="n">
        <v>30</v>
      </c>
      <c r="G28" s="101">
        <f>ROUND(E28*F28,2)</f>
        <v/>
      </c>
      <c r="H28" s="230">
        <f>G28/$G$36</f>
        <v/>
      </c>
      <c r="I28" s="101">
        <f>ROUND(F28*Прил.10!$D$11,2)</f>
        <v/>
      </c>
      <c r="J28" s="101">
        <f>ROUND(I28*E28,2)</f>
        <v/>
      </c>
      <c r="L28" s="262" t="n"/>
    </row>
    <row r="29" outlineLevel="1" ht="25.5" customFormat="1" customHeight="1" s="194">
      <c r="A29" s="218" t="n">
        <v>12</v>
      </c>
      <c r="B29" s="152" t="inlineStr">
        <is>
          <t>91.17.04-233</t>
        </is>
      </c>
      <c r="C29" s="217" t="inlineStr">
        <is>
          <t>Установки для сварки ручной дуговой (постоянного тока)</t>
        </is>
      </c>
      <c r="D29" s="218" t="inlineStr">
        <is>
          <t>маш.час</t>
        </is>
      </c>
      <c r="E29" s="257" t="n">
        <v>1.185185</v>
      </c>
      <c r="F29" s="101" t="n">
        <v>8.1</v>
      </c>
      <c r="G29" s="101">
        <f>ROUND(E29*F29,2)</f>
        <v/>
      </c>
      <c r="H29" s="230">
        <f>G29/$G$36</f>
        <v/>
      </c>
      <c r="I29" s="101">
        <f>ROUND(F29*Прил.10!$D$11,2)</f>
        <v/>
      </c>
      <c r="J29" s="101">
        <f>ROUND(I29*E29,2)</f>
        <v/>
      </c>
      <c r="L29" s="262" t="n"/>
    </row>
    <row r="30" outlineLevel="1" ht="14.25" customFormat="1" customHeight="1" s="194">
      <c r="A30" s="218" t="n">
        <v>13</v>
      </c>
      <c r="B30" s="152" t="inlineStr">
        <is>
          <t>91.06.05-011</t>
        </is>
      </c>
      <c r="C30" s="217" t="inlineStr">
        <is>
          <t>Погрузчики, грузоподъемность 5 т</t>
        </is>
      </c>
      <c r="D30" s="218" t="inlineStr">
        <is>
          <t>маш.час</t>
        </is>
      </c>
      <c r="E30" s="257" t="n">
        <v>0.0555</v>
      </c>
      <c r="F30" s="101" t="n">
        <v>89.98999999999999</v>
      </c>
      <c r="G30" s="101">
        <f>ROUND(E30*F30,2)</f>
        <v/>
      </c>
      <c r="H30" s="230">
        <f>G30/$G$36</f>
        <v/>
      </c>
      <c r="I30" s="101">
        <f>ROUND(F30*Прил.10!$D$11,2)</f>
        <v/>
      </c>
      <c r="J30" s="101">
        <f>ROUND(I30*E30,2)</f>
        <v/>
      </c>
      <c r="L30" s="262" t="n"/>
    </row>
    <row r="31" outlineLevel="1" ht="14.25" customFormat="1" customHeight="1" s="194">
      <c r="A31" s="218" t="n">
        <v>14</v>
      </c>
      <c r="B31" s="152" t="inlineStr">
        <is>
          <t>91.07.04-001</t>
        </is>
      </c>
      <c r="C31" s="217" t="inlineStr">
        <is>
          <t>Вибраторы глубинные</t>
        </is>
      </c>
      <c r="D31" s="218" t="inlineStr">
        <is>
          <t>маш.час</t>
        </is>
      </c>
      <c r="E31" s="257" t="n">
        <v>2.6085</v>
      </c>
      <c r="F31" s="101" t="n">
        <v>1.9</v>
      </c>
      <c r="G31" s="101">
        <f>ROUND(E31*F31,2)</f>
        <v/>
      </c>
      <c r="H31" s="230">
        <f>G31/$G$36</f>
        <v/>
      </c>
      <c r="I31" s="101">
        <f>ROUND(F31*Прил.10!$D$11,2)</f>
        <v/>
      </c>
      <c r="J31" s="101">
        <f>ROUND(I31*E31,2)</f>
        <v/>
      </c>
      <c r="L31" s="262" t="n"/>
    </row>
    <row r="32" outlineLevel="1" ht="25.5" customFormat="1" customHeight="1" s="194">
      <c r="A32" s="218" t="n">
        <v>15</v>
      </c>
      <c r="B32" s="152" t="inlineStr">
        <is>
          <t>91.08.09-023</t>
        </is>
      </c>
      <c r="C32" s="217" t="inlineStr">
        <is>
          <t>Трамбовки пневматические при работе от передвижных компрессорных станций</t>
        </is>
      </c>
      <c r="D32" s="218" t="inlineStr">
        <is>
          <t>маш.час</t>
        </is>
      </c>
      <c r="E32" s="257" t="n">
        <v>6.1425</v>
      </c>
      <c r="F32" s="101" t="n">
        <v>0.55</v>
      </c>
      <c r="G32" s="101">
        <f>ROUND(E32*F32,2)</f>
        <v/>
      </c>
      <c r="H32" s="230">
        <f>G32/$G$36</f>
        <v/>
      </c>
      <c r="I32" s="101">
        <f>ROUND(F32*Прил.10!$D$11,2)</f>
        <v/>
      </c>
      <c r="J32" s="101">
        <f>ROUND(I32*E32,2)</f>
        <v/>
      </c>
      <c r="L32" s="262" t="n"/>
    </row>
    <row r="33" outlineLevel="1" ht="25.5" customFormat="1" customHeight="1" s="194">
      <c r="A33" s="218" t="n">
        <v>16</v>
      </c>
      <c r="B33" s="152" t="inlineStr">
        <is>
          <t>91.14.02-002</t>
        </is>
      </c>
      <c r="C33" s="217" t="inlineStr">
        <is>
          <t>Автомобили бортовые, грузоподъемность до 8 т</t>
        </is>
      </c>
      <c r="D33" s="218" t="inlineStr">
        <is>
          <t>маш.час</t>
        </is>
      </c>
      <c r="E33" s="257" t="n">
        <v>0.0372</v>
      </c>
      <c r="F33" s="101" t="n">
        <v>85.84</v>
      </c>
      <c r="G33" s="101">
        <f>ROUND(E33*F33,2)</f>
        <v/>
      </c>
      <c r="H33" s="230">
        <f>G33/$G$36</f>
        <v/>
      </c>
      <c r="I33" s="101">
        <f>ROUND(F33*Прил.10!$D$11,2)</f>
        <v/>
      </c>
      <c r="J33" s="101">
        <f>ROUND(I33*E33,2)</f>
        <v/>
      </c>
      <c r="L33" s="262" t="n"/>
    </row>
    <row r="34" outlineLevel="1" ht="14.25" customFormat="1" customHeight="1" s="194">
      <c r="A34" s="218" t="n">
        <v>17</v>
      </c>
      <c r="B34" s="152" t="inlineStr">
        <is>
          <t>91.07.04-002</t>
        </is>
      </c>
      <c r="C34" s="217" t="inlineStr">
        <is>
          <t>Вибраторы поверхностные</t>
        </is>
      </c>
      <c r="D34" s="218" t="inlineStr">
        <is>
          <t>маш.час</t>
        </is>
      </c>
      <c r="E34" s="257" t="n">
        <v>0.40064</v>
      </c>
      <c r="F34" s="101" t="n">
        <v>0.5</v>
      </c>
      <c r="G34" s="101">
        <f>ROUND(E34*F34,2)</f>
        <v/>
      </c>
      <c r="H34" s="230">
        <f>G34/$G$36</f>
        <v/>
      </c>
      <c r="I34" s="101">
        <f>ROUND(F34*Прил.10!$D$11,2)</f>
        <v/>
      </c>
      <c r="J34" s="101">
        <f>ROUND(I34*E34,2)</f>
        <v/>
      </c>
      <c r="L34" s="262" t="n"/>
    </row>
    <row r="35" ht="14.25" customFormat="1" customHeight="1" s="194">
      <c r="A35" s="218" t="n"/>
      <c r="B35" s="218" t="n"/>
      <c r="C35" s="217" t="inlineStr">
        <is>
          <t>Итого прочие машины и механизмы</t>
        </is>
      </c>
      <c r="D35" s="218" t="n"/>
      <c r="E35" s="219" t="n"/>
      <c r="F35" s="101" t="n"/>
      <c r="G35" s="101">
        <f>SUM(G25:G34)</f>
        <v/>
      </c>
      <c r="H35" s="230">
        <f>G35/G36</f>
        <v/>
      </c>
      <c r="I35" s="101" t="n"/>
      <c r="J35" s="101">
        <f>SUM(J25:J34)</f>
        <v/>
      </c>
      <c r="K35" s="262" t="n"/>
      <c r="L35" s="261" t="n"/>
    </row>
    <row r="36" ht="25.5" customFormat="1" customHeight="1" s="194">
      <c r="A36" s="218" t="n"/>
      <c r="B36" s="231" t="n"/>
      <c r="C36" s="222" t="inlineStr">
        <is>
          <t>Итого по разделу «Машины и механизмы»</t>
        </is>
      </c>
      <c r="D36" s="231" t="n"/>
      <c r="E36" s="75" t="n"/>
      <c r="F36" s="76" t="n"/>
      <c r="G36" s="76">
        <f>G24+G35</f>
        <v/>
      </c>
      <c r="H36" s="77" t="n">
        <v>1</v>
      </c>
      <c r="I36" s="76" t="n"/>
      <c r="J36" s="76">
        <f>J24+J35</f>
        <v/>
      </c>
    </row>
    <row r="37" s="186">
      <c r="A37" s="98" t="n"/>
      <c r="B37" s="222" t="inlineStr">
        <is>
          <t xml:space="preserve">Оборудование </t>
        </is>
      </c>
      <c r="C37" s="263" t="n"/>
      <c r="D37" s="263" t="n"/>
      <c r="E37" s="263" t="n"/>
      <c r="F37" s="263" t="n"/>
      <c r="G37" s="263" t="n"/>
      <c r="H37" s="263" t="n"/>
      <c r="I37" s="263" t="n"/>
      <c r="J37" s="264" t="n"/>
      <c r="K37" s="194" t="n"/>
      <c r="L37" s="194" t="n"/>
      <c r="M37" s="194" t="n"/>
      <c r="N37" s="194" t="n"/>
    </row>
    <row r="38" ht="15" customHeight="1" s="186">
      <c r="A38" s="218" t="n"/>
      <c r="B38" s="217" t="inlineStr">
        <is>
          <t>Основное оборудование</t>
        </is>
      </c>
      <c r="C38" s="244" t="n"/>
      <c r="D38" s="244" t="n"/>
      <c r="E38" s="244" t="n"/>
      <c r="F38" s="244" t="n"/>
      <c r="G38" s="244" t="n"/>
      <c r="H38" s="244" t="n"/>
      <c r="I38" s="244" t="n"/>
      <c r="J38" s="245" t="n"/>
      <c r="K38" s="194" t="n"/>
      <c r="L38" s="194" t="n"/>
      <c r="M38" s="194" t="n"/>
      <c r="N38" s="194" t="n"/>
    </row>
    <row r="39" s="186">
      <c r="A39" s="102" t="n"/>
      <c r="B39" s="218" t="n"/>
      <c r="C39" s="217" t="inlineStr">
        <is>
          <t>Итого основное оборудование</t>
        </is>
      </c>
      <c r="D39" s="218" t="n"/>
      <c r="E39" s="257" t="n"/>
      <c r="F39" s="220" t="n"/>
      <c r="G39" s="101" t="n">
        <v>0</v>
      </c>
      <c r="H39" s="230" t="n"/>
      <c r="I39" s="101" t="n"/>
      <c r="J39" s="101" t="n">
        <v>0</v>
      </c>
      <c r="K39" s="262" t="n"/>
      <c r="L39" s="194" t="n"/>
      <c r="M39" s="194" t="n"/>
      <c r="N39" s="194" t="n"/>
    </row>
    <row r="40" s="186">
      <c r="A40" s="102" t="n"/>
      <c r="B40" s="218" t="n"/>
      <c r="C40" s="217" t="inlineStr">
        <is>
          <t>Итого прочее оборудование</t>
        </is>
      </c>
      <c r="D40" s="218" t="n"/>
      <c r="E40" s="219" t="n"/>
      <c r="F40" s="220" t="n"/>
      <c r="G40" s="101" t="n">
        <v>0</v>
      </c>
      <c r="H40" s="230" t="n"/>
      <c r="I40" s="101" t="n"/>
      <c r="J40" s="101" t="n">
        <v>0</v>
      </c>
      <c r="K40" s="262" t="n"/>
      <c r="L40" s="265" t="n"/>
      <c r="M40" s="194" t="n"/>
      <c r="N40" s="194" t="n"/>
    </row>
    <row r="41" s="186">
      <c r="A41" s="218" t="n"/>
      <c r="B41" s="218" t="n"/>
      <c r="C41" s="229" t="inlineStr">
        <is>
          <t>Итого по разделу «Оборудование»</t>
        </is>
      </c>
      <c r="D41" s="218" t="n"/>
      <c r="E41" s="219" t="n"/>
      <c r="F41" s="220" t="n"/>
      <c r="G41" s="101">
        <f>G39+G40</f>
        <v/>
      </c>
      <c r="H41" s="230" t="n"/>
      <c r="I41" s="101" t="n"/>
      <c r="J41" s="101">
        <f>J40+J39</f>
        <v/>
      </c>
      <c r="K41" s="262" t="n"/>
      <c r="L41" s="194" t="n"/>
      <c r="M41" s="194" t="n"/>
      <c r="N41" s="194" t="n"/>
    </row>
    <row r="42" ht="25.5" customHeight="1" s="186">
      <c r="A42" s="218" t="n"/>
      <c r="B42" s="218" t="n"/>
      <c r="C42" s="217" t="inlineStr">
        <is>
          <t>в том числе технологическое оборудование</t>
        </is>
      </c>
      <c r="D42" s="218" t="n"/>
      <c r="E42" s="219" t="n"/>
      <c r="F42" s="220" t="n"/>
      <c r="G42" s="101" t="n">
        <v>0</v>
      </c>
      <c r="H42" s="230" t="n"/>
      <c r="I42" s="101" t="n"/>
      <c r="J42" s="101">
        <f>ROUND(G42*Прил.10!$D$13,2)</f>
        <v/>
      </c>
      <c r="K42" s="262" t="n"/>
      <c r="L42" s="194" t="n"/>
      <c r="M42" s="194" t="n"/>
      <c r="N42" s="194" t="n"/>
    </row>
    <row r="43" ht="14.25" customFormat="1" customHeight="1" s="194">
      <c r="A43" s="232" t="n"/>
      <c r="B43" s="266" t="inlineStr">
        <is>
          <t>Материалы</t>
        </is>
      </c>
      <c r="J43" s="267" t="n"/>
      <c r="K43" s="262" t="n"/>
    </row>
    <row r="44" ht="14.25" customFormat="1" customHeight="1" s="194">
      <c r="A44" s="218" t="n"/>
      <c r="B44" s="217" t="inlineStr">
        <is>
          <t>Основные материалы</t>
        </is>
      </c>
      <c r="C44" s="244" t="n"/>
      <c r="D44" s="244" t="n"/>
      <c r="E44" s="244" t="n"/>
      <c r="F44" s="244" t="n"/>
      <c r="G44" s="244" t="n"/>
      <c r="H44" s="245" t="n"/>
      <c r="I44" s="230" t="n"/>
      <c r="J44" s="230" t="n"/>
    </row>
    <row r="45" ht="38.25" customFormat="1" customHeight="1" s="194">
      <c r="A45" s="218" t="n">
        <v>18</v>
      </c>
      <c r="B45" s="152" t="inlineStr">
        <is>
          <t>04.1.02.05-0046</t>
        </is>
      </c>
      <c r="C45" s="217" t="inlineStr">
        <is>
          <t>Смеси бетонные тяжелого бетона (БСТ), крупность заполнителя 20 мм, класс В25 (М350)</t>
        </is>
      </c>
      <c r="D45" s="218" t="inlineStr">
        <is>
          <t>м3</t>
        </is>
      </c>
      <c r="E45" s="257" t="n">
        <v>20.533</v>
      </c>
      <c r="F45" s="101" t="n">
        <v>720</v>
      </c>
      <c r="G45" s="101">
        <f>ROUND(E45*F45,2)</f>
        <v/>
      </c>
      <c r="H45" s="230">
        <f>G45/$G$71</f>
        <v/>
      </c>
      <c r="I45" s="101">
        <f>ROUND(F45*Прил.10!$D$12,2)</f>
        <v/>
      </c>
      <c r="J45" s="101">
        <f>ROUND(I45*E45,2)</f>
        <v/>
      </c>
    </row>
    <row r="46" ht="38.25" customFormat="1" customHeight="1" s="150">
      <c r="A46" s="218" t="n">
        <v>19</v>
      </c>
      <c r="B46" s="152" t="inlineStr">
        <is>
          <t>04.3.02.09-1531</t>
        </is>
      </c>
      <c r="C46" s="217" t="inlineStr">
        <is>
          <t>Смесь сухая безусадочная быстротвердеющая для ремонта бетонных конструкций, наливного типа</t>
        </is>
      </c>
      <c r="D46" s="218" t="inlineStr">
        <is>
          <t>кг</t>
        </is>
      </c>
      <c r="E46" s="257" t="n">
        <v>320</v>
      </c>
      <c r="F46" s="101" t="n">
        <v>12.91</v>
      </c>
      <c r="G46" s="101">
        <f>ROUND(E46*F46,2)</f>
        <v/>
      </c>
      <c r="H46" s="230">
        <f>G46/$G$71</f>
        <v/>
      </c>
      <c r="I46" s="101">
        <f>ROUND(F46*Прил.10!$D$12,2)</f>
        <v/>
      </c>
      <c r="J46" s="101">
        <f>ROUND(I46*E46,2)</f>
        <v/>
      </c>
      <c r="K46" s="194" t="n"/>
      <c r="L46" s="194" t="n"/>
    </row>
    <row r="47" ht="38.25" customFormat="1" customHeight="1" s="150">
      <c r="A47" s="218" t="n">
        <v>20</v>
      </c>
      <c r="B47" s="152" t="inlineStr">
        <is>
          <t>08.4.03.03-0004</t>
        </is>
      </c>
      <c r="C47" s="217" t="inlineStr">
        <is>
          <t>Сталь арматурная рифленая свариваемая, класс А500С, диаметр 12 мм</t>
        </is>
      </c>
      <c r="D47" s="218" t="inlineStr">
        <is>
          <t>т</t>
        </is>
      </c>
      <c r="E47" s="257" t="n">
        <v>0.5039</v>
      </c>
      <c r="F47" s="101" t="n">
        <v>5584.58</v>
      </c>
      <c r="G47" s="101">
        <f>ROUND(E47*F47,2)</f>
        <v/>
      </c>
      <c r="H47" s="230">
        <f>G47/$G$71</f>
        <v/>
      </c>
      <c r="I47" s="101">
        <f>ROUND(F47*Прил.10!$D$12,2)</f>
        <v/>
      </c>
      <c r="J47" s="101">
        <f>ROUND(I47*E47,2)</f>
        <v/>
      </c>
      <c r="K47" s="194" t="n"/>
      <c r="L47" s="194" t="n"/>
    </row>
    <row r="48" ht="38.25" customFormat="1" customHeight="1" s="150">
      <c r="A48" s="218" t="n">
        <v>21</v>
      </c>
      <c r="B48" s="152" t="inlineStr">
        <is>
          <t>04.1.02.05-0040</t>
        </is>
      </c>
      <c r="C48" s="217" t="inlineStr">
        <is>
          <t>Смеси бетонные тяжелого бетона (БСТ), крупность заполнителя 20 мм, класс В7,5 (М100)</t>
        </is>
      </c>
      <c r="D48" s="218" t="inlineStr">
        <is>
          <t>м3</t>
        </is>
      </c>
      <c r="E48" s="257" t="n">
        <v>3.78</v>
      </c>
      <c r="F48" s="101" t="n">
        <v>535.46</v>
      </c>
      <c r="G48" s="101">
        <f>ROUND(E48*F48,2)</f>
        <v/>
      </c>
      <c r="H48" s="230">
        <f>G48/$G$71</f>
        <v/>
      </c>
      <c r="I48" s="101">
        <f>ROUND(F48*Прил.10!$D$12,2)</f>
        <v/>
      </c>
      <c r="J48" s="101">
        <f>ROUND(I48*E48,2)</f>
        <v/>
      </c>
      <c r="K48" s="194" t="n"/>
      <c r="L48" s="194" t="n"/>
    </row>
    <row r="49" ht="25.5" customFormat="1" customHeight="1" s="150">
      <c r="A49" s="218" t="n">
        <v>22</v>
      </c>
      <c r="B49" s="152" t="inlineStr">
        <is>
          <t>08.4.01.01-0022</t>
        </is>
      </c>
      <c r="C49" s="217" t="inlineStr">
        <is>
          <t>Детали анкерные с резьбой из прямых или гнутых круглых стержней</t>
        </is>
      </c>
      <c r="D49" s="218" t="inlineStr">
        <is>
          <t>т</t>
        </is>
      </c>
      <c r="E49" s="257" t="n">
        <v>0.1992</v>
      </c>
      <c r="F49" s="101" t="n">
        <v>10100</v>
      </c>
      <c r="G49" s="101">
        <f>ROUND(E49*F49,2)</f>
        <v/>
      </c>
      <c r="H49" s="230">
        <f>G49/$G$71</f>
        <v/>
      </c>
      <c r="I49" s="101">
        <f>ROUND(F49*Прил.10!$D$12,2)</f>
        <v/>
      </c>
      <c r="J49" s="101">
        <f>ROUND(I49*E49,2)</f>
        <v/>
      </c>
      <c r="K49" s="194" t="n"/>
      <c r="L49" s="194" t="n"/>
    </row>
    <row r="50" ht="14.25" customFormat="1" customHeight="1" s="194">
      <c r="A50" s="218" t="n"/>
      <c r="B50" s="152" t="n"/>
      <c r="C50" s="217" t="inlineStr">
        <is>
          <t>Итого основные материалы</t>
        </is>
      </c>
      <c r="D50" s="218" t="n"/>
      <c r="E50" s="257" t="n"/>
      <c r="F50" s="101" t="n"/>
      <c r="G50" s="101">
        <f>SUM(G45:G49)</f>
        <v/>
      </c>
      <c r="H50" s="230">
        <f>G50/$G$71</f>
        <v/>
      </c>
      <c r="I50" s="101" t="n"/>
      <c r="J50" s="101">
        <f>SUM(J45:J49)</f>
        <v/>
      </c>
    </row>
    <row r="51" outlineLevel="1" ht="14.25" customFormat="1" customHeight="1" s="194">
      <c r="A51" s="218" t="n">
        <v>23</v>
      </c>
      <c r="B51" s="152" t="inlineStr">
        <is>
          <t>08.4.02.04-0001</t>
        </is>
      </c>
      <c r="C51" s="217" t="inlineStr">
        <is>
          <t>Каркасы металлические</t>
        </is>
      </c>
      <c r="D51" s="218" t="inlineStr">
        <is>
          <t>т</t>
        </is>
      </c>
      <c r="E51" s="257" t="n">
        <v>0.1465</v>
      </c>
      <c r="F51" s="101" t="n">
        <v>8200</v>
      </c>
      <c r="G51" s="101">
        <f>ROUND(F51*E51,2)</f>
        <v/>
      </c>
      <c r="H51" s="230">
        <f>G51/$G$71</f>
        <v/>
      </c>
      <c r="I51" s="101">
        <f>ROUND(F51*Прил.10!$D$12,2)</f>
        <v/>
      </c>
      <c r="J51" s="101">
        <f>ROUND(I51*E51,2)</f>
        <v/>
      </c>
    </row>
    <row r="52" outlineLevel="1" ht="25.5" customFormat="1" customHeight="1" s="194">
      <c r="A52" s="218" t="n">
        <v>24</v>
      </c>
      <c r="B52" s="152" t="inlineStr">
        <is>
          <t>01.2.03.03-0018</t>
        </is>
      </c>
      <c r="C52" s="217" t="inlineStr">
        <is>
          <t>Мастика битумная кровельная холодного применения, универсальная</t>
        </is>
      </c>
      <c r="D52" s="218" t="inlineStr">
        <is>
          <t>т</t>
        </is>
      </c>
      <c r="E52" s="257" t="n">
        <v>0.08400000000000001</v>
      </c>
      <c r="F52" s="101" t="n">
        <v>4812.7</v>
      </c>
      <c r="G52" s="101">
        <f>ROUND(F52*E52,2)</f>
        <v/>
      </c>
      <c r="H52" s="230">
        <f>G52/$G$71</f>
        <v/>
      </c>
      <c r="I52" s="101">
        <f>ROUND(F52*Прил.10!$D$12,2)</f>
        <v/>
      </c>
      <c r="J52" s="101">
        <f>ROUND(I52*E52,2)</f>
        <v/>
      </c>
    </row>
    <row r="53" outlineLevel="1" ht="38.25" customFormat="1" customHeight="1" s="194">
      <c r="A53" s="218" t="n">
        <v>25</v>
      </c>
      <c r="B53" s="152" t="inlineStr">
        <is>
          <t>08.4.03.03-0003</t>
        </is>
      </c>
      <c r="C53" s="217" t="inlineStr">
        <is>
          <t>Сталь арматурная рифленая свариваемая, класс А500С, диаметр 10 мм</t>
        </is>
      </c>
      <c r="D53" s="218" t="inlineStr">
        <is>
          <t>т</t>
        </is>
      </c>
      <c r="E53" s="257" t="n">
        <v>0.0619</v>
      </c>
      <c r="F53" s="101" t="n">
        <v>5802.77</v>
      </c>
      <c r="G53" s="101">
        <f>ROUND(F53*E53,2)</f>
        <v/>
      </c>
      <c r="H53" s="230">
        <f>G53/$G$71</f>
        <v/>
      </c>
      <c r="I53" s="101">
        <f>ROUND(F53*Прил.10!$D$12,2)</f>
        <v/>
      </c>
      <c r="J53" s="101">
        <f>ROUND(I53*E53,2)</f>
        <v/>
      </c>
    </row>
    <row r="54" outlineLevel="1" ht="14.25" customFormat="1" customHeight="1" s="194">
      <c r="A54" s="218" t="n">
        <v>26</v>
      </c>
      <c r="B54" s="152" t="inlineStr">
        <is>
          <t>11.2.13.04-0012</t>
        </is>
      </c>
      <c r="C54" s="217" t="inlineStr">
        <is>
          <t>Щиты из досок, толщина 40 мм</t>
        </is>
      </c>
      <c r="D54" s="218" t="inlineStr">
        <is>
          <t>м2</t>
        </is>
      </c>
      <c r="E54" s="257" t="n">
        <v>5.1726</v>
      </c>
      <c r="F54" s="101" t="n">
        <v>57.63</v>
      </c>
      <c r="G54" s="101">
        <f>ROUND(F54*E54,2)</f>
        <v/>
      </c>
      <c r="H54" s="230">
        <f>G54/$G$71</f>
        <v/>
      </c>
      <c r="I54" s="101">
        <f>ROUND(F54*Прил.10!$D$12,2)</f>
        <v/>
      </c>
      <c r="J54" s="101">
        <f>ROUND(I54*E54,2)</f>
        <v/>
      </c>
    </row>
    <row r="55" outlineLevel="1" ht="25.5" customFormat="1" customHeight="1" s="194">
      <c r="A55" s="218" t="n">
        <v>27</v>
      </c>
      <c r="B55" s="152" t="inlineStr">
        <is>
          <t>08.4.03.02-0003</t>
        </is>
      </c>
      <c r="C55" s="217" t="inlineStr">
        <is>
          <t>Сталь арматурная, горячекатаная, гладкая, класс А-I, диаметр 10 мм</t>
        </is>
      </c>
      <c r="D55" s="218" t="inlineStr">
        <is>
          <t>т</t>
        </is>
      </c>
      <c r="E55" s="257" t="n">
        <v>0.03025</v>
      </c>
      <c r="F55" s="101" t="n">
        <v>6726.18</v>
      </c>
      <c r="G55" s="101">
        <f>ROUND(F55*E55,2)</f>
        <v/>
      </c>
      <c r="H55" s="230">
        <f>G55/$G$71</f>
        <v/>
      </c>
      <c r="I55" s="101">
        <f>ROUND(F55*Прил.10!$D$12,2)</f>
        <v/>
      </c>
      <c r="J55" s="101">
        <f>ROUND(I55*E55,2)</f>
        <v/>
      </c>
    </row>
    <row r="56" outlineLevel="1" ht="14.25" customFormat="1" customHeight="1" s="194">
      <c r="A56" s="218" t="n">
        <v>28</v>
      </c>
      <c r="B56" s="152" t="inlineStr">
        <is>
          <t>01.7.11.07-0032</t>
        </is>
      </c>
      <c r="C56" s="217" t="inlineStr">
        <is>
          <t>Электроды сварочные Э42, диаметр 4 мм</t>
        </is>
      </c>
      <c r="D56" s="218" t="inlineStr">
        <is>
          <t>т</t>
        </is>
      </c>
      <c r="E56" s="257" t="n">
        <v>0.0124255</v>
      </c>
      <c r="F56" s="101" t="n">
        <v>10315.01</v>
      </c>
      <c r="G56" s="101">
        <f>ROUND(F56*E56,2)</f>
        <v/>
      </c>
      <c r="H56" s="230">
        <f>G56/$G$71</f>
        <v/>
      </c>
      <c r="I56" s="101">
        <f>ROUND(F56*Прил.10!$D$12,2)</f>
        <v/>
      </c>
      <c r="J56" s="101">
        <f>ROUND(I56*E56,2)</f>
        <v/>
      </c>
    </row>
    <row r="57" outlineLevel="1" ht="25.5" customFormat="1" customHeight="1" s="194">
      <c r="A57" s="218" t="n">
        <v>29</v>
      </c>
      <c r="B57" s="152" t="inlineStr">
        <is>
          <t>01.2.03.05-0006</t>
        </is>
      </c>
      <c r="C57" s="217" t="inlineStr">
        <is>
          <t>Праймер битумно-полимерный ТЕХНОНИКОЛЬ №03</t>
        </is>
      </c>
      <c r="D57" s="218" t="inlineStr">
        <is>
          <t>л</t>
        </is>
      </c>
      <c r="E57" s="257" t="n">
        <v>7.2</v>
      </c>
      <c r="F57" s="101" t="n">
        <v>12.71</v>
      </c>
      <c r="G57" s="101">
        <f>ROUND(F57*E57,2)</f>
        <v/>
      </c>
      <c r="H57" s="230">
        <f>G57/$G$71</f>
        <v/>
      </c>
      <c r="I57" s="101">
        <f>ROUND(F57*Прил.10!$D$12,2)</f>
        <v/>
      </c>
      <c r="J57" s="101">
        <f>ROUND(I57*E57,2)</f>
        <v/>
      </c>
    </row>
    <row r="58" outlineLevel="1" ht="14.25" customFormat="1" customHeight="1" s="194">
      <c r="A58" s="218" t="n">
        <v>30</v>
      </c>
      <c r="B58" s="152" t="inlineStr">
        <is>
          <t>01.7.07.12-0024</t>
        </is>
      </c>
      <c r="C58" s="217" t="inlineStr">
        <is>
          <t>Пленка полиэтиленовая, толщина 0,15 мм</t>
        </is>
      </c>
      <c r="D58" s="218" t="inlineStr">
        <is>
          <t>м2</t>
        </is>
      </c>
      <c r="E58" s="257" t="n">
        <v>21.8992</v>
      </c>
      <c r="F58" s="101" t="n">
        <v>3.62</v>
      </c>
      <c r="G58" s="101">
        <f>ROUND(F58*E58,2)</f>
        <v/>
      </c>
      <c r="H58" s="230">
        <f>G58/$G$71</f>
        <v/>
      </c>
      <c r="I58" s="101">
        <f>ROUND(F58*Прил.10!$D$12,2)</f>
        <v/>
      </c>
      <c r="J58" s="101">
        <f>ROUND(I58*E58,2)</f>
        <v/>
      </c>
    </row>
    <row r="59" outlineLevel="1" ht="38.25" customFormat="1" customHeight="1" s="194">
      <c r="A59" s="218" t="n">
        <v>31</v>
      </c>
      <c r="B59" s="152" t="inlineStr">
        <is>
          <t>11.1.03.06-0095</t>
        </is>
      </c>
      <c r="C59" s="217" t="inlineStr">
        <is>
          <t>Доска обрезная, хвойных пород, ширина 75-150 мм, толщина 44 мм и более, длина 4-6,5 м, сорт III</t>
        </is>
      </c>
      <c r="D59" s="218" t="inlineStr">
        <is>
          <t>м3</t>
        </is>
      </c>
      <c r="E59" s="257" t="n">
        <v>0.06024</v>
      </c>
      <c r="F59" s="101" t="n">
        <v>1056</v>
      </c>
      <c r="G59" s="101">
        <f>ROUND(F59*E59,2)</f>
        <v/>
      </c>
      <c r="H59" s="230">
        <f>G59/$G$71</f>
        <v/>
      </c>
      <c r="I59" s="101">
        <f>ROUND(F59*Прил.10!$D$12,2)</f>
        <v/>
      </c>
      <c r="J59" s="101">
        <f>ROUND(I59*E59,2)</f>
        <v/>
      </c>
    </row>
    <row r="60" outlineLevel="1" ht="25.5" customFormat="1" customHeight="1" s="194">
      <c r="A60" s="218" t="n">
        <v>32</v>
      </c>
      <c r="B60" s="152" t="inlineStr">
        <is>
          <t>08.4.03.02-0002</t>
        </is>
      </c>
      <c r="C60" s="217" t="inlineStr">
        <is>
          <t>Сталь арматурная, горячекатаная, гладкая, класс А-I, диаметр 8 мм</t>
        </is>
      </c>
      <c r="D60" s="218" t="inlineStr">
        <is>
          <t>т</t>
        </is>
      </c>
      <c r="E60" s="257" t="n">
        <v>0.00865</v>
      </c>
      <c r="F60" s="101" t="n">
        <v>6780</v>
      </c>
      <c r="G60" s="101">
        <f>ROUND(F60*E60,2)</f>
        <v/>
      </c>
      <c r="H60" s="230">
        <f>G60/$G$71</f>
        <v/>
      </c>
      <c r="I60" s="101">
        <f>ROUND(F60*Прил.10!$D$12,2)</f>
        <v/>
      </c>
      <c r="J60" s="101">
        <f>ROUND(I60*E60,2)</f>
        <v/>
      </c>
    </row>
    <row r="61" outlineLevel="1" ht="14.25" customFormat="1" customHeight="1" s="194">
      <c r="A61" s="218" t="n">
        <v>33</v>
      </c>
      <c r="B61" s="152" t="inlineStr">
        <is>
          <t>01.7.15.06-0111</t>
        </is>
      </c>
      <c r="C61" s="217" t="inlineStr">
        <is>
          <t>Гвозди строительные</t>
        </is>
      </c>
      <c r="D61" s="218" t="inlineStr">
        <is>
          <t>т</t>
        </is>
      </c>
      <c r="E61" s="257" t="n">
        <v>0.002067</v>
      </c>
      <c r="F61" s="101" t="n">
        <v>11978</v>
      </c>
      <c r="G61" s="101">
        <f>ROUND(F61*E61,2)</f>
        <v/>
      </c>
      <c r="H61" s="230">
        <f>G61/$G$71</f>
        <v/>
      </c>
      <c r="I61" s="101">
        <f>ROUND(F61*Прил.10!$D$12,2)</f>
        <v/>
      </c>
      <c r="J61" s="101">
        <f>ROUND(I61*E61,2)</f>
        <v/>
      </c>
    </row>
    <row r="62" outlineLevel="1" ht="14.25" customFormat="1" customHeight="1" s="194">
      <c r="A62" s="218" t="n">
        <v>34</v>
      </c>
      <c r="B62" s="152" t="inlineStr">
        <is>
          <t>01.3.01.03-0002</t>
        </is>
      </c>
      <c r="C62" s="217" t="inlineStr">
        <is>
          <t>Керосин для технических целей</t>
        </is>
      </c>
      <c r="D62" s="218" t="inlineStr">
        <is>
          <t>т</t>
        </is>
      </c>
      <c r="E62" s="257" t="n">
        <v>0.00576</v>
      </c>
      <c r="F62" s="101" t="n">
        <v>2606.9</v>
      </c>
      <c r="G62" s="101">
        <f>ROUND(F62*E62,2)</f>
        <v/>
      </c>
      <c r="H62" s="230">
        <f>G62/$G$71</f>
        <v/>
      </c>
      <c r="I62" s="101">
        <f>ROUND(F62*Прил.10!$D$12,2)</f>
        <v/>
      </c>
      <c r="J62" s="101">
        <f>ROUND(I62*E62,2)</f>
        <v/>
      </c>
    </row>
    <row r="63" outlineLevel="1" ht="25.5" customFormat="1" customHeight="1" s="194">
      <c r="A63" s="218" t="n">
        <v>35</v>
      </c>
      <c r="B63" s="152" t="inlineStr">
        <is>
          <t>08.3.03.06-0002</t>
        </is>
      </c>
      <c r="C63" s="217" t="inlineStr">
        <is>
          <t>Проволока горячекатаная в мотках, диаметр 6,3-6,5 мм</t>
        </is>
      </c>
      <c r="D63" s="218" t="inlineStr">
        <is>
          <t>т</t>
        </is>
      </c>
      <c r="E63" s="257" t="n">
        <v>0.001776</v>
      </c>
      <c r="F63" s="101" t="n">
        <v>4455.2</v>
      </c>
      <c r="G63" s="101">
        <f>ROUND(F63*E63,2)</f>
        <v/>
      </c>
      <c r="H63" s="230">
        <f>G63/$G$71</f>
        <v/>
      </c>
      <c r="I63" s="101">
        <f>ROUND(F63*Прил.10!$D$12,2)</f>
        <v/>
      </c>
      <c r="J63" s="101">
        <f>ROUND(I63*E63,2)</f>
        <v/>
      </c>
    </row>
    <row r="64" outlineLevel="1" ht="38.25" customFormat="1" customHeight="1" s="194">
      <c r="A64" s="218" t="n">
        <v>36</v>
      </c>
      <c r="B64" s="152" t="inlineStr">
        <is>
          <t>11.1.03.06-0087</t>
        </is>
      </c>
      <c r="C64" s="217" t="inlineStr">
        <is>
          <t>Доска обрезная, хвойных пород, ширина 75-150 мм, толщина 25 мм, длина 4-6,5 м, сорт III</t>
        </is>
      </c>
      <c r="D64" s="218" t="inlineStr">
        <is>
          <t>м3</t>
        </is>
      </c>
      <c r="E64" s="257" t="n">
        <v>0.00576</v>
      </c>
      <c r="F64" s="101" t="n">
        <v>1100</v>
      </c>
      <c r="G64" s="101">
        <f>ROUND(F64*E64,2)</f>
        <v/>
      </c>
      <c r="H64" s="230">
        <f>G64/$G$71</f>
        <v/>
      </c>
      <c r="I64" s="101">
        <f>ROUND(F64*Прил.10!$D$12,2)</f>
        <v/>
      </c>
      <c r="J64" s="101">
        <f>ROUND(I64*E64,2)</f>
        <v/>
      </c>
    </row>
    <row r="65" outlineLevel="1" ht="14.25" customFormat="1" customHeight="1" s="194">
      <c r="A65" s="218" t="n">
        <v>37</v>
      </c>
      <c r="B65" s="152" t="inlineStr">
        <is>
          <t>08.3.03.04-0012</t>
        </is>
      </c>
      <c r="C65" s="217" t="inlineStr">
        <is>
          <t>Проволока светлая, диаметр 1,1 мм</t>
        </is>
      </c>
      <c r="D65" s="218" t="inlineStr">
        <is>
          <t>т</t>
        </is>
      </c>
      <c r="E65" s="257" t="n">
        <v>0.0004884000000000001</v>
      </c>
      <c r="F65" s="101" t="n">
        <v>10200</v>
      </c>
      <c r="G65" s="101">
        <f>ROUND(F65*E65,2)</f>
        <v/>
      </c>
      <c r="H65" s="230">
        <f>G65/$G$71</f>
        <v/>
      </c>
      <c r="I65" s="101">
        <f>ROUND(F65*Прил.10!$D$12,2)</f>
        <v/>
      </c>
      <c r="J65" s="101">
        <f>ROUND(I65*E65,2)</f>
        <v/>
      </c>
    </row>
    <row r="66" outlineLevel="1" ht="25.5" customFormat="1" customHeight="1" s="194">
      <c r="A66" s="218" t="n">
        <v>38</v>
      </c>
      <c r="B66" s="152" t="inlineStr">
        <is>
          <t>03.1.02.03-0011</t>
        </is>
      </c>
      <c r="C66" s="217" t="inlineStr">
        <is>
          <t>Известь строительная негашеная комовая, сорт I</t>
        </is>
      </c>
      <c r="D66" s="218" t="inlineStr">
        <is>
          <t>т</t>
        </is>
      </c>
      <c r="E66" s="257" t="n">
        <v>0.002442</v>
      </c>
      <c r="F66" s="101" t="n">
        <v>734.5</v>
      </c>
      <c r="G66" s="101">
        <f>ROUND(F66*E66,2)</f>
        <v/>
      </c>
      <c r="H66" s="230">
        <f>G66/$G$71</f>
        <v/>
      </c>
      <c r="I66" s="101">
        <f>ROUND(F66*Прил.10!$D$12,2)</f>
        <v/>
      </c>
      <c r="J66" s="101">
        <f>ROUND(I66*E66,2)</f>
        <v/>
      </c>
    </row>
    <row r="67" outlineLevel="1" ht="14.25" customFormat="1" customHeight="1" s="194">
      <c r="A67" s="218" t="n">
        <v>39</v>
      </c>
      <c r="B67" s="152" t="inlineStr">
        <is>
          <t>07.2.07.02-0001</t>
        </is>
      </c>
      <c r="C67" s="217" t="inlineStr">
        <is>
          <t>Кондуктор инвентарный металлический</t>
        </is>
      </c>
      <c r="D67" s="218" t="inlineStr">
        <is>
          <t>шт</t>
        </is>
      </c>
      <c r="E67" s="257" t="n">
        <v>0.001992</v>
      </c>
      <c r="F67" s="101" t="n">
        <v>346</v>
      </c>
      <c r="G67" s="101">
        <f>ROUND(F67*E67,2)</f>
        <v/>
      </c>
      <c r="H67" s="230">
        <f>G67/$G$71</f>
        <v/>
      </c>
      <c r="I67" s="101">
        <f>ROUND(F67*Прил.10!$D$12,2)</f>
        <v/>
      </c>
      <c r="J67" s="101">
        <f>ROUND(I67*E67,2)</f>
        <v/>
      </c>
    </row>
    <row r="68" outlineLevel="1" ht="14.25" customFormat="1" customHeight="1" s="194">
      <c r="A68" s="218" t="n">
        <v>40</v>
      </c>
      <c r="B68" s="152" t="inlineStr">
        <is>
          <t>01.7.03.01-0001</t>
        </is>
      </c>
      <c r="C68" s="217" t="inlineStr">
        <is>
          <t>Вода</t>
        </is>
      </c>
      <c r="D68" s="218" t="inlineStr">
        <is>
          <t>м3</t>
        </is>
      </c>
      <c r="E68" s="257" t="n">
        <v>0.105964</v>
      </c>
      <c r="F68" s="101" t="n">
        <v>2.44</v>
      </c>
      <c r="G68" s="101">
        <f>ROUND(F68*E68,2)</f>
        <v/>
      </c>
      <c r="H68" s="230">
        <f>G68/$G$71</f>
        <v/>
      </c>
      <c r="I68" s="101">
        <f>ROUND(F68*Прил.10!$D$12,2)</f>
        <v/>
      </c>
      <c r="J68" s="101">
        <f>ROUND(I68*E68,2)</f>
        <v/>
      </c>
    </row>
    <row r="69" outlineLevel="1" ht="14.25" customFormat="1" customHeight="1" s="194">
      <c r="A69" s="218" t="n">
        <v>41</v>
      </c>
      <c r="B69" s="152" t="inlineStr">
        <is>
          <t>01.7.20.08-0051</t>
        </is>
      </c>
      <c r="C69" s="217" t="inlineStr">
        <is>
          <t>Ветошь</t>
        </is>
      </c>
      <c r="D69" s="218" t="inlineStr">
        <is>
          <t>кг</t>
        </is>
      </c>
      <c r="E69" s="257" t="n">
        <v>0.024</v>
      </c>
      <c r="F69" s="101" t="n">
        <v>1.82</v>
      </c>
      <c r="G69" s="101">
        <f>ROUND(F69*E69,2)</f>
        <v/>
      </c>
      <c r="H69" s="230">
        <f>G69/$G$71</f>
        <v/>
      </c>
      <c r="I69" s="101">
        <f>ROUND(F69*Прил.10!$D$12,2)</f>
        <v/>
      </c>
      <c r="J69" s="101">
        <f>ROUND(I69*E69,2)</f>
        <v/>
      </c>
    </row>
    <row r="70" customFormat="1" s="194">
      <c r="A70" s="218" t="n"/>
      <c r="B70" s="218" t="n"/>
      <c r="C70" s="217" t="inlineStr">
        <is>
          <t>Итого прочие материалы</t>
        </is>
      </c>
      <c r="D70" s="218" t="n"/>
      <c r="E70" s="219" t="n"/>
      <c r="F70" s="220" t="n"/>
      <c r="G70" s="101">
        <f>SUM(G51:G69)</f>
        <v/>
      </c>
      <c r="H70" s="230">
        <f>G70/G71</f>
        <v/>
      </c>
      <c r="I70" s="101" t="n"/>
      <c r="J70" s="101">
        <f>SUM(J51:J69)</f>
        <v/>
      </c>
      <c r="L70" s="265" t="n"/>
    </row>
    <row r="71" ht="14.25" customFormat="1" customHeight="1" s="194">
      <c r="A71" s="218" t="n"/>
      <c r="B71" s="218" t="n"/>
      <c r="C71" s="229" t="inlineStr">
        <is>
          <t>Итого по разделу «Материалы»</t>
        </is>
      </c>
      <c r="D71" s="218" t="n"/>
      <c r="E71" s="219" t="n"/>
      <c r="F71" s="220" t="n"/>
      <c r="G71" s="101">
        <f>G50+G70</f>
        <v/>
      </c>
      <c r="H71" s="230" t="n">
        <v>1</v>
      </c>
      <c r="I71" s="220" t="n"/>
      <c r="J71" s="101">
        <f>J50+J70</f>
        <v/>
      </c>
      <c r="K71" s="262" t="n"/>
      <c r="L71" s="83" t="n"/>
    </row>
    <row r="72" ht="14.25" customFormat="1" customHeight="1" s="194">
      <c r="A72" s="218" t="n"/>
      <c r="B72" s="218" t="n"/>
      <c r="C72" s="217" t="inlineStr">
        <is>
          <t>ИТОГО ПО РМ</t>
        </is>
      </c>
      <c r="D72" s="218" t="n"/>
      <c r="E72" s="219" t="n"/>
      <c r="F72" s="220" t="n"/>
      <c r="G72" s="101">
        <f>G14+G36+G71</f>
        <v/>
      </c>
      <c r="H72" s="230" t="n"/>
      <c r="I72" s="220" t="n"/>
      <c r="J72" s="101">
        <f>J14+J36+J71</f>
        <v/>
      </c>
    </row>
    <row r="73" ht="14.25" customFormat="1" customHeight="1" s="194">
      <c r="A73" s="218" t="n"/>
      <c r="B73" s="218" t="n"/>
      <c r="C73" s="217" t="inlineStr">
        <is>
          <t>Накладные расходы</t>
        </is>
      </c>
      <c r="D73" s="218" t="inlineStr">
        <is>
          <t>%</t>
        </is>
      </c>
      <c r="E73" s="81" t="n">
        <v>1.1</v>
      </c>
      <c r="F73" s="220" t="n"/>
      <c r="G73" s="101" t="n">
        <v>3245.9</v>
      </c>
      <c r="H73" s="230" t="n"/>
      <c r="I73" s="220" t="n"/>
      <c r="J73" s="101">
        <f>ROUND(E73*(J14+J16),2)</f>
        <v/>
      </c>
      <c r="K73" s="82" t="n"/>
    </row>
    <row r="74" ht="14.25" customFormat="1" customHeight="1" s="194">
      <c r="A74" s="218" t="n"/>
      <c r="B74" s="218" t="n"/>
      <c r="C74" s="217" t="inlineStr">
        <is>
          <t>Сметная прибыль</t>
        </is>
      </c>
      <c r="D74" s="218" t="inlineStr">
        <is>
          <t>%</t>
        </is>
      </c>
      <c r="E74" s="81" t="n">
        <v>0.6899999999999999</v>
      </c>
      <c r="F74" s="220" t="n"/>
      <c r="G74" s="101" t="n">
        <v>1841.64</v>
      </c>
      <c r="H74" s="230" t="n"/>
      <c r="I74" s="220" t="n"/>
      <c r="J74" s="101">
        <f>ROUND(E74*(J14+J16),2)</f>
        <v/>
      </c>
      <c r="K74" s="82" t="n"/>
    </row>
    <row r="75" ht="14.25" customFormat="1" customHeight="1" s="194">
      <c r="A75" s="218" t="n"/>
      <c r="B75" s="218" t="n"/>
      <c r="C75" s="217" t="inlineStr">
        <is>
          <t>Итого СМР (с НР и СП)</t>
        </is>
      </c>
      <c r="D75" s="218" t="n"/>
      <c r="E75" s="219" t="n"/>
      <c r="F75" s="220" t="n"/>
      <c r="G75" s="101">
        <f>G14+G36+G71+G73+G74</f>
        <v/>
      </c>
      <c r="H75" s="230" t="n"/>
      <c r="I75" s="220" t="n"/>
      <c r="J75" s="101">
        <f>J14+J36+J71+J73+J74</f>
        <v/>
      </c>
      <c r="L75" s="83" t="n"/>
    </row>
    <row r="76" ht="14.25" customFormat="1" customHeight="1" s="194">
      <c r="A76" s="218" t="n"/>
      <c r="B76" s="218" t="n"/>
      <c r="C76" s="217" t="inlineStr">
        <is>
          <t>ВСЕГО СМР + ОБОРУДОВАНИЕ</t>
        </is>
      </c>
      <c r="D76" s="218" t="n"/>
      <c r="E76" s="219" t="n"/>
      <c r="F76" s="220" t="n"/>
      <c r="G76" s="101">
        <f>G75+G41</f>
        <v/>
      </c>
      <c r="H76" s="230" t="n"/>
      <c r="I76" s="220" t="n"/>
      <c r="J76" s="101">
        <f>J75+J41</f>
        <v/>
      </c>
      <c r="L76" s="82" t="n"/>
    </row>
    <row r="77" ht="14.25" customFormat="1" customHeight="1" s="194">
      <c r="A77" s="218" t="n"/>
      <c r="B77" s="218" t="n"/>
      <c r="C77" s="217" t="inlineStr">
        <is>
          <t>ИТОГО ПОКАЗАТЕЛЬ НА ЕД. ИЗМ.</t>
        </is>
      </c>
      <c r="D77" s="218" t="inlineStr">
        <is>
          <t>ед.</t>
        </is>
      </c>
      <c r="E77" s="84">
        <f>'Прил.1 Сравнит табл'!D15</f>
        <v/>
      </c>
      <c r="F77" s="220" t="n"/>
      <c r="G77" s="101">
        <f>G76/E77</f>
        <v/>
      </c>
      <c r="H77" s="230" t="n"/>
      <c r="I77" s="220" t="n"/>
      <c r="J77" s="101">
        <f>J76/E77</f>
        <v/>
      </c>
      <c r="L77" s="261" t="n"/>
    </row>
    <row r="79" ht="14.25" customFormat="1" customHeight="1" s="194">
      <c r="A79" s="195" t="n"/>
    </row>
    <row r="80" ht="14.25" customFormat="1" customHeight="1" s="194">
      <c r="A80" s="193" t="inlineStr">
        <is>
          <t>Составил ______________________   Е. М. Добровольская</t>
        </is>
      </c>
      <c r="B80" s="194" t="n"/>
    </row>
    <row r="81" ht="14.25" customFormat="1" customHeight="1" s="194">
      <c r="A81" s="196" t="inlineStr">
        <is>
          <t xml:space="preserve">                         (подпись, инициалы, фамилия)</t>
        </is>
      </c>
      <c r="B81" s="194" t="n"/>
    </row>
    <row r="82" ht="14.25" customFormat="1" customHeight="1" s="194">
      <c r="A82" s="193" t="n"/>
      <c r="B82" s="194" t="n"/>
    </row>
    <row r="83" ht="14.25" customFormat="1" customHeight="1" s="194">
      <c r="A83" s="193" t="inlineStr">
        <is>
          <t>Проверил ______________________        А.В. Костянецкая</t>
        </is>
      </c>
      <c r="B83" s="194" t="n"/>
    </row>
    <row r="84" ht="14.25" customFormat="1" customHeight="1" s="194">
      <c r="A84" s="196" t="inlineStr">
        <is>
          <t xml:space="preserve">                        (подпись, инициалы, фамилия)</t>
        </is>
      </c>
      <c r="B84" s="194" t="n"/>
    </row>
  </sheetData>
  <mergeCells count="19">
    <mergeCell ref="H9:H10"/>
    <mergeCell ref="B15:H15"/>
    <mergeCell ref="B38:J38"/>
    <mergeCell ref="C9:C10"/>
    <mergeCell ref="E9:E10"/>
    <mergeCell ref="B37:J37"/>
    <mergeCell ref="A7:H7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44:H44"/>
    <mergeCell ref="B43:J4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E19" sqref="E19"/>
    </sheetView>
  </sheetViews>
  <sheetFormatPr baseColWidth="8" defaultRowHeight="15"/>
  <cols>
    <col width="5.7109375" customWidth="1" style="186" min="1" max="1"/>
    <col width="14.85546875" customWidth="1" style="186" min="2" max="2"/>
    <col width="39.140625" customWidth="1" style="186" min="3" max="3"/>
    <col width="8.28515625" customWidth="1" style="186" min="4" max="4"/>
    <col width="13.5703125" customWidth="1" style="186" min="5" max="5"/>
    <col width="12.42578125" customWidth="1" style="186" min="6" max="6"/>
    <col width="14.140625" customWidth="1" style="186" min="7" max="7"/>
  </cols>
  <sheetData>
    <row r="1">
      <c r="A1" s="237" t="inlineStr">
        <is>
          <t>Приложение №6</t>
        </is>
      </c>
    </row>
    <row r="2">
      <c r="A2" s="237" t="n"/>
      <c r="B2" s="237" t="n"/>
      <c r="C2" s="237" t="n"/>
      <c r="D2" s="237" t="n"/>
      <c r="E2" s="237" t="n"/>
      <c r="F2" s="237" t="n"/>
      <c r="G2" s="237" t="n"/>
    </row>
    <row r="3">
      <c r="A3" s="237" t="n"/>
      <c r="B3" s="237" t="n"/>
      <c r="C3" s="237" t="n"/>
      <c r="D3" s="237" t="n"/>
      <c r="E3" s="237" t="n"/>
      <c r="F3" s="237" t="n"/>
      <c r="G3" s="237" t="n"/>
    </row>
    <row r="4">
      <c r="A4" s="237" t="n"/>
      <c r="B4" s="237" t="n"/>
      <c r="C4" s="237" t="n"/>
      <c r="D4" s="237" t="n"/>
      <c r="E4" s="237" t="n"/>
      <c r="F4" s="237" t="n"/>
      <c r="G4" s="237" t="n"/>
    </row>
    <row r="5">
      <c r="A5" s="214" t="inlineStr">
        <is>
          <t>Расчет стоимости оборудования</t>
        </is>
      </c>
    </row>
    <row r="6" ht="64.5" customHeight="1" s="186">
      <c r="A6" s="239">
        <f>'Прил.1 Сравнит табл'!B7</f>
        <v/>
      </c>
    </row>
    <row r="7">
      <c r="A7" s="193" t="n"/>
      <c r="B7" s="193" t="n"/>
      <c r="C7" s="193" t="n"/>
      <c r="D7" s="193" t="n"/>
      <c r="E7" s="193" t="n"/>
      <c r="F7" s="193" t="n"/>
      <c r="G7" s="193" t="n"/>
    </row>
    <row r="8" ht="30" customHeight="1" s="186">
      <c r="A8" s="238" t="inlineStr">
        <is>
          <t>№ пп.</t>
        </is>
      </c>
      <c r="B8" s="238" t="inlineStr">
        <is>
          <t>Код ресурса</t>
        </is>
      </c>
      <c r="C8" s="238" t="inlineStr">
        <is>
          <t>Наименование</t>
        </is>
      </c>
      <c r="D8" s="238" t="inlineStr">
        <is>
          <t>Ед. изм.</t>
        </is>
      </c>
      <c r="E8" s="218" t="inlineStr">
        <is>
          <t>Кол-во единиц по проектным данным</t>
        </is>
      </c>
      <c r="F8" s="238" t="inlineStr">
        <is>
          <t>Сметная стоимость в ценах на 01.01.2000 (руб.)</t>
        </is>
      </c>
      <c r="G8" s="245" t="n"/>
    </row>
    <row r="9">
      <c r="A9" s="247" t="n"/>
      <c r="B9" s="247" t="n"/>
      <c r="C9" s="247" t="n"/>
      <c r="D9" s="247" t="n"/>
      <c r="E9" s="247" t="n"/>
      <c r="F9" s="218" t="inlineStr">
        <is>
          <t>на ед. изм.</t>
        </is>
      </c>
      <c r="G9" s="218" t="inlineStr">
        <is>
          <t>общая</t>
        </is>
      </c>
    </row>
    <row r="10">
      <c r="A10" s="218" t="n">
        <v>1</v>
      </c>
      <c r="B10" s="218" t="n">
        <v>2</v>
      </c>
      <c r="C10" s="218" t="n">
        <v>3</v>
      </c>
      <c r="D10" s="218" t="n">
        <v>4</v>
      </c>
      <c r="E10" s="218" t="n">
        <v>5</v>
      </c>
      <c r="F10" s="218" t="n">
        <v>6</v>
      </c>
      <c r="G10" s="218" t="n">
        <v>7</v>
      </c>
    </row>
    <row r="11" ht="15" customHeight="1" s="186">
      <c r="A11" s="51" t="n"/>
      <c r="B11" s="217" t="inlineStr">
        <is>
          <t>ИНЖЕНЕРНОЕ ОБОРУДОВАНИЕ</t>
        </is>
      </c>
      <c r="C11" s="244" t="n"/>
      <c r="D11" s="244" t="n"/>
      <c r="E11" s="244" t="n"/>
      <c r="F11" s="244" t="n"/>
      <c r="G11" s="245" t="n"/>
    </row>
    <row r="12" ht="27" customHeight="1" s="186">
      <c r="A12" s="218" t="n"/>
      <c r="B12" s="229" t="n"/>
      <c r="C12" s="217" t="inlineStr">
        <is>
          <t>ИТОГО ИНЖЕНЕРНОЕ ОБОРУДОВАНИЕ</t>
        </is>
      </c>
      <c r="D12" s="229" t="n"/>
      <c r="E12" s="9" t="n"/>
      <c r="F12" s="220" t="n"/>
      <c r="G12" s="220" t="n">
        <v>0</v>
      </c>
    </row>
    <row r="13">
      <c r="A13" s="218" t="n"/>
      <c r="B13" s="217" t="inlineStr">
        <is>
          <t>ТЕХНОЛОГИЧЕСКОЕ ОБОРУДОВАНИЕ</t>
        </is>
      </c>
      <c r="C13" s="244" t="n"/>
      <c r="D13" s="244" t="n"/>
      <c r="E13" s="244" t="n"/>
      <c r="F13" s="244" t="n"/>
      <c r="G13" s="245" t="n"/>
    </row>
    <row r="14" ht="25.5" customHeight="1" s="186">
      <c r="A14" s="218" t="n"/>
      <c r="B14" s="13" t="n"/>
      <c r="C14" s="13" t="inlineStr">
        <is>
          <t>ИТОГО ТЕХНОЛОГИЧЕСКОЕ ОБОРУДОВАНИЕ</t>
        </is>
      </c>
      <c r="D14" s="13" t="n"/>
      <c r="E14" s="14" t="n"/>
      <c r="F14" s="220" t="n"/>
      <c r="G14" s="101" t="n">
        <v>0</v>
      </c>
    </row>
    <row r="15" ht="19.5" customHeight="1" s="186">
      <c r="A15" s="218" t="n"/>
      <c r="B15" s="217" t="n"/>
      <c r="C15" s="217" t="inlineStr">
        <is>
          <t>Всего по разделу «Оборудование»</t>
        </is>
      </c>
      <c r="D15" s="217" t="n"/>
      <c r="E15" s="236" t="n"/>
      <c r="F15" s="220" t="n"/>
      <c r="G15" s="101">
        <f>G12+G14</f>
        <v/>
      </c>
    </row>
    <row r="16">
      <c r="A16" s="195" t="n"/>
      <c r="B16" s="12" t="n"/>
      <c r="C16" s="195" t="n"/>
      <c r="D16" s="195" t="n"/>
      <c r="E16" s="195" t="n"/>
      <c r="F16" s="195" t="n"/>
      <c r="G16" s="195" t="n"/>
    </row>
    <row r="17" s="186">
      <c r="A17" s="193" t="inlineStr">
        <is>
          <t>Составил ______________________   Е. М. Добровольская</t>
        </is>
      </c>
      <c r="B17" s="194" t="n"/>
      <c r="C17" s="194" t="n"/>
      <c r="D17" s="195" t="n"/>
      <c r="E17" s="195" t="n"/>
      <c r="F17" s="195" t="n"/>
      <c r="G17" s="195" t="n"/>
    </row>
    <row r="18" s="186">
      <c r="A18" s="196" t="inlineStr">
        <is>
          <t xml:space="preserve">                         (подпись, инициалы, фамилия)</t>
        </is>
      </c>
      <c r="B18" s="194" t="n"/>
      <c r="C18" s="194" t="n"/>
      <c r="D18" s="195" t="n"/>
      <c r="E18" s="195" t="n"/>
      <c r="F18" s="195" t="n"/>
      <c r="G18" s="195" t="n"/>
    </row>
    <row r="19" s="186">
      <c r="A19" s="193" t="n"/>
      <c r="B19" s="194" t="n"/>
      <c r="C19" s="194" t="n"/>
      <c r="D19" s="195" t="n"/>
      <c r="E19" s="195" t="n"/>
      <c r="F19" s="195" t="n"/>
      <c r="G19" s="195" t="n"/>
    </row>
    <row r="20" s="186">
      <c r="A20" s="193" t="inlineStr">
        <is>
          <t>Проверил ______________________        А.В. Костянецкая</t>
        </is>
      </c>
      <c r="B20" s="194" t="n"/>
      <c r="C20" s="194" t="n"/>
      <c r="D20" s="195" t="n"/>
      <c r="E20" s="195" t="n"/>
      <c r="F20" s="195" t="n"/>
      <c r="G20" s="195" t="n"/>
    </row>
    <row r="21" s="186">
      <c r="A21" s="196" t="inlineStr">
        <is>
          <t xml:space="preserve">                        (подпись, инициалы, фамилия)</t>
        </is>
      </c>
      <c r="B21" s="194" t="n"/>
      <c r="C21" s="194" t="n"/>
      <c r="D21" s="195" t="n"/>
      <c r="E21" s="195" t="n"/>
      <c r="F21" s="195" t="n"/>
      <c r="G21" s="195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86" min="1" max="1"/>
    <col width="22.42578125" customWidth="1" style="186" min="2" max="2"/>
    <col width="37.140625" customWidth="1" style="186" min="3" max="3"/>
    <col width="49" customWidth="1" style="186" min="4" max="4"/>
    <col width="9.140625" customWidth="1" style="186" min="5" max="5"/>
  </cols>
  <sheetData>
    <row r="1" ht="15.75" customHeight="1" s="186">
      <c r="A1" s="189" t="n"/>
      <c r="B1" s="189" t="n"/>
      <c r="C1" s="189" t="n"/>
      <c r="D1" s="189" t="inlineStr">
        <is>
          <t>Приложение №7</t>
        </is>
      </c>
    </row>
    <row r="2" ht="15.75" customHeight="1" s="186">
      <c r="A2" s="189" t="n"/>
      <c r="B2" s="189" t="n"/>
      <c r="C2" s="189" t="n"/>
      <c r="D2" s="189" t="n"/>
    </row>
    <row r="3" ht="15.75" customHeight="1" s="186">
      <c r="A3" s="189" t="n"/>
      <c r="B3" s="187" t="inlineStr">
        <is>
          <t>Расчет показателя УНЦ</t>
        </is>
      </c>
      <c r="C3" s="189" t="n"/>
      <c r="D3" s="189" t="n"/>
    </row>
    <row r="4" ht="15.75" customHeight="1" s="186">
      <c r="A4" s="189" t="n"/>
      <c r="B4" s="189" t="n"/>
      <c r="C4" s="189" t="n"/>
      <c r="D4" s="189" t="n"/>
    </row>
    <row r="5" ht="15.75" customHeight="1" s="186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ОБ'!D6:J6</f>
        <v/>
      </c>
    </row>
    <row r="6" ht="15.75" customHeight="1" s="186">
      <c r="A6" s="189" t="inlineStr">
        <is>
          <t>Единица измерения  — 1 ед</t>
        </is>
      </c>
      <c r="B6" s="189" t="n"/>
      <c r="C6" s="189" t="n"/>
      <c r="D6" s="189" t="n"/>
    </row>
    <row r="7" ht="15.75" customHeight="1" s="186">
      <c r="A7" s="189" t="n"/>
      <c r="B7" s="189" t="n"/>
      <c r="C7" s="189" t="n"/>
      <c r="D7" s="189" t="n"/>
    </row>
    <row r="8">
      <c r="A8" s="204" t="inlineStr">
        <is>
          <t>Код показателя</t>
        </is>
      </c>
      <c r="B8" s="204" t="inlineStr">
        <is>
          <t>Наименование показателя</t>
        </is>
      </c>
      <c r="C8" s="204" t="inlineStr">
        <is>
          <t>Наименование РМ, входящих в состав показателя</t>
        </is>
      </c>
      <c r="D8" s="204" t="inlineStr">
        <is>
          <t>Норматив цены на 01.01.2023, тыс.руб.</t>
        </is>
      </c>
    </row>
    <row r="9">
      <c r="A9" s="247" t="n"/>
      <c r="B9" s="247" t="n"/>
      <c r="C9" s="247" t="n"/>
      <c r="D9" s="247" t="n"/>
    </row>
    <row r="10" ht="15.75" customHeight="1" s="186">
      <c r="A10" s="204" t="n">
        <v>1</v>
      </c>
      <c r="B10" s="204" t="n">
        <v>2</v>
      </c>
      <c r="C10" s="204" t="n">
        <v>3</v>
      </c>
      <c r="D10" s="204" t="n">
        <v>4</v>
      </c>
    </row>
    <row r="11" ht="31.5" customHeight="1" s="186">
      <c r="A11" s="204" t="inlineStr">
        <is>
          <t>И1,3</t>
        </is>
      </c>
      <c r="B11" s="204" t="inlineStr">
        <is>
          <t xml:space="preserve">Устройство фундаментов </t>
        </is>
      </c>
      <c r="C11" s="191">
        <f>D5</f>
        <v/>
      </c>
      <c r="D11" s="192">
        <f>'Прил.4 РМ'!C41/1000</f>
        <v/>
      </c>
    </row>
    <row r="13">
      <c r="A13" s="193" t="inlineStr">
        <is>
          <t>Составил ______________________    Е. М. Добровольская</t>
        </is>
      </c>
      <c r="B13" s="194" t="n"/>
      <c r="C13" s="194" t="n"/>
      <c r="D13" s="195" t="n"/>
    </row>
    <row r="14">
      <c r="A14" s="196" t="inlineStr">
        <is>
          <t xml:space="preserve">                         (подпись, инициалы, фамилия)</t>
        </is>
      </c>
      <c r="B14" s="194" t="n"/>
      <c r="C14" s="194" t="n"/>
      <c r="D14" s="195" t="n"/>
    </row>
    <row r="15">
      <c r="A15" s="193" t="n"/>
      <c r="B15" s="194" t="n"/>
      <c r="C15" s="194" t="n"/>
      <c r="D15" s="195" t="n"/>
    </row>
    <row r="16">
      <c r="A16" s="193" t="inlineStr">
        <is>
          <t>Проверил ______________________        А.В. Костянецкая</t>
        </is>
      </c>
      <c r="B16" s="194" t="n"/>
      <c r="C16" s="194" t="n"/>
      <c r="D16" s="195" t="n"/>
    </row>
    <row r="17" ht="20.25" customHeight="1" s="186">
      <c r="A17" s="196" t="inlineStr">
        <is>
          <t xml:space="preserve">                        (подпись, инициалы, фамилия)</t>
        </is>
      </c>
      <c r="B17" s="194" t="n"/>
      <c r="C17" s="194" t="n"/>
      <c r="D17" s="1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7" zoomScale="60" zoomScaleNormal="70" workbookViewId="0">
      <selection activeCell="D27" sqref="D27"/>
    </sheetView>
  </sheetViews>
  <sheetFormatPr baseColWidth="8" defaultRowHeight="15"/>
  <cols>
    <col width="40.7109375" customWidth="1" style="186" min="2" max="2"/>
    <col width="37" customWidth="1" style="186" min="3" max="3"/>
    <col width="32" customWidth="1" style="186" min="4" max="4"/>
  </cols>
  <sheetData>
    <row r="4" ht="15.75" customHeight="1" s="186">
      <c r="B4" s="202" t="inlineStr">
        <is>
          <t>Приложение № 10</t>
        </is>
      </c>
    </row>
    <row r="5" ht="18.75" customHeight="1" s="186">
      <c r="B5" s="40" t="n"/>
    </row>
    <row r="6" ht="15.75" customHeight="1" s="186">
      <c r="B6" s="203" t="inlineStr">
        <is>
          <t>Используемые индексы изменений сметной стоимости и нормы сопутствующих затрат</t>
        </is>
      </c>
    </row>
    <row r="7">
      <c r="B7" s="241" t="n"/>
    </row>
    <row r="8" ht="47.25" customHeight="1" s="186">
      <c r="B8" s="204" t="inlineStr">
        <is>
          <t>Наименование индекса / норм сопутствующих затрат</t>
        </is>
      </c>
      <c r="C8" s="204" t="inlineStr">
        <is>
          <t>Дата применения и обоснование индекса / норм сопутствующих затрат</t>
        </is>
      </c>
      <c r="D8" s="204" t="inlineStr">
        <is>
          <t>Размер индекса / норма сопутствующих затрат</t>
        </is>
      </c>
    </row>
    <row r="9" ht="15.75" customHeight="1" s="186">
      <c r="B9" s="204" t="n">
        <v>1</v>
      </c>
      <c r="C9" s="204" t="n">
        <v>2</v>
      </c>
      <c r="D9" s="204" t="n">
        <v>3</v>
      </c>
    </row>
    <row r="10" ht="31.5" customHeight="1" s="186">
      <c r="B10" s="204" t="inlineStr">
        <is>
          <t xml:space="preserve">Индекс изменения сметной стоимости на 1 квартал 2023 года. ОЗП </t>
        </is>
      </c>
      <c r="C10" s="204" t="inlineStr">
        <is>
          <t>Письмо Минстроя России от от 30.03.2023г. №17106-ИФ/09 прил.1</t>
        </is>
      </c>
      <c r="D10" s="204" t="n">
        <v>44.29</v>
      </c>
    </row>
    <row r="11" ht="31.5" customHeight="1" s="186">
      <c r="B11" s="204" t="inlineStr">
        <is>
          <t>Индекс изменения сметной стоимости на 1 квартал 2023 года. ЭМ</t>
        </is>
      </c>
      <c r="C11" s="204" t="inlineStr">
        <is>
          <t>Письмо Минстроя России от от 30.03.2023г. №17106-ИФ/09 прил.1</t>
        </is>
      </c>
      <c r="D11" s="204" t="n">
        <v>13.47</v>
      </c>
    </row>
    <row r="12" ht="31.5" customHeight="1" s="186">
      <c r="B12" s="204" t="inlineStr">
        <is>
          <t>Индекс изменения сметной стоимости на 1 квартал 2023 года. МАТ</t>
        </is>
      </c>
      <c r="C12" s="204" t="inlineStr">
        <is>
          <t>Письмо Минстроя России от от 30.03.2023г. №17106-ИФ/09 прил.1</t>
        </is>
      </c>
      <c r="D12" s="204" t="n">
        <v>8.039999999999999</v>
      </c>
    </row>
    <row r="13" ht="31.5" customHeight="1" s="186">
      <c r="B13" s="204" t="inlineStr">
        <is>
          <t>Индекс изменения сметной стоимости на 1 квартал 2023 года. ОБ</t>
        </is>
      </c>
      <c r="C13" s="111" t="inlineStr">
        <is>
          <t>Письмо Минстроя России от 23.02.2023г. №9791-ИФ/09 прил.6</t>
        </is>
      </c>
      <c r="D13" s="204" t="n">
        <v>6.26</v>
      </c>
    </row>
    <row r="14" ht="94.5" customHeight="1" s="186">
      <c r="B14" s="204" t="inlineStr">
        <is>
          <t>Временные здания и сооружения</t>
        </is>
      </c>
      <c r="C14" s="204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49" t="n">
        <v>0.039</v>
      </c>
    </row>
    <row r="15" ht="94.5" customHeight="1" s="186">
      <c r="B15" s="204" t="inlineStr">
        <is>
          <t>Дополнительные затраты при производстве строительно-монтажных работ в зимнее время</t>
        </is>
      </c>
      <c r="C15" s="204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49" t="n">
        <v>0.021</v>
      </c>
    </row>
    <row r="16" ht="31.5" customHeight="1" s="186">
      <c r="B16" s="204" t="inlineStr">
        <is>
          <t>Строительный контроль</t>
        </is>
      </c>
      <c r="C16" s="204" t="inlineStr">
        <is>
          <t>Постановление Правительства РФ от 21.06.10 г. № 468</t>
        </is>
      </c>
      <c r="D16" s="49" t="n">
        <v>0.0214</v>
      </c>
    </row>
    <row r="17" ht="36.75" customHeight="1" s="186">
      <c r="B17" s="204" t="inlineStr">
        <is>
          <t>Авторский надзор - 0,2%</t>
        </is>
      </c>
      <c r="C17" s="204" t="inlineStr">
        <is>
          <t>Приказ от 4.08.2020 № 421/пр п.173</t>
        </is>
      </c>
      <c r="D17" s="49" t="n">
        <v>0.002</v>
      </c>
    </row>
    <row r="18" ht="36.75" customHeight="1" s="186">
      <c r="B18" s="204" t="inlineStr">
        <is>
          <t>Непредвиденные расходы</t>
        </is>
      </c>
      <c r="C18" s="204" t="inlineStr">
        <is>
          <t>Приказ от 4.08.2020 № 421/пр п.179</t>
        </is>
      </c>
      <c r="D18" s="49" t="n">
        <v>0.03</v>
      </c>
    </row>
    <row r="19" ht="18.75" customHeight="1" s="186">
      <c r="B19" s="41" t="n"/>
    </row>
    <row r="20" ht="18.75" customHeight="1" s="186">
      <c r="B20" s="41" t="n"/>
    </row>
    <row r="21" ht="18.75" customHeight="1" s="186">
      <c r="B21" s="41" t="n"/>
    </row>
    <row r="22" ht="18.75" customHeight="1" s="186">
      <c r="B22" s="41" t="n"/>
    </row>
    <row r="25">
      <c r="B25" s="193" t="inlineStr">
        <is>
          <t>Составил ______________________        Е. М. Добровольская</t>
        </is>
      </c>
      <c r="C25" s="194" t="n"/>
    </row>
    <row r="26">
      <c r="B26" s="196" t="inlineStr">
        <is>
          <t xml:space="preserve">                         (подпись, инициалы, фамилия)</t>
        </is>
      </c>
      <c r="C26" s="194" t="n"/>
    </row>
    <row r="27">
      <c r="B27" s="193" t="n"/>
      <c r="C27" s="194" t="n"/>
    </row>
    <row r="28">
      <c r="B28" s="193" t="inlineStr">
        <is>
          <t>Проверил ______________________        А.В. Костянецкая</t>
        </is>
      </c>
      <c r="C28" s="194" t="n"/>
    </row>
    <row r="29">
      <c r="B29" s="196" t="inlineStr">
        <is>
          <t xml:space="preserve">                        (подпись, инициалы, фамилия)</t>
        </is>
      </c>
      <c r="C29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RowHeight="15"/>
  <cols>
    <col width="9.140625" customWidth="1" style="186" min="1" max="1"/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43.85546875" customWidth="1" style="186" min="6" max="6"/>
    <col width="9.140625" customWidth="1" style="186" min="7" max="7"/>
  </cols>
  <sheetData>
    <row r="2" ht="18" customHeight="1" s="186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6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186">
      <c r="A7" s="25" t="inlineStr">
        <is>
          <t>1.1</t>
        </is>
      </c>
      <c r="B7" s="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6" t="n">
        <v>47872.94</v>
      </c>
      <c r="F7" s="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186">
      <c r="A8" s="25" t="inlineStr">
        <is>
          <t>1.2</t>
        </is>
      </c>
      <c r="B8" s="47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6">
        <f>1973/12</f>
        <v/>
      </c>
      <c r="F8" s="47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7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6" t="n">
        <v>1</v>
      </c>
      <c r="F9" s="47" t="n"/>
      <c r="G9" s="32" t="n"/>
    </row>
    <row r="10">
      <c r="A10" s="25" t="inlineStr">
        <is>
          <t>1.4</t>
        </is>
      </c>
      <c r="B10" s="47" t="inlineStr">
        <is>
          <t>Средний разряд работ</t>
        </is>
      </c>
      <c r="C10" s="28" t="n"/>
      <c r="D10" s="28" t="n"/>
      <c r="E10" s="268" t="n">
        <v>3.2</v>
      </c>
      <c r="F10" s="47" t="inlineStr">
        <is>
          <t>РТМ</t>
        </is>
      </c>
      <c r="G10" s="32" t="n"/>
    </row>
    <row r="11" ht="75" customHeight="1" s="186">
      <c r="A11" s="25" t="inlineStr">
        <is>
          <t>1.5</t>
        </is>
      </c>
      <c r="B11" s="47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269" t="n">
        <v>1.217</v>
      </c>
      <c r="F11" s="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86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270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86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2025-01-24T12:00:09Z</dcterms:modified>
  <cp:lastModifiedBy>Николай Трофименко</cp:lastModifiedBy>
  <cp:lastPrinted>2023-11-24T11:04:39Z</cp:lastPrinted>
</cp:coreProperties>
</file>