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стоим'!$A$1:$J$25</definedName>
    <definedName name="_Toc132270799" localSheetId="2">Прил.3!$A$2</definedName>
    <definedName name="_xlnm.Print_Titles" localSheetId="2">'Прил.3'!$9:$11</definedName>
    <definedName name="_xlnm.Print_Area" localSheetId="2">'Прил.3'!$A$1:$H$95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головок_печати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0.000"/>
    <numFmt numFmtId="170" formatCode="0.0"/>
    <numFmt numFmtId="171" formatCode="0.000%"/>
    <numFmt numFmtId="172" formatCode="_-* #,##0.00\ _₽_-;\-* #,##0.00\ _₽_-;_-* &quot;-&quot;??\ _₽_-;_-@_-"/>
    <numFmt numFmtId="173" formatCode="_-* #,##0.0000\ _₽_-;\-* #,##0.0000\ _₽_-;_-* &quot;-&quot;????\ _₽_-;_-@_-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" fontId="9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1" applyAlignment="1" pivotButton="0" quotePrefix="0" xfId="0">
      <alignment vertical="center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169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4" fontId="9" fillId="0" borderId="0" pivotButton="0" quotePrefix="0" xfId="0"/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 wrapText="1"/>
    </xf>
    <xf numFmtId="166" fontId="13" fillId="0" borderId="0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0" fontId="16" fillId="0" borderId="0" pivotButton="0" quotePrefix="0" xfId="0"/>
    <xf numFmtId="171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72" fontId="9" fillId="0" borderId="0" pivotButton="0" quotePrefix="0" xfId="0"/>
    <xf numFmtId="173" fontId="13" fillId="0" borderId="0" pivotButton="0" quotePrefix="0" xfId="0"/>
    <xf numFmtId="10" fontId="9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13" fillId="0" borderId="5" applyAlignment="1" pivotButton="0" quotePrefix="0" xfId="0">
      <alignment vertical="top"/>
    </xf>
    <xf numFmtId="0" fontId="13" fillId="0" borderId="6" applyAlignment="1" pivotButton="0" quotePrefix="0" xfId="0">
      <alignment vertical="top"/>
    </xf>
    <xf numFmtId="0" fontId="13" fillId="0" borderId="7" applyAlignment="1" pivotButton="0" quotePrefix="0" xfId="0">
      <alignment vertical="top"/>
    </xf>
    <xf numFmtId="0" fontId="9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169" fontId="9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164" fontId="3" fillId="0" borderId="1" applyAlignment="1" pivotButton="0" quotePrefix="0" xfId="0">
      <alignment vertical="center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73" fontId="13" fillId="0" borderId="0" pivotButton="0" quotePrefix="0" xfId="0"/>
    <xf numFmtId="172" fontId="9" fillId="0" borderId="0" pivotButton="0" quotePrefix="0" xfId="0"/>
    <xf numFmtId="164" fontId="0" fillId="0" borderId="0" pivotButton="0" quotePrefix="0" xfId="0"/>
    <xf numFmtId="171" fontId="0" fillId="0" borderId="0" pivotButton="0" quotePrefix="0" xfId="0"/>
    <xf numFmtId="167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64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7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48;1,&#1048;3%20&#1092;&#1091;&#1085;&#1076;&#1072;&#1084;&#1077;&#1085;&#1090;&#1099;%20500&#1082;&#104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tabSelected="1" view="pageBreakPreview" topLeftCell="A18" zoomScale="60" zoomScaleNormal="55" workbookViewId="0">
      <selection activeCell="D29" sqref="D29"/>
    </sheetView>
  </sheetViews>
  <sheetFormatPr baseColWidth="8" defaultRowHeight="15.75"/>
  <cols>
    <col width="9.140625" customWidth="1" style="106" min="1" max="2"/>
    <col width="49.5703125" customWidth="1" style="106" min="3" max="3"/>
    <col width="54.7109375" customWidth="1" style="106" min="4" max="4"/>
    <col hidden="1" width="46.28515625" customWidth="1" style="106" min="5" max="5"/>
    <col hidden="1" width="36.5703125" customWidth="1" style="106" min="6" max="6"/>
    <col width="14.28515625" customWidth="1" style="90" min="7" max="7"/>
    <col width="12.140625" customWidth="1" style="90" min="8" max="8"/>
    <col width="12.28515625" customWidth="1" style="90" min="9" max="9"/>
    <col width="15" customWidth="1" style="90" min="10" max="10"/>
  </cols>
  <sheetData>
    <row r="1">
      <c r="G1" s="106" t="n"/>
      <c r="H1" s="106" t="n"/>
      <c r="I1" s="106" t="n"/>
      <c r="J1" s="106" t="n"/>
      <c r="K1" s="106" t="n"/>
    </row>
    <row r="2">
      <c r="G2" s="106" t="n"/>
      <c r="H2" s="106" t="n"/>
      <c r="I2" s="106" t="n"/>
      <c r="J2" s="106" t="n"/>
      <c r="K2" s="106" t="n"/>
    </row>
    <row r="3">
      <c r="B3" s="191" t="inlineStr">
        <is>
          <t>Приложение № 1</t>
        </is>
      </c>
      <c r="G3" s="106" t="n"/>
      <c r="H3" s="106" t="n"/>
      <c r="I3" s="106" t="n"/>
      <c r="J3" s="106" t="n"/>
      <c r="K3" s="106" t="n"/>
    </row>
    <row r="4">
      <c r="B4" s="192" t="inlineStr">
        <is>
          <t>Сравнительная таблица отбора объекта-представителя</t>
        </is>
      </c>
      <c r="G4" s="106" t="n"/>
      <c r="H4" s="106" t="n"/>
      <c r="I4" s="106" t="n"/>
      <c r="J4" s="106" t="n"/>
      <c r="K4" s="106" t="n"/>
    </row>
    <row r="5">
      <c r="B5" s="107" t="n"/>
      <c r="C5" s="107" t="n"/>
      <c r="D5" s="107" t="n"/>
      <c r="E5" s="107" t="n"/>
      <c r="F5" s="107" t="n"/>
      <c r="G5" s="106" t="n"/>
      <c r="H5" s="106" t="n"/>
      <c r="I5" s="106" t="n"/>
      <c r="J5" s="106" t="n"/>
      <c r="K5" s="106" t="n"/>
    </row>
    <row r="6">
      <c r="B6" s="107" t="n"/>
      <c r="C6" s="107" t="n"/>
      <c r="D6" s="107" t="n"/>
      <c r="E6" s="107" t="n"/>
      <c r="F6" s="107" t="n"/>
      <c r="G6" s="106" t="n"/>
      <c r="H6" s="106" t="n"/>
      <c r="I6" s="106" t="n"/>
      <c r="J6" s="106" t="n"/>
      <c r="K6" s="106" t="n"/>
    </row>
    <row r="7" ht="48" customHeight="1" s="90">
      <c r="B7" s="190">
        <f>_xlfn.CONCAT(TEXT('Прил.5 Расчет СМР и ОБ'!A6,0)," - ",TEXT('Прил.5 Расчет СМР и ОБ'!D6,0))</f>
        <v/>
      </c>
      <c r="G7" s="108" t="n"/>
      <c r="H7" s="106" t="n"/>
      <c r="I7" s="106" t="n"/>
      <c r="J7" s="106" t="n"/>
      <c r="K7" s="106" t="n"/>
    </row>
    <row r="8" ht="15.75" customHeight="1" s="90">
      <c r="B8" s="105" t="inlineStr">
        <is>
          <t xml:space="preserve">Сопоставимый уровень цен: </t>
        </is>
      </c>
      <c r="C8" s="105" t="n"/>
      <c r="D8" s="105">
        <f>D22</f>
        <v/>
      </c>
      <c r="E8" s="105" t="n"/>
      <c r="F8" s="105" t="n"/>
      <c r="G8" s="106" t="n"/>
      <c r="H8" s="106" t="n"/>
      <c r="I8" s="106" t="n"/>
      <c r="J8" s="106" t="n"/>
      <c r="K8" s="106" t="n"/>
    </row>
    <row r="9" ht="15.75" customHeight="1" s="90">
      <c r="B9" s="190" t="inlineStr">
        <is>
          <t>Единица измерения  — 1 ед</t>
        </is>
      </c>
      <c r="G9" s="108" t="n"/>
      <c r="H9" s="106" t="n"/>
      <c r="I9" s="106" t="n"/>
      <c r="J9" s="106" t="n"/>
      <c r="K9" s="106" t="n"/>
    </row>
    <row r="10">
      <c r="B10" s="190" t="n"/>
      <c r="G10" s="106" t="n"/>
      <c r="H10" s="106" t="n"/>
      <c r="I10" s="106" t="n"/>
      <c r="J10" s="106" t="n"/>
      <c r="K10" s="106" t="n"/>
    </row>
    <row r="11" ht="27" customHeight="1" s="90">
      <c r="B11" s="195" t="inlineStr">
        <is>
          <t>№ п/п</t>
        </is>
      </c>
      <c r="C11" s="195" t="inlineStr">
        <is>
          <t>Параметр</t>
        </is>
      </c>
      <c r="D11" s="195" t="inlineStr">
        <is>
          <t>Объект-представитель 1</t>
        </is>
      </c>
      <c r="E11" s="195" t="n"/>
      <c r="F11" s="195" t="n"/>
      <c r="G11" s="108" t="n"/>
      <c r="H11" s="106" t="n"/>
      <c r="I11" s="106" t="n"/>
      <c r="J11" s="106" t="n"/>
      <c r="K11" s="106" t="n"/>
    </row>
    <row r="12" ht="138" customHeight="1" s="90">
      <c r="B12" s="195" t="n">
        <v>1</v>
      </c>
      <c r="C12" s="126" t="inlineStr">
        <is>
          <t>Наименование объекта-представителя</t>
        </is>
      </c>
      <c r="D12" s="195" t="inlineStr">
        <is>
          <t>ВЛ 750 кВ Белозерская–Ленинградская. ПС 750 кВ Ленинградская. Корректировка</t>
        </is>
      </c>
      <c r="E12" s="195" t="n"/>
      <c r="F12" s="195" t="n"/>
      <c r="G12" s="106" t="n"/>
      <c r="H12" s="106" t="n"/>
      <c r="I12" s="106" t="n"/>
      <c r="J12" s="106" t="n"/>
      <c r="K12" s="106" t="n"/>
    </row>
    <row r="13" ht="41.25" customHeight="1" s="90">
      <c r="B13" s="195" t="n">
        <v>2</v>
      </c>
      <c r="C13" s="126" t="inlineStr">
        <is>
          <t>Наименование субъекта Российской Федерации</t>
        </is>
      </c>
      <c r="D13" s="195" t="inlineStr">
        <is>
          <t>Ленинградская область</t>
        </is>
      </c>
      <c r="E13" s="195" t="n"/>
      <c r="F13" s="195" t="n"/>
      <c r="G13" s="106" t="n"/>
      <c r="H13" s="106" t="n"/>
      <c r="I13" s="106" t="n"/>
      <c r="J13" s="106" t="n"/>
      <c r="K13" s="106" t="n"/>
    </row>
    <row r="14">
      <c r="B14" s="195" t="n">
        <v>3</v>
      </c>
      <c r="C14" s="126" t="inlineStr">
        <is>
          <t>Климатический район и подрайон</t>
        </is>
      </c>
      <c r="D14" s="195" t="inlineStr">
        <is>
          <t>IIВ</t>
        </is>
      </c>
      <c r="E14" s="195" t="n"/>
      <c r="F14" s="195" t="n"/>
      <c r="G14" s="106" t="n"/>
      <c r="H14" s="106" t="n"/>
      <c r="I14" s="106" t="n"/>
      <c r="J14" s="106" t="n"/>
      <c r="K14" s="106" t="n"/>
    </row>
    <row r="15">
      <c r="B15" s="195" t="n">
        <v>4</v>
      </c>
      <c r="C15" s="126" t="inlineStr">
        <is>
          <t>Мощность объекта</t>
        </is>
      </c>
      <c r="D15" s="195" t="n">
        <v>5</v>
      </c>
      <c r="E15" s="195" t="n"/>
      <c r="F15" s="195" t="n"/>
      <c r="G15" s="106" t="n"/>
      <c r="H15" s="106" t="n"/>
      <c r="I15" s="106" t="n"/>
      <c r="J15" s="106" t="n"/>
      <c r="K15" s="106" t="n"/>
    </row>
    <row r="16" ht="143.25" customHeight="1" s="90">
      <c r="B16" s="19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Ф-1 - 15 шт
опоры ОМ-1 и Ом-2 - 10 и 5 шт</t>
        </is>
      </c>
      <c r="E16" s="195" t="n"/>
      <c r="F16" s="195" t="n"/>
      <c r="G16" s="106" t="n"/>
      <c r="H16" s="106" t="n"/>
      <c r="I16" s="106" t="n"/>
      <c r="J16" s="106" t="n"/>
      <c r="K16" s="106" t="n"/>
    </row>
    <row r="17" ht="82.5" customHeight="1" s="90">
      <c r="B17" s="19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3">
        <f>SUM(D18:D21)</f>
        <v/>
      </c>
      <c r="E17" s="143" t="n"/>
      <c r="F17" s="143" t="n"/>
      <c r="G17" s="112" t="n"/>
      <c r="H17" s="106" t="n"/>
      <c r="I17" s="106" t="n"/>
      <c r="J17" s="106" t="n"/>
      <c r="K17" s="106" t="n"/>
    </row>
    <row r="18">
      <c r="B18" s="113" t="inlineStr">
        <is>
          <t>6.1</t>
        </is>
      </c>
      <c r="C18" s="126" t="inlineStr">
        <is>
          <t>строительно-монтажные работы</t>
        </is>
      </c>
      <c r="D18" s="143">
        <f>'Прил.2 Расч стоим'!F13+'Прил.2 Расч стоим'!G13</f>
        <v/>
      </c>
      <c r="E18" s="143" t="n"/>
      <c r="F18" s="143" t="n"/>
      <c r="G18" s="106" t="n"/>
      <c r="H18" s="106" t="n"/>
      <c r="I18" s="106" t="n"/>
      <c r="J18" s="106" t="n"/>
      <c r="K18" s="106" t="n"/>
    </row>
    <row r="19">
      <c r="B19" s="113" t="inlineStr">
        <is>
          <t>6.2</t>
        </is>
      </c>
      <c r="C19" s="126" t="inlineStr">
        <is>
          <t>оборудование и инвентарь</t>
        </is>
      </c>
      <c r="D19" s="143">
        <f>'Прил.2 Расч стоим'!H13</f>
        <v/>
      </c>
      <c r="E19" s="143" t="n"/>
      <c r="F19" s="143" t="n"/>
      <c r="G19" s="106" t="n"/>
      <c r="H19" s="106" t="n"/>
      <c r="I19" s="106" t="n"/>
      <c r="J19" s="106" t="n"/>
      <c r="K19" s="106" t="n"/>
    </row>
    <row r="20">
      <c r="B20" s="113" t="inlineStr">
        <is>
          <t>6.3</t>
        </is>
      </c>
      <c r="C20" s="126" t="inlineStr">
        <is>
          <t>пусконаладочные работы</t>
        </is>
      </c>
      <c r="D20" s="143" t="n">
        <v>0</v>
      </c>
      <c r="E20" s="234" t="n"/>
      <c r="F20" s="143" t="n"/>
      <c r="G20" s="106" t="n"/>
      <c r="H20" s="106" t="n"/>
      <c r="I20" s="106" t="n"/>
      <c r="J20" s="106" t="n"/>
      <c r="K20" s="106" t="n"/>
    </row>
    <row r="21">
      <c r="B21" s="113" t="inlineStr">
        <is>
          <t>6.4</t>
        </is>
      </c>
      <c r="C21" s="114" t="inlineStr">
        <is>
          <t>прочие и лимитированные затраты</t>
        </is>
      </c>
      <c r="D21" s="234">
        <f>D18*2.5%+(D18+D18*2.5%)*2.1%</f>
        <v/>
      </c>
      <c r="E21" s="234" t="n"/>
      <c r="F21" s="234" t="n"/>
      <c r="G21" s="106" t="n"/>
      <c r="H21" s="106" t="n"/>
      <c r="I21" s="106" t="n"/>
      <c r="J21" s="106" t="n"/>
      <c r="K21" s="106" t="n"/>
    </row>
    <row r="22">
      <c r="B22" s="195" t="n">
        <v>7</v>
      </c>
      <c r="C22" s="114" t="inlineStr">
        <is>
          <t>Сопоставимый уровень цен</t>
        </is>
      </c>
      <c r="D22" s="195" t="inlineStr">
        <is>
          <t>2 кв. 2018 г</t>
        </is>
      </c>
      <c r="E22" s="195" t="n"/>
      <c r="F22" s="195" t="n"/>
      <c r="G22" s="112" t="n"/>
      <c r="H22" s="106" t="n"/>
      <c r="I22" s="106" t="n"/>
      <c r="J22" s="106" t="n"/>
      <c r="K22" s="106" t="n"/>
    </row>
    <row r="23" ht="119.25" customHeight="1" s="90">
      <c r="B23" s="195" t="n">
        <v>8</v>
      </c>
      <c r="C23" s="1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6" t="n"/>
      <c r="F23" s="143" t="n"/>
      <c r="G23" s="106" t="n"/>
      <c r="H23" s="106" t="n"/>
      <c r="I23" s="106" t="n"/>
      <c r="J23" s="106" t="n"/>
      <c r="K23" s="106" t="n"/>
    </row>
    <row r="24" ht="65.25" customHeight="1" s="90">
      <c r="B24" s="19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16">
        <f>D23/D15</f>
        <v/>
      </c>
      <c r="E24" s="116" t="n"/>
      <c r="F24" s="116" t="n"/>
      <c r="G24" s="112" t="n"/>
      <c r="H24" s="106" t="n"/>
      <c r="I24" s="106" t="n"/>
      <c r="J24" s="106" t="n"/>
      <c r="K24" s="106" t="n"/>
    </row>
    <row r="25" ht="72.75" customHeight="1" s="90">
      <c r="B25" s="195" t="n">
        <v>10</v>
      </c>
      <c r="C25" s="126" t="inlineStr">
        <is>
          <t>Примечание</t>
        </is>
      </c>
      <c r="D25" s="126" t="n"/>
      <c r="E25" s="126" t="n"/>
      <c r="F25" s="125" t="n"/>
      <c r="G25" s="106" t="n"/>
      <c r="H25" s="106" t="n"/>
      <c r="I25" s="106" t="n"/>
      <c r="J25" s="106" t="n"/>
      <c r="K25" s="106" t="n"/>
    </row>
    <row r="26">
      <c r="B26" s="228" t="n"/>
      <c r="C26" s="118" t="n"/>
      <c r="D26" s="118" t="n"/>
      <c r="E26" s="118" t="n"/>
      <c r="F26" s="118" t="n"/>
      <c r="G26" s="106" t="n"/>
      <c r="H26" s="106" t="n"/>
      <c r="I26" s="106" t="n"/>
      <c r="J26" s="106" t="n"/>
      <c r="K26" s="106" t="n"/>
    </row>
    <row r="27">
      <c r="B27" s="105" t="n"/>
      <c r="G27" s="106" t="n"/>
      <c r="H27" s="106" t="n"/>
      <c r="I27" s="106" t="n"/>
      <c r="J27" s="106" t="n"/>
      <c r="K27" s="106" t="n"/>
    </row>
    <row r="28">
      <c r="B28" s="106" t="inlineStr">
        <is>
          <t>Составил ______________________  Е. М. Добровольская</t>
        </is>
      </c>
      <c r="G28" s="106" t="n"/>
      <c r="H28" s="106" t="n"/>
      <c r="I28" s="106" t="n"/>
      <c r="J28" s="106" t="n"/>
      <c r="K28" s="106" t="n"/>
    </row>
    <row r="29" ht="22.5" customHeight="1" s="90">
      <c r="B29" s="127" t="inlineStr">
        <is>
          <t xml:space="preserve">                         (подпись, инициалы, фамилия)</t>
        </is>
      </c>
      <c r="G29" s="106" t="n"/>
      <c r="H29" s="106" t="n"/>
      <c r="I29" s="106" t="n"/>
      <c r="J29" s="106" t="n"/>
      <c r="K29" s="106" t="n"/>
    </row>
    <row r="30">
      <c r="G30" s="106" t="n"/>
      <c r="H30" s="106" t="n"/>
      <c r="I30" s="106" t="n"/>
      <c r="J30" s="106" t="n"/>
      <c r="K30" s="106" t="n"/>
    </row>
    <row r="31">
      <c r="B31" s="106" t="inlineStr">
        <is>
          <t>Проверил ______________________        А.В. Костянецкая</t>
        </is>
      </c>
      <c r="G31" s="106" t="n"/>
      <c r="H31" s="106" t="n"/>
      <c r="I31" s="106" t="n"/>
      <c r="J31" s="106" t="n"/>
      <c r="K31" s="106" t="n"/>
    </row>
    <row r="32" ht="22.5" customHeight="1" s="90">
      <c r="B32" s="127" t="inlineStr">
        <is>
          <t xml:space="preserve">                        (подпись, инициалы, фамилия)</t>
        </is>
      </c>
      <c r="G32" s="106" t="n"/>
      <c r="H32" s="106" t="n"/>
      <c r="I32" s="106" t="n"/>
      <c r="J32" s="106" t="n"/>
      <c r="K32" s="106" t="n"/>
    </row>
    <row r="33">
      <c r="G33" s="106" t="n"/>
      <c r="H33" s="106" t="n"/>
      <c r="I33" s="106" t="n"/>
      <c r="J33" s="106" t="n"/>
      <c r="K33" s="106" t="n"/>
    </row>
    <row r="34">
      <c r="G34" s="106" t="n"/>
      <c r="H34" s="106" t="n"/>
      <c r="I34" s="106" t="n"/>
      <c r="J34" s="106" t="n"/>
      <c r="K34" s="106" t="n"/>
    </row>
    <row r="35">
      <c r="G35" s="106" t="n"/>
      <c r="H35" s="106" t="n"/>
      <c r="I35" s="106" t="n"/>
      <c r="J35" s="106" t="n"/>
      <c r="K35" s="106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25"/>
  <sheetViews>
    <sheetView view="pageBreakPreview" zoomScale="60" zoomScaleNormal="70" workbookViewId="0">
      <selection activeCell="G22" sqref="G22"/>
    </sheetView>
  </sheetViews>
  <sheetFormatPr baseColWidth="8" defaultRowHeight="15"/>
  <cols>
    <col width="5.5703125" customWidth="1" style="90" min="1" max="1"/>
    <col width="35.28515625" customWidth="1" style="90" min="3" max="3"/>
    <col width="13.85546875" customWidth="1" style="90" min="4" max="4"/>
    <col width="24.85546875" customWidth="1" style="90" min="5" max="5"/>
    <col width="15.28515625" customWidth="1" style="90" min="6" max="6"/>
    <col width="14.85546875" customWidth="1" style="90" min="7" max="7"/>
    <col width="16.7109375" customWidth="1" style="90" min="8" max="8"/>
    <col width="13" customWidth="1" style="90" min="9" max="10"/>
    <col hidden="1" width="13.42578125" customWidth="1" style="90" min="12" max="12"/>
    <col hidden="1" width="20" customWidth="1" style="90" min="13" max="13"/>
    <col hidden="1" width="14" customWidth="1" style="90" min="14" max="14"/>
    <col hidden="1" width="14.28515625" customWidth="1" style="90" min="15" max="15"/>
    <col hidden="1" width="9.140625" customWidth="1" style="90" min="16" max="16"/>
    <col hidden="1" width="15.28515625" customWidth="1" style="90" min="17" max="17"/>
    <col hidden="1" width="9.140625" customWidth="1" style="90" min="18" max="18"/>
    <col hidden="1" style="90" min="19" max="19"/>
  </cols>
  <sheetData>
    <row r="1" ht="15.75" customHeight="1" s="90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90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90">
      <c r="A3" s="106" t="n"/>
      <c r="B3" s="191" t="inlineStr">
        <is>
          <t>Приложение № 2</t>
        </is>
      </c>
    </row>
    <row r="4" ht="15.75" customHeight="1" s="90">
      <c r="A4" s="106" t="n"/>
      <c r="B4" s="192" t="inlineStr">
        <is>
          <t>Расчет стоимости основных видов работ для выбора объекта-представителя</t>
        </is>
      </c>
    </row>
    <row r="5" ht="15.75" customHeight="1" s="90">
      <c r="A5" s="106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</row>
    <row r="6" ht="45.75" customHeight="1" s="90">
      <c r="A6" s="106" t="n"/>
      <c r="B6" s="193">
        <f>'Прил.1 Сравнит табл'!B7</f>
        <v/>
      </c>
    </row>
    <row r="7" ht="15.75" customHeight="1" s="90">
      <c r="A7" s="106" t="n"/>
      <c r="B7" s="190">
        <f>'Прил.1 Сравнит табл'!B9</f>
        <v/>
      </c>
    </row>
    <row r="8" ht="15.75" customHeight="1" s="90">
      <c r="A8" s="106" t="n"/>
      <c r="B8" s="19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90">
      <c r="A9" s="106" t="n"/>
      <c r="B9" s="195" t="inlineStr">
        <is>
          <t>№ п/п</t>
        </is>
      </c>
      <c r="C9" s="19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5" t="inlineStr">
        <is>
          <t>Объект-представитель 1</t>
        </is>
      </c>
      <c r="E9" s="235" t="n"/>
      <c r="F9" s="235" t="n"/>
      <c r="G9" s="235" t="n"/>
      <c r="H9" s="235" t="n"/>
      <c r="I9" s="235" t="n"/>
      <c r="J9" s="236" t="n"/>
    </row>
    <row r="10" ht="15.75" customHeight="1" s="90">
      <c r="A10" s="106" t="n"/>
      <c r="B10" s="237" t="n"/>
      <c r="C10" s="237" t="n"/>
      <c r="D10" s="195" t="inlineStr">
        <is>
          <t>Номер сметы</t>
        </is>
      </c>
      <c r="E10" s="195" t="inlineStr">
        <is>
          <t>Наименование сметы</t>
        </is>
      </c>
      <c r="F10" s="195" t="inlineStr">
        <is>
          <t>Сметная стоимость в уровне цен 2 квартал 2018г, тыс. руб.</t>
        </is>
      </c>
      <c r="G10" s="235" t="n"/>
      <c r="H10" s="235" t="n"/>
      <c r="I10" s="235" t="n"/>
      <c r="J10" s="236" t="n"/>
    </row>
    <row r="11" ht="77.25" customHeight="1" s="90">
      <c r="A11" s="106" t="n"/>
      <c r="B11" s="238" t="n"/>
      <c r="C11" s="238" t="n"/>
      <c r="D11" s="238" t="n"/>
      <c r="E11" s="238" t="n"/>
      <c r="F11" s="195" t="inlineStr">
        <is>
          <t>Строительные работы</t>
        </is>
      </c>
      <c r="G11" s="195" t="inlineStr">
        <is>
          <t>Монтажные работы</t>
        </is>
      </c>
      <c r="H11" s="195" t="inlineStr">
        <is>
          <t>Оборудование</t>
        </is>
      </c>
      <c r="I11" s="195" t="inlineStr">
        <is>
          <t>Прочее</t>
        </is>
      </c>
      <c r="J11" s="195" t="inlineStr">
        <is>
          <t>Всего</t>
        </is>
      </c>
    </row>
    <row r="12" ht="93" customHeight="1" s="90">
      <c r="A12" s="106" t="n"/>
      <c r="B12" s="144" t="n">
        <v>1</v>
      </c>
      <c r="C12" s="126" t="inlineStr">
        <is>
          <t>Строительные работы по установке  опор и фундаментов под оборудование ОРУ 750кВ</t>
        </is>
      </c>
      <c r="D12" s="170" t="inlineStr">
        <is>
          <t xml:space="preserve">02-03-02 </t>
        </is>
      </c>
      <c r="E12" s="126" t="inlineStr">
        <is>
          <t>ВЛ 750 кВ Белозерская–Ленинградская. ПС 750 кВ Ленинградская. Корректировка</t>
        </is>
      </c>
      <c r="F12" s="239">
        <f>2270483/1000*7.66</f>
        <v/>
      </c>
      <c r="G12" s="239" t="n"/>
      <c r="H12" s="239" t="n"/>
      <c r="I12" s="239" t="n"/>
      <c r="J12" s="240">
        <f>SUM(F12:I12)</f>
        <v/>
      </c>
    </row>
    <row r="13" ht="15" customHeight="1" s="90">
      <c r="A13" s="106" t="n"/>
      <c r="B13" s="194" t="inlineStr">
        <is>
          <t>Всего по объекту:</t>
        </is>
      </c>
      <c r="C13" s="235" t="n"/>
      <c r="D13" s="235" t="n"/>
      <c r="E13" s="236" t="n"/>
      <c r="F13" s="241">
        <f>SUM(F12:F12)</f>
        <v/>
      </c>
      <c r="G13" s="241">
        <f>SUM(G12:G12)</f>
        <v/>
      </c>
      <c r="H13" s="241">
        <f>SUM(H12:H12)</f>
        <v/>
      </c>
      <c r="I13" s="241">
        <f>SUM(I12:I12)</f>
        <v/>
      </c>
      <c r="J13" s="241">
        <f>SUM(F13:I13)</f>
        <v/>
      </c>
    </row>
    <row r="14" ht="15.75" customHeight="1" s="90">
      <c r="A14" s="106" t="n"/>
      <c r="B14" s="194" t="inlineStr">
        <is>
          <t>Всего по объекту в сопоставимом уровне цен 2 кв. 2018г:</t>
        </is>
      </c>
      <c r="C14" s="235" t="n"/>
      <c r="D14" s="235" t="n"/>
      <c r="E14" s="236" t="n"/>
      <c r="F14" s="241">
        <f>F13</f>
        <v/>
      </c>
      <c r="G14" s="241">
        <f>G13</f>
        <v/>
      </c>
      <c r="H14" s="241">
        <f>H13</f>
        <v/>
      </c>
      <c r="I14" s="241">
        <f>I13</f>
        <v/>
      </c>
      <c r="J14" s="241">
        <f>SUM(F14:I14)</f>
        <v/>
      </c>
    </row>
    <row r="15" ht="15.75" customHeight="1" s="90">
      <c r="A15" s="106" t="n"/>
      <c r="B15" s="145" t="n"/>
      <c r="C15" s="145" t="n"/>
      <c r="D15" s="145" t="n"/>
      <c r="E15" s="145" t="n"/>
      <c r="F15" s="242" t="n"/>
      <c r="G15" s="242" t="n"/>
      <c r="H15" s="242" t="n"/>
      <c r="I15" s="242" t="n"/>
      <c r="J15" s="242" t="n"/>
    </row>
    <row r="16" ht="66" customHeight="1" s="90">
      <c r="A16" s="106" t="n"/>
      <c r="B16" s="190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90">
      <c r="A17" s="106" t="n"/>
      <c r="B17" s="106" t="n"/>
      <c r="C17" s="106" t="n"/>
      <c r="D17" s="106" t="n"/>
      <c r="E17" s="106" t="n"/>
      <c r="F17" s="106" t="n"/>
      <c r="G17" s="106" t="n"/>
      <c r="H17" s="106" t="n"/>
      <c r="I17" s="106" t="n"/>
      <c r="J17" s="106" t="n"/>
      <c r="M17">
        <f>#REF!*7.59</f>
        <v/>
      </c>
      <c r="N17">
        <f>#REF!*8.19</f>
        <v/>
      </c>
      <c r="O17">
        <f>#REF!*4.91</f>
        <v/>
      </c>
      <c r="Q17">
        <f>O17+N17+M17</f>
        <v/>
      </c>
    </row>
    <row r="18" ht="15.75" customHeight="1" s="90">
      <c r="A18" s="106" t="n"/>
      <c r="B18" s="106" t="n"/>
      <c r="C18" s="106" t="n"/>
      <c r="D18" s="106" t="n"/>
      <c r="E18" s="106" t="n"/>
      <c r="F18" s="106" t="n"/>
      <c r="G18" s="106" t="n"/>
      <c r="H18" s="106" t="n"/>
      <c r="I18" s="106" t="n"/>
      <c r="J18" s="106" t="n"/>
      <c r="M18">
        <f>M17+N17</f>
        <v/>
      </c>
    </row>
    <row r="19" ht="15.75" customHeight="1" s="90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90">
      <c r="A20" s="106" t="n"/>
      <c r="B20" s="106" t="n"/>
      <c r="C20" s="106" t="n"/>
      <c r="D20" s="106" t="n"/>
      <c r="E20" s="106" t="n"/>
      <c r="F20" s="106" t="n"/>
      <c r="G20" s="106" t="n"/>
      <c r="H20" s="106" t="n"/>
      <c r="I20" s="106" t="n"/>
      <c r="J20" s="106" t="n"/>
      <c r="M20">
        <f>M18*2.5%</f>
        <v/>
      </c>
    </row>
    <row r="21" ht="15.75" customHeight="1" s="90">
      <c r="A21" s="106" t="n"/>
      <c r="B21" s="106" t="inlineStr">
        <is>
          <t>Составил ______________________   Е. М. Добровольская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  <c r="M21">
        <f>(M18+M20*2.5%)*2.1%</f>
        <v/>
      </c>
    </row>
    <row r="22" ht="22.5" customHeight="1" s="90">
      <c r="A22" s="106" t="n"/>
      <c r="B22" s="127" t="inlineStr">
        <is>
          <t xml:space="preserve">                         (подпись, инициалы, фамилия)</t>
        </is>
      </c>
      <c r="C22" s="106" t="n"/>
      <c r="D22" s="106" t="n"/>
      <c r="E22" s="106" t="n"/>
      <c r="F22" s="106" t="n"/>
      <c r="G22" s="106" t="n"/>
      <c r="H22" s="106" t="n"/>
      <c r="I22" s="106" t="n"/>
      <c r="J22" s="106" t="n"/>
    </row>
    <row r="23" ht="15.75" customHeight="1" s="90">
      <c r="A23" s="106" t="n"/>
      <c r="B23" s="106" t="n"/>
      <c r="C23" s="106" t="n"/>
      <c r="D23" s="106" t="n"/>
      <c r="E23" s="106" t="n"/>
      <c r="F23" s="106" t="n"/>
      <c r="G23" s="106" t="n"/>
      <c r="H23" s="106" t="n"/>
      <c r="I23" s="106" t="n"/>
      <c r="J23" s="106" t="n"/>
    </row>
    <row r="24" ht="15.75" customHeight="1" s="90">
      <c r="A24" s="106" t="n"/>
      <c r="B24" s="106" t="inlineStr">
        <is>
          <t>Проверил ______________________        А.В. Костянецкая</t>
        </is>
      </c>
      <c r="C24" s="106" t="n"/>
      <c r="D24" s="106" t="n"/>
      <c r="E24" s="106" t="n"/>
      <c r="F24" s="106" t="n"/>
      <c r="G24" s="106" t="n"/>
      <c r="H24" s="106" t="n"/>
      <c r="I24" s="106" t="n"/>
      <c r="J24" s="106" t="n"/>
    </row>
    <row r="25" ht="22.5" customHeight="1" s="90">
      <c r="A25" s="106" t="n"/>
      <c r="B25" s="127" t="inlineStr">
        <is>
          <t xml:space="preserve">                        (подпись, инициалы, фамилия)</t>
        </is>
      </c>
      <c r="C25" s="106" t="n"/>
      <c r="D25" s="106" t="n"/>
      <c r="E25" s="106" t="n"/>
      <c r="F25" s="106" t="n"/>
      <c r="G25" s="106" t="n"/>
      <c r="H25" s="106" t="n"/>
      <c r="I25" s="106" t="n"/>
      <c r="J25" s="1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3"/>
  <sheetViews>
    <sheetView view="pageBreakPreview" topLeftCell="A82" zoomScale="70" workbookViewId="0">
      <selection activeCell="F91" sqref="F91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2.42578125" customWidth="1" style="106" min="5" max="5"/>
    <col width="24.570312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90" min="11" max="11"/>
    <col width="9.140625" customWidth="1" style="90" min="12" max="12"/>
  </cols>
  <sheetData>
    <row r="1">
      <c r="K1" s="106" t="n"/>
    </row>
    <row r="2">
      <c r="A2" s="191" t="inlineStr">
        <is>
          <t xml:space="preserve">Приложение № 3 </t>
        </is>
      </c>
      <c r="K2" s="106" t="n"/>
    </row>
    <row r="3">
      <c r="A3" s="192" t="inlineStr">
        <is>
          <t>Объектная ресурсная ведомость</t>
        </is>
      </c>
      <c r="K3" s="106" t="n"/>
    </row>
    <row r="4" s="90">
      <c r="A4" s="192" t="n"/>
      <c r="B4" s="192" t="n"/>
      <c r="C4" s="192" t="n"/>
      <c r="D4" s="192" t="n"/>
      <c r="E4" s="192" t="n"/>
      <c r="F4" s="192" t="n"/>
      <c r="G4" s="192" t="n"/>
      <c r="H4" s="192" t="n"/>
      <c r="I4" s="106" t="n"/>
      <c r="J4" s="106" t="n"/>
      <c r="K4" s="106" t="n"/>
    </row>
    <row r="5" ht="18.75" customHeight="1" s="90">
      <c r="A5" s="190" t="n"/>
      <c r="K5" s="106" t="n"/>
    </row>
    <row r="6">
      <c r="A6" s="202">
        <f>'Прил.1 Сравнит табл'!B7</f>
        <v/>
      </c>
      <c r="K6" s="106" t="n"/>
    </row>
    <row r="7" s="90">
      <c r="A7" s="202" t="n"/>
      <c r="B7" s="202" t="n"/>
      <c r="C7" s="202" t="n"/>
      <c r="D7" s="202" t="n"/>
      <c r="E7" s="202" t="n"/>
      <c r="F7" s="202" t="n"/>
      <c r="G7" s="202" t="n"/>
      <c r="H7" s="202" t="n"/>
      <c r="I7" s="106" t="n"/>
      <c r="J7" s="106" t="n"/>
      <c r="K7" s="106" t="n"/>
    </row>
    <row r="8">
      <c r="A8" s="202" t="n"/>
      <c r="B8" s="202" t="n"/>
      <c r="C8" s="202" t="n"/>
      <c r="D8" s="202" t="n"/>
      <c r="E8" s="202" t="n"/>
      <c r="F8" s="202" t="n"/>
      <c r="G8" s="202" t="n"/>
      <c r="H8" s="202" t="n"/>
      <c r="K8" s="106" t="n"/>
    </row>
    <row r="9" ht="15.75" customHeight="1" s="90">
      <c r="A9" s="195" t="inlineStr">
        <is>
          <t>п/п</t>
        </is>
      </c>
      <c r="B9" s="195" t="inlineStr">
        <is>
          <t>№ЛСР</t>
        </is>
      </c>
      <c r="C9" s="195" t="inlineStr">
        <is>
          <t>Код ресурса</t>
        </is>
      </c>
      <c r="D9" s="195" t="inlineStr">
        <is>
          <t>Наименование ресурса</t>
        </is>
      </c>
      <c r="E9" s="195" t="inlineStr">
        <is>
          <t>Ед. изм.</t>
        </is>
      </c>
      <c r="F9" s="195" t="inlineStr">
        <is>
          <t>Кол-во единиц по данным объекта-представителя</t>
        </is>
      </c>
      <c r="G9" s="195" t="inlineStr">
        <is>
          <t>Сметная стоимость в ценах на 01.01.2000 (руб.)</t>
        </is>
      </c>
      <c r="H9" s="236" t="n"/>
      <c r="K9" s="106" t="n"/>
    </row>
    <row r="10">
      <c r="A10" s="238" t="n"/>
      <c r="B10" s="238" t="n"/>
      <c r="C10" s="238" t="n"/>
      <c r="D10" s="238" t="n"/>
      <c r="E10" s="238" t="n"/>
      <c r="F10" s="238" t="n"/>
      <c r="G10" s="195" t="inlineStr">
        <is>
          <t>на ед.изм.</t>
        </is>
      </c>
      <c r="H10" s="195" t="inlineStr">
        <is>
          <t>общая</t>
        </is>
      </c>
      <c r="K10" s="106" t="n"/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  <c r="I11" s="243" t="n"/>
      <c r="K11" s="106" t="n"/>
    </row>
    <row r="12">
      <c r="A12" s="196" t="inlineStr">
        <is>
          <t>Затраты труда рабочих</t>
        </is>
      </c>
      <c r="B12" s="235" t="n"/>
      <c r="C12" s="235" t="n"/>
      <c r="D12" s="235" t="n"/>
      <c r="E12" s="236" t="n"/>
      <c r="F12" s="244">
        <f>SUM(F13:F24)</f>
        <v/>
      </c>
      <c r="G12" s="160" t="n"/>
      <c r="H12" s="244">
        <f>SUM(H13:H24)</f>
        <v/>
      </c>
      <c r="I12" s="122" t="n"/>
      <c r="J12" s="122" t="n"/>
      <c r="K12" s="122" t="n"/>
    </row>
    <row r="13">
      <c r="A13" s="162" t="n">
        <v>1</v>
      </c>
      <c r="B13" s="139" t="n"/>
      <c r="C13" s="178" t="inlineStr">
        <is>
          <t>1-4-9</t>
        </is>
      </c>
      <c r="D13" s="179" t="inlineStr">
        <is>
          <t>Затраты труда рабочих (ср 4,9)</t>
        </is>
      </c>
      <c r="E13" s="227" t="inlineStr">
        <is>
          <t>чел.-ч</t>
        </is>
      </c>
      <c r="F13" s="245" t="n">
        <v>1354.66929408</v>
      </c>
      <c r="G13" s="156" t="n">
        <v>10.94</v>
      </c>
      <c r="H13" s="156">
        <f>ROUND(F13*G13,2)</f>
        <v/>
      </c>
      <c r="K13" s="106" t="n"/>
    </row>
    <row r="14" ht="15" customHeight="1" s="90">
      <c r="A14" s="162" t="n">
        <v>2</v>
      </c>
      <c r="B14" s="139" t="n"/>
      <c r="C14" s="178" t="inlineStr">
        <is>
          <t>1-4-1</t>
        </is>
      </c>
      <c r="D14" s="179" t="inlineStr">
        <is>
          <t>Затраты труда рабочих (ср 4,1)</t>
        </is>
      </c>
      <c r="E14" s="227" t="inlineStr">
        <is>
          <t>чел.-ч</t>
        </is>
      </c>
      <c r="F14" s="245" t="n">
        <v>362.1924318</v>
      </c>
      <c r="G14" s="156" t="n">
        <v>9.76</v>
      </c>
      <c r="H14" s="156">
        <f>ROUND(F14*G14,2)</f>
        <v/>
      </c>
      <c r="K14" s="106" t="n"/>
    </row>
    <row r="15">
      <c r="A15" s="162" t="n">
        <v>3</v>
      </c>
      <c r="B15" s="139" t="n"/>
      <c r="C15" s="178" t="inlineStr">
        <is>
          <t>1-3-3</t>
        </is>
      </c>
      <c r="D15" s="179" t="inlineStr">
        <is>
          <t>Затраты труда рабочих (ср 3,3)</t>
        </is>
      </c>
      <c r="E15" s="227" t="inlineStr">
        <is>
          <t>чел.-ч</t>
        </is>
      </c>
      <c r="F15" s="245" t="n">
        <v>391.911744</v>
      </c>
      <c r="G15" s="156" t="n">
        <v>8.859999999999999</v>
      </c>
      <c r="H15" s="156">
        <f>ROUND(F15*G15,2)</f>
        <v/>
      </c>
      <c r="K15" s="106" t="n"/>
    </row>
    <row r="16" ht="15" customHeight="1" s="90">
      <c r="A16" s="162" t="n">
        <v>4</v>
      </c>
      <c r="B16" s="139" t="n"/>
      <c r="C16" s="178" t="inlineStr">
        <is>
          <t>1-2-8</t>
        </is>
      </c>
      <c r="D16" s="179" t="inlineStr">
        <is>
          <t>Затраты труда рабочих (ср 2,8)</t>
        </is>
      </c>
      <c r="E16" s="227" t="inlineStr">
        <is>
          <t>чел.-ч</t>
        </is>
      </c>
      <c r="F16" s="245" t="n">
        <v>223.2576</v>
      </c>
      <c r="G16" s="156" t="n">
        <v>8.380000000000001</v>
      </c>
      <c r="H16" s="156">
        <f>ROUND(F16*G16,2)</f>
        <v/>
      </c>
      <c r="K16" s="106" t="n"/>
    </row>
    <row r="17">
      <c r="A17" s="162" t="n">
        <v>5</v>
      </c>
      <c r="B17" s="139" t="n"/>
      <c r="C17" s="178" t="inlineStr">
        <is>
          <t>1-2-2</t>
        </is>
      </c>
      <c r="D17" s="179" t="inlineStr">
        <is>
          <t>Затраты труда рабочих (ср 2,2)</t>
        </is>
      </c>
      <c r="E17" s="227" t="inlineStr">
        <is>
          <t>чел.-ч</t>
        </is>
      </c>
      <c r="F17" s="245" t="n">
        <v>214.6692</v>
      </c>
      <c r="G17" s="156" t="n">
        <v>7.94</v>
      </c>
      <c r="H17" s="156">
        <f>ROUND(F17*G17,2)</f>
        <v/>
      </c>
      <c r="K17" s="106" t="n"/>
    </row>
    <row r="18" ht="15" customHeight="1" s="90">
      <c r="A18" s="162" t="n">
        <v>6</v>
      </c>
      <c r="B18" s="139" t="n"/>
      <c r="C18" s="178" t="inlineStr">
        <is>
          <t>1-4-0</t>
        </is>
      </c>
      <c r="D18" s="179" t="inlineStr">
        <is>
          <t>Затраты труда рабочих (ср 4)</t>
        </is>
      </c>
      <c r="E18" s="227" t="inlineStr">
        <is>
          <t>чел.-ч</t>
        </is>
      </c>
      <c r="F18" s="245" t="n">
        <v>52.1976</v>
      </c>
      <c r="G18" s="156" t="n">
        <v>9.619999999999999</v>
      </c>
      <c r="H18" s="156">
        <f>ROUND(F18*G18,2)</f>
        <v/>
      </c>
      <c r="K18" s="106" t="n"/>
    </row>
    <row r="19" ht="15" customHeight="1" s="90">
      <c r="A19" s="162" t="n">
        <v>7</v>
      </c>
      <c r="B19" s="139" t="n"/>
      <c r="C19" s="178" t="inlineStr">
        <is>
          <t>1-2-0</t>
        </is>
      </c>
      <c r="D19" s="179" t="inlineStr">
        <is>
          <t>Затраты труда рабочих (ср 2)</t>
        </is>
      </c>
      <c r="E19" s="227" t="inlineStr">
        <is>
          <t>чел.-ч</t>
        </is>
      </c>
      <c r="F19" s="245" t="n">
        <v>45.087</v>
      </c>
      <c r="G19" s="156" t="n">
        <v>7.8</v>
      </c>
      <c r="H19" s="156">
        <f>ROUND(F19*G19,2)</f>
        <v/>
      </c>
      <c r="K19" s="106" t="n"/>
    </row>
    <row r="20">
      <c r="A20" s="162" t="n">
        <v>8</v>
      </c>
      <c r="B20" s="139" t="n"/>
      <c r="C20" s="178" t="inlineStr">
        <is>
          <t>1-3-0</t>
        </is>
      </c>
      <c r="D20" s="179" t="inlineStr">
        <is>
          <t>Затраты труда рабочих (ср 3)</t>
        </is>
      </c>
      <c r="E20" s="227" t="inlineStr">
        <is>
          <t>чел.-ч</t>
        </is>
      </c>
      <c r="F20" s="245" t="n">
        <v>21.028952</v>
      </c>
      <c r="G20" s="156" t="n">
        <v>8.529999999999999</v>
      </c>
      <c r="H20" s="156">
        <f>ROUND(F20*G20,2)</f>
        <v/>
      </c>
      <c r="K20" s="106" t="n"/>
    </row>
    <row r="21" ht="15" customHeight="1" s="90">
      <c r="A21" s="162" t="n">
        <v>9</v>
      </c>
      <c r="B21" s="139" t="n"/>
      <c r="C21" s="178" t="inlineStr">
        <is>
          <t>1-1-5</t>
        </is>
      </c>
      <c r="D21" s="179" t="inlineStr">
        <is>
          <t>Затраты труда рабочих (ср 1,5)</t>
        </is>
      </c>
      <c r="E21" s="227" t="inlineStr">
        <is>
          <t>чел.-ч</t>
        </is>
      </c>
      <c r="F21" s="245" t="n">
        <v>17.1336</v>
      </c>
      <c r="G21" s="156" t="n">
        <v>7.5</v>
      </c>
      <c r="H21" s="156">
        <f>ROUND(F21*G21,2)</f>
        <v/>
      </c>
      <c r="K21" s="106" t="n"/>
    </row>
    <row r="22">
      <c r="A22" s="162" t="n">
        <v>10</v>
      </c>
      <c r="B22" s="139" t="n"/>
      <c r="C22" s="178" t="inlineStr">
        <is>
          <t>1-3-4</t>
        </is>
      </c>
      <c r="D22" s="179" t="inlineStr">
        <is>
          <t>Затраты труда рабочих (ср 3,4)</t>
        </is>
      </c>
      <c r="E22" s="227" t="inlineStr">
        <is>
          <t>чел.-ч</t>
        </is>
      </c>
      <c r="F22" s="245" t="n">
        <v>10.4914344</v>
      </c>
      <c r="G22" s="156" t="n">
        <v>8.970000000000001</v>
      </c>
      <c r="H22" s="156">
        <f>ROUND(F22*G22,2)</f>
        <v/>
      </c>
      <c r="K22" s="106" t="n"/>
    </row>
    <row r="23" ht="15" customHeight="1" s="90">
      <c r="A23" s="162" t="n">
        <v>11</v>
      </c>
      <c r="B23" s="139" t="n"/>
      <c r="C23" s="178" t="inlineStr">
        <is>
          <t>1-3-9</t>
        </is>
      </c>
      <c r="D23" s="179" t="inlineStr">
        <is>
          <t>Затраты труда рабочих (ср 3,9)</t>
        </is>
      </c>
      <c r="E23" s="227" t="inlineStr">
        <is>
          <t>чел.-ч</t>
        </is>
      </c>
      <c r="F23" s="245" t="n">
        <v>8.476608000000001</v>
      </c>
      <c r="G23" s="156" t="n">
        <v>9.51</v>
      </c>
      <c r="H23" s="156">
        <f>ROUND(F23*G23,2)</f>
        <v/>
      </c>
      <c r="K23" s="106" t="n"/>
    </row>
    <row r="24" ht="15" customHeight="1" s="90">
      <c r="A24" s="162" t="n">
        <v>12</v>
      </c>
      <c r="B24" s="139" t="n"/>
      <c r="C24" s="178" t="inlineStr">
        <is>
          <t>1-3-5</t>
        </is>
      </c>
      <c r="D24" s="179" t="inlineStr">
        <is>
          <t>Затраты труда рабочих (ср 3,5)</t>
        </is>
      </c>
      <c r="E24" s="227" t="inlineStr">
        <is>
          <t>чел.-ч</t>
        </is>
      </c>
      <c r="F24" s="245" t="n">
        <v>0.5044032000000001</v>
      </c>
      <c r="G24" s="156" t="n">
        <v>9.07</v>
      </c>
      <c r="H24" s="156">
        <f>ROUND(F24*G24,2)</f>
        <v/>
      </c>
      <c r="K24" s="106" t="n"/>
    </row>
    <row r="25">
      <c r="A25" s="196" t="inlineStr">
        <is>
          <t>Затраты труда машинистов</t>
        </is>
      </c>
      <c r="B25" s="235" t="n"/>
      <c r="C25" s="235" t="n"/>
      <c r="D25" s="235" t="n"/>
      <c r="E25" s="236" t="n"/>
      <c r="F25" s="196" t="n"/>
      <c r="G25" s="121" t="n"/>
      <c r="H25" s="244">
        <f>H26</f>
        <v/>
      </c>
      <c r="K25" s="106" t="n"/>
    </row>
    <row r="26">
      <c r="A26" s="162" t="n">
        <v>13</v>
      </c>
      <c r="B26" s="140" t="n"/>
      <c r="C26" s="178" t="n">
        <v>2</v>
      </c>
      <c r="D26" s="179" t="inlineStr">
        <is>
          <t>Затраты труда машинистов</t>
        </is>
      </c>
      <c r="E26" s="227" t="inlineStr">
        <is>
          <t>чел.-ч</t>
        </is>
      </c>
      <c r="F26" s="245" t="n">
        <v>1145.64595404</v>
      </c>
      <c r="G26" s="156" t="n"/>
      <c r="H26" s="246" t="n">
        <v>39329.4</v>
      </c>
      <c r="K26" s="106" t="n"/>
    </row>
    <row r="27">
      <c r="A27" s="196" t="inlineStr">
        <is>
          <t>Машины и механизмы</t>
        </is>
      </c>
      <c r="B27" s="235" t="n"/>
      <c r="C27" s="235" t="n"/>
      <c r="D27" s="235" t="n"/>
      <c r="E27" s="236" t="n"/>
      <c r="F27" s="196" t="n"/>
      <c r="G27" s="121" t="n"/>
      <c r="H27" s="244">
        <f>SUM(H28:H50)</f>
        <v/>
      </c>
      <c r="I27" s="122" t="n"/>
      <c r="J27" s="247" t="n"/>
      <c r="K27" s="122" t="n"/>
    </row>
    <row r="28">
      <c r="A28" s="162" t="n">
        <v>14</v>
      </c>
      <c r="B28" s="140" t="n"/>
      <c r="C28" s="178" t="inlineStr">
        <is>
          <t>91.21.22-447</t>
        </is>
      </c>
      <c r="D28" s="179" t="inlineStr">
        <is>
          <t>Установки электрометаллизационные</t>
        </is>
      </c>
      <c r="E28" s="227" t="inlineStr">
        <is>
          <t>маш.час</t>
        </is>
      </c>
      <c r="F28" s="178" t="n">
        <v>461.37287552</v>
      </c>
      <c r="G28" s="174" t="n">
        <v>74.23999999999999</v>
      </c>
      <c r="H28" s="123">
        <f>ROUND(F28*G28,2)</f>
        <v/>
      </c>
      <c r="J28" s="248" t="n"/>
      <c r="K28" s="106" t="n"/>
    </row>
    <row r="29" ht="25.5" customHeight="1" s="90">
      <c r="A29" s="162" t="n">
        <v>15</v>
      </c>
      <c r="B29" s="140" t="n"/>
      <c r="C29" s="178" t="inlineStr">
        <is>
          <t>91.05.05-015</t>
        </is>
      </c>
      <c r="D29" s="179" t="inlineStr">
        <is>
          <t>Краны на автомобильном ходу, грузоподъемность 16 т</t>
        </is>
      </c>
      <c r="E29" s="227" t="inlineStr">
        <is>
          <t>маш.час</t>
        </is>
      </c>
      <c r="F29" s="178" t="n">
        <v>90.5403628</v>
      </c>
      <c r="G29" s="174" t="n">
        <v>115.4</v>
      </c>
      <c r="H29" s="123">
        <f>ROUND(F29*G29,2)</f>
        <v/>
      </c>
      <c r="I29" s="122" t="n"/>
      <c r="J29" s="122" t="n"/>
      <c r="K29" s="122" t="n"/>
    </row>
    <row r="30">
      <c r="A30" s="162" t="n">
        <v>16</v>
      </c>
      <c r="B30" s="140" t="n"/>
      <c r="C30" s="178" t="inlineStr">
        <is>
          <t>91.14.03-002</t>
        </is>
      </c>
      <c r="D30" s="179" t="inlineStr">
        <is>
          <t>Автомобили-самосвалы, грузоподъемность до 10 т</t>
        </is>
      </c>
      <c r="E30" s="227" t="inlineStr">
        <is>
          <t>маш.-ч</t>
        </is>
      </c>
      <c r="F30" s="178" t="n">
        <v>100.364</v>
      </c>
      <c r="G30" s="174" t="n">
        <v>87.48999999999999</v>
      </c>
      <c r="H30" s="123">
        <f>ROUND(F30*G30,2)</f>
        <v/>
      </c>
      <c r="K30" s="106" t="n"/>
    </row>
    <row r="31">
      <c r="A31" s="162" t="n">
        <v>17</v>
      </c>
      <c r="B31" s="140" t="n"/>
      <c r="C31" s="178" t="inlineStr">
        <is>
          <t>91.14.02-001</t>
        </is>
      </c>
      <c r="D31" s="179" t="inlineStr">
        <is>
          <t>Автомобили бортовые, грузоподъемность до 5 т</t>
        </is>
      </c>
      <c r="E31" s="227" t="inlineStr">
        <is>
          <t>маш.час</t>
        </is>
      </c>
      <c r="F31" s="178" t="n">
        <v>36.42934412</v>
      </c>
      <c r="G31" s="174" t="n">
        <v>65.70999999999999</v>
      </c>
      <c r="H31" s="123">
        <f>ROUND(F31*G31,2)</f>
        <v/>
      </c>
      <c r="K31" s="106" t="n"/>
    </row>
    <row r="32" ht="25.5" customHeight="1" s="90">
      <c r="A32" s="162" t="n">
        <v>18</v>
      </c>
      <c r="B32" s="140" t="n"/>
      <c r="C32" s="178" t="inlineStr">
        <is>
          <t>91.06.05-057</t>
        </is>
      </c>
      <c r="D32" s="179" t="inlineStr">
        <is>
          <t>Погрузчики одноковшовые универсальные фронтальные пневмоколесные, грузоподъемность 3 т</t>
        </is>
      </c>
      <c r="E32" s="227" t="inlineStr">
        <is>
          <t>маш.час</t>
        </is>
      </c>
      <c r="F32" s="178" t="n">
        <v>18.69</v>
      </c>
      <c r="G32" s="174" t="n">
        <v>90.40000000000001</v>
      </c>
      <c r="H32" s="123">
        <f>ROUND(F32*G32,2)</f>
        <v/>
      </c>
      <c r="K32" s="106" t="n"/>
    </row>
    <row r="33" ht="25.5" customHeight="1" s="90">
      <c r="A33" s="162" t="n">
        <v>19</v>
      </c>
      <c r="B33" s="140" t="n"/>
      <c r="C33" s="178" t="inlineStr">
        <is>
          <t>91.17.04-036</t>
        </is>
      </c>
      <c r="D33" s="179" t="inlineStr">
        <is>
          <t>Агрегаты сварочные передвижные с дизельным двигателем, номинальный сварочный ток 250-400 А</t>
        </is>
      </c>
      <c r="E33" s="227" t="inlineStr">
        <is>
          <t>маш.час</t>
        </is>
      </c>
      <c r="F33" s="178" t="n">
        <v>88.47472500000001</v>
      </c>
      <c r="G33" s="174" t="n">
        <v>14</v>
      </c>
      <c r="H33" s="123">
        <f>ROUND(F33*G33,2)</f>
        <v/>
      </c>
      <c r="K33" s="106" t="n"/>
    </row>
    <row r="34" ht="25.5" customHeight="1" s="90">
      <c r="A34" s="162" t="n">
        <v>20</v>
      </c>
      <c r="B34" s="140" t="n"/>
      <c r="C34" s="178" t="inlineStr">
        <is>
          <t>91.05.06-012</t>
        </is>
      </c>
      <c r="D34" s="179" t="inlineStr">
        <is>
          <t>Краны на гусеничном ходу, грузоподъемность до 16 т</t>
        </is>
      </c>
      <c r="E34" s="227" t="inlineStr">
        <is>
          <t>маш.час</t>
        </is>
      </c>
      <c r="F34" s="178" t="n">
        <v>12.505344</v>
      </c>
      <c r="G34" s="174" t="n">
        <v>96.89</v>
      </c>
      <c r="H34" s="123">
        <f>ROUND(F34*G34,2)</f>
        <v/>
      </c>
      <c r="K34" s="106" t="n"/>
    </row>
    <row r="35" ht="25.5" customHeight="1" s="90">
      <c r="A35" s="162" t="n">
        <v>21</v>
      </c>
      <c r="B35" s="140" t="n"/>
      <c r="C35" s="178" t="inlineStr">
        <is>
          <t>91.21.20-013</t>
        </is>
      </c>
      <c r="D35" s="179" t="inlineStr">
        <is>
          <t>Установки для сверления отверстий в железобетоне диаметром до 250 мм</t>
        </is>
      </c>
      <c r="E35" s="227" t="inlineStr">
        <is>
          <t>маш.час</t>
        </is>
      </c>
      <c r="F35" s="178" t="n">
        <v>43.4928</v>
      </c>
      <c r="G35" s="174" t="n">
        <v>27.42</v>
      </c>
      <c r="H35" s="123">
        <f>ROUND(F35*G35,2)</f>
        <v/>
      </c>
      <c r="K35" s="106" t="n"/>
    </row>
    <row r="36" ht="25.5" customHeight="1" s="90">
      <c r="A36" s="162" t="n">
        <v>22</v>
      </c>
      <c r="B36" s="140" t="n"/>
      <c r="C36" s="178" t="inlineStr">
        <is>
          <t>91.01.05-085</t>
        </is>
      </c>
      <c r="D36" s="179" t="inlineStr">
        <is>
          <t>Экскаваторы одноковшовые дизельные на гусеничном ходу, емкость ковша 0,5 м3</t>
        </is>
      </c>
      <c r="E36" s="227" t="inlineStr">
        <is>
          <t>маш.час</t>
        </is>
      </c>
      <c r="F36" s="178" t="n">
        <v>11.115</v>
      </c>
      <c r="G36" s="174" t="n">
        <v>100</v>
      </c>
      <c r="H36" s="123">
        <f>ROUND(F36*G36,2)</f>
        <v/>
      </c>
      <c r="K36" s="106" t="n"/>
    </row>
    <row r="37" ht="25.5" customHeight="1" s="90">
      <c r="A37" s="162" t="n">
        <v>23</v>
      </c>
      <c r="B37" s="140" t="n"/>
      <c r="C37" s="178" t="inlineStr">
        <is>
          <t>91.08.09-024</t>
        </is>
      </c>
      <c r="D37" s="179" t="inlineStr">
        <is>
          <t>Трамбовки пневматические при работе от стационарного компрессора</t>
        </is>
      </c>
      <c r="E37" s="227" t="inlineStr">
        <is>
          <t>маш.час</t>
        </is>
      </c>
      <c r="F37" s="178" t="n">
        <v>99.7824</v>
      </c>
      <c r="G37" s="174" t="n">
        <v>4.91</v>
      </c>
      <c r="H37" s="123">
        <f>ROUND(F37*G37,2)</f>
        <v/>
      </c>
      <c r="K37" s="106" t="n"/>
    </row>
    <row r="38">
      <c r="A38" s="162" t="n">
        <v>24</v>
      </c>
      <c r="B38" s="140" t="n"/>
      <c r="C38" s="178" t="inlineStr">
        <is>
          <t>91.06.05-011</t>
        </is>
      </c>
      <c r="D38" s="179" t="inlineStr">
        <is>
          <t>Погрузчики, грузоподъемность 5 т</t>
        </is>
      </c>
      <c r="E38" s="227" t="inlineStr">
        <is>
          <t>маш.час</t>
        </is>
      </c>
      <c r="F38" s="178" t="n">
        <v>5.09529248</v>
      </c>
      <c r="G38" s="174" t="n">
        <v>89.98999999999999</v>
      </c>
      <c r="H38" s="123">
        <f>ROUND(F38*G38,2)</f>
        <v/>
      </c>
      <c r="K38" s="106" t="n"/>
    </row>
    <row r="39">
      <c r="A39" s="162" t="n">
        <v>25</v>
      </c>
      <c r="B39" s="140" t="n"/>
      <c r="C39" s="178" t="inlineStr">
        <is>
          <t>91.05.01-017</t>
        </is>
      </c>
      <c r="D39" s="179" t="inlineStr">
        <is>
          <t>Краны башенные, грузоподъемность 8 т</t>
        </is>
      </c>
      <c r="E39" s="227" t="inlineStr">
        <is>
          <t>маш.час</t>
        </is>
      </c>
      <c r="F39" s="178" t="n">
        <v>2.2356</v>
      </c>
      <c r="G39" s="174" t="n">
        <v>86.40000000000001</v>
      </c>
      <c r="H39" s="123">
        <f>ROUND(F39*G39,2)</f>
        <v/>
      </c>
      <c r="K39" s="106" t="n"/>
    </row>
    <row r="40" ht="38.25" customHeight="1" s="90">
      <c r="A40" s="162" t="n">
        <v>26</v>
      </c>
      <c r="B40" s="140" t="n"/>
      <c r="C40" s="178" t="inlineStr">
        <is>
          <t>91.18.01-007</t>
        </is>
      </c>
      <c r="D40" s="1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227" t="inlineStr">
        <is>
          <t>маш.час</t>
        </is>
      </c>
      <c r="F40" s="178" t="n">
        <v>2.028928</v>
      </c>
      <c r="G40" s="174" t="n">
        <v>90</v>
      </c>
      <c r="H40" s="123">
        <f>ROUND(F40*G40,2)</f>
        <v/>
      </c>
      <c r="K40" s="106" t="n"/>
    </row>
    <row r="41" ht="25.5" customHeight="1" s="90">
      <c r="A41" s="162" t="n">
        <v>27</v>
      </c>
      <c r="B41" s="140" t="n"/>
      <c r="C41" s="178" t="inlineStr">
        <is>
          <t>91.17.04-233</t>
        </is>
      </c>
      <c r="D41" s="179" t="inlineStr">
        <is>
          <t>Установки для сварки ручной дуговой (постоянного тока)</t>
        </is>
      </c>
      <c r="E41" s="227" t="inlineStr">
        <is>
          <t>маш.час</t>
        </is>
      </c>
      <c r="F41" s="178" t="n">
        <v>15.83232</v>
      </c>
      <c r="G41" s="174" t="n">
        <v>8.1</v>
      </c>
      <c r="H41" s="123">
        <f>ROUND(F41*G41,2)</f>
        <v/>
      </c>
      <c r="K41" s="106" t="n"/>
    </row>
    <row r="42">
      <c r="A42" s="162" t="n">
        <v>28</v>
      </c>
      <c r="B42" s="140" t="n"/>
      <c r="C42" s="178" t="inlineStr">
        <is>
          <t>91.14.02-002</t>
        </is>
      </c>
      <c r="D42" s="179" t="inlineStr">
        <is>
          <t>Автомобили бортовые, грузоподъемность до 8 т</t>
        </is>
      </c>
      <c r="E42" s="227" t="inlineStr">
        <is>
          <t>маш.час</t>
        </is>
      </c>
      <c r="F42" s="178" t="n">
        <v>0.4732596</v>
      </c>
      <c r="G42" s="174" t="n">
        <v>85.84</v>
      </c>
      <c r="H42" s="123">
        <f>ROUND(F42*G42,2)</f>
        <v/>
      </c>
      <c r="K42" s="106" t="n"/>
    </row>
    <row r="43">
      <c r="A43" s="162" t="n">
        <v>29</v>
      </c>
      <c r="B43" s="140" t="n"/>
      <c r="C43" s="178" t="inlineStr">
        <is>
          <t>91.08.04-021</t>
        </is>
      </c>
      <c r="D43" s="179" t="inlineStr">
        <is>
          <t>Котлы битумные передвижные 400 л</t>
        </is>
      </c>
      <c r="E43" s="227" t="inlineStr">
        <is>
          <t>маш.час</t>
        </is>
      </c>
      <c r="F43" s="178" t="n">
        <v>0.779688</v>
      </c>
      <c r="G43" s="174" t="n">
        <v>30</v>
      </c>
      <c r="H43" s="123">
        <f>ROUND(F43*G43,2)</f>
        <v/>
      </c>
      <c r="K43" s="106" t="n"/>
    </row>
    <row r="44">
      <c r="A44" s="162" t="n">
        <v>30</v>
      </c>
      <c r="B44" s="140" t="n"/>
      <c r="C44" s="178" t="inlineStr">
        <is>
          <t>91.01.01-035</t>
        </is>
      </c>
      <c r="D44" s="179" t="inlineStr">
        <is>
          <t>Бульдозеры, мощность 79 кВт (108 л.с.)</t>
        </is>
      </c>
      <c r="E44" s="227" t="inlineStr">
        <is>
          <t>маш.час</t>
        </is>
      </c>
      <c r="F44" s="178" t="n">
        <v>0.294272</v>
      </c>
      <c r="G44" s="174" t="n">
        <v>79.06999999999999</v>
      </c>
      <c r="H44" s="123">
        <f>ROUND(F44*G44,2)</f>
        <v/>
      </c>
      <c r="K44" s="106" t="n"/>
    </row>
    <row r="45">
      <c r="A45" s="162" t="n">
        <v>31</v>
      </c>
      <c r="B45" s="140" t="n"/>
      <c r="C45" s="178" t="inlineStr">
        <is>
          <t>91.07.04-001</t>
        </is>
      </c>
      <c r="D45" s="179" t="inlineStr">
        <is>
          <t>Вибраторы глубинные</t>
        </is>
      </c>
      <c r="E45" s="227" t="inlineStr">
        <is>
          <t>маш.час</t>
        </is>
      </c>
      <c r="F45" s="178" t="n">
        <v>9.4848</v>
      </c>
      <c r="G45" s="174" t="n">
        <v>1.9</v>
      </c>
      <c r="H45" s="123">
        <f>ROUND(F45*G45,2)</f>
        <v/>
      </c>
      <c r="K45" s="106" t="n"/>
    </row>
    <row r="46" ht="25.5" customHeight="1" s="90">
      <c r="A46" s="162" t="n">
        <v>32</v>
      </c>
      <c r="B46" s="140" t="n"/>
      <c r="C46" s="178" t="inlineStr">
        <is>
          <t>91.21.01-012</t>
        </is>
      </c>
      <c r="D46" s="179" t="inlineStr">
        <is>
          <t>Агрегаты окрасочные высокого давления для окраски поверхностей конструкций, мощность 1 кВт</t>
        </is>
      </c>
      <c r="E46" s="227" t="inlineStr">
        <is>
          <t>маш.час</t>
        </is>
      </c>
      <c r="F46" s="178" t="n">
        <v>0.6888840000000001</v>
      </c>
      <c r="G46" s="174" t="n">
        <v>6.82</v>
      </c>
      <c r="H46" s="123">
        <f>ROUND(F46*G46,2)</f>
        <v/>
      </c>
      <c r="K46" s="106" t="n"/>
    </row>
    <row r="47" ht="25.5" customHeight="1" s="90">
      <c r="A47" s="162" t="n">
        <v>33</v>
      </c>
      <c r="B47" s="140" t="n"/>
      <c r="C47" s="178" t="inlineStr">
        <is>
          <t>91.08.09-023</t>
        </is>
      </c>
      <c r="D47" s="179" t="inlineStr">
        <is>
          <t>Трамбовки пневматические при работе от передвижных компрессорных станций</t>
        </is>
      </c>
      <c r="E47" s="227" t="inlineStr">
        <is>
          <t>маш.час</t>
        </is>
      </c>
      <c r="F47" s="178" t="n">
        <v>8.1312</v>
      </c>
      <c r="G47" s="174" t="n">
        <v>0.55</v>
      </c>
      <c r="H47" s="123">
        <f>ROUND(F47*G47,2)</f>
        <v/>
      </c>
      <c r="K47" s="106" t="n"/>
    </row>
    <row r="48">
      <c r="A48" s="162" t="n">
        <v>34</v>
      </c>
      <c r="B48" s="140" t="n"/>
      <c r="C48" s="178" t="inlineStr">
        <is>
          <t>91.21.22-638</t>
        </is>
      </c>
      <c r="D48" s="179" t="inlineStr">
        <is>
          <t>Пылесосы промышленные, мощность до 2000 Вт</t>
        </is>
      </c>
      <c r="E48" s="227" t="inlineStr">
        <is>
          <t>маш.час</t>
        </is>
      </c>
      <c r="F48" s="178" t="n">
        <v>1.1676</v>
      </c>
      <c r="G48" s="174" t="n">
        <v>3.29</v>
      </c>
      <c r="H48" s="123">
        <f>ROUND(F48*G48,2)</f>
        <v/>
      </c>
      <c r="K48" s="106" t="n"/>
    </row>
    <row r="49">
      <c r="A49" s="162" t="n">
        <v>35</v>
      </c>
      <c r="B49" s="140" t="n"/>
      <c r="C49" s="178" t="inlineStr">
        <is>
          <t>91.07.04-002</t>
        </is>
      </c>
      <c r="D49" s="179" t="inlineStr">
        <is>
          <t>Вибраторы поверхностные</t>
        </is>
      </c>
      <c r="E49" s="227" t="inlineStr">
        <is>
          <t>маш.час</t>
        </is>
      </c>
      <c r="F49" s="178" t="n">
        <v>1.3474778</v>
      </c>
      <c r="G49" s="174" t="n">
        <v>0.5</v>
      </c>
      <c r="H49" s="123">
        <f>ROUND(F49*G49,2)</f>
        <v/>
      </c>
      <c r="K49" s="106" t="n"/>
    </row>
    <row r="50" ht="25.5" customHeight="1" s="90">
      <c r="A50" s="162" t="n">
        <v>36</v>
      </c>
      <c r="B50" s="140" t="n"/>
      <c r="C50" s="178" t="inlineStr">
        <is>
          <t>91.06.03-060</t>
        </is>
      </c>
      <c r="D50" s="179" t="inlineStr">
        <is>
          <t>Лебедки электрические тяговым усилием до 5,79 кН (0,59 т)</t>
        </is>
      </c>
      <c r="E50" s="227" t="inlineStr">
        <is>
          <t>маш.час</t>
        </is>
      </c>
      <c r="F50" s="178" t="n">
        <v>0.0070056</v>
      </c>
      <c r="G50" s="174" t="n">
        <v>1.7</v>
      </c>
      <c r="H50" s="123">
        <f>ROUND(F50*G50,2)</f>
        <v/>
      </c>
      <c r="K50" s="106" t="n"/>
    </row>
    <row r="51">
      <c r="A51" s="196" t="inlineStr">
        <is>
          <t>Оборудование</t>
        </is>
      </c>
      <c r="B51" s="235" t="n"/>
      <c r="C51" s="235" t="n"/>
      <c r="D51" s="235" t="n"/>
      <c r="E51" s="236" t="n"/>
      <c r="F51" s="196" t="n"/>
      <c r="G51" s="121" t="n"/>
      <c r="H51" s="244" t="n">
        <v>0</v>
      </c>
      <c r="J51" s="136" t="n"/>
    </row>
    <row r="52">
      <c r="A52" s="196" t="inlineStr">
        <is>
          <t>Материалы</t>
        </is>
      </c>
      <c r="B52" s="235" t="n"/>
      <c r="C52" s="235" t="n"/>
      <c r="D52" s="235" t="n"/>
      <c r="E52" s="236" t="n"/>
      <c r="F52" s="196" t="n"/>
      <c r="G52" s="121" t="n"/>
      <c r="H52" s="244">
        <f>SUM(H53:H86)</f>
        <v/>
      </c>
      <c r="J52" s="136" t="n"/>
    </row>
    <row r="53" ht="25.5" customHeight="1" s="90">
      <c r="A53" s="162" t="n">
        <v>37</v>
      </c>
      <c r="B53" s="141" t="n"/>
      <c r="C53" s="178" t="inlineStr">
        <is>
          <t>04.1.02.05-0009</t>
        </is>
      </c>
      <c r="D53" s="179" t="inlineStr">
        <is>
          <t>Смеси бетонные тяжелого бетона (БСТ), класс B25 (М350)</t>
        </is>
      </c>
      <c r="E53" s="227" t="inlineStr">
        <is>
          <t>м3</t>
        </is>
      </c>
      <c r="F53" s="227" t="n">
        <v>185.136</v>
      </c>
      <c r="G53" s="156" t="n">
        <v>725.6900000000001</v>
      </c>
      <c r="H53" s="156">
        <f>ROUND(F53*G53,2)</f>
        <v/>
      </c>
      <c r="J53" s="168" t="n"/>
    </row>
    <row r="54" ht="15" customHeight="1" s="90">
      <c r="A54" s="162">
        <f>A53+1</f>
        <v/>
      </c>
      <c r="B54" s="141" t="n"/>
      <c r="C54" s="178" t="inlineStr">
        <is>
          <t>01.7.15.01-0091</t>
        </is>
      </c>
      <c r="D54" s="179" t="inlineStr">
        <is>
          <t>Шпилька анкерная Hilti: HAS-E М24/210/54 для использования с капсулами HVU</t>
        </is>
      </c>
      <c r="E54" s="227" t="inlineStr">
        <is>
          <t>шт</t>
        </is>
      </c>
      <c r="F54" s="227" t="n">
        <v>780</v>
      </c>
      <c r="G54" s="156" t="n">
        <v>135.53</v>
      </c>
      <c r="H54" s="156">
        <f>ROUND(F54*G54,2)</f>
        <v/>
      </c>
      <c r="J54" s="168" t="n"/>
    </row>
    <row r="55" ht="25.5" customHeight="1" s="90">
      <c r="A55" s="162">
        <f>A54+1</f>
        <v/>
      </c>
      <c r="B55" s="141" t="n"/>
      <c r="C55" s="178" t="inlineStr">
        <is>
          <t>08.4.03.03-0034</t>
        </is>
      </c>
      <c r="D55" s="179" t="inlineStr">
        <is>
          <t>Сталь арматурная, горячекатаная, периодического профиля, класс А-III, диаметр 16-18 мм</t>
        </is>
      </c>
      <c r="E55" s="227" t="inlineStr">
        <is>
          <t>т</t>
        </is>
      </c>
      <c r="F55" s="227" t="n">
        <v>8.757300000000001</v>
      </c>
      <c r="G55" s="156" t="n">
        <v>7956.21</v>
      </c>
      <c r="H55" s="156">
        <f>ROUND(F55*G55,2)</f>
        <v/>
      </c>
      <c r="J55" s="168" t="n"/>
    </row>
    <row r="56" ht="25.5" customHeight="1" s="90">
      <c r="A56" s="162">
        <f>A55+1</f>
        <v/>
      </c>
      <c r="B56" s="141" t="n"/>
      <c r="C56" s="178" t="inlineStr">
        <is>
          <t>10.1.02.03-0001</t>
        </is>
      </c>
      <c r="D56" s="179" t="inlineStr">
        <is>
          <t>Проволока алюминиевая, марка АМЦ, диаметр 1,4-1,8 мм</t>
        </is>
      </c>
      <c r="E56" s="227" t="inlineStr">
        <is>
          <t>т</t>
        </is>
      </c>
      <c r="F56" s="227" t="n">
        <v>1.8528539</v>
      </c>
      <c r="G56" s="156" t="n">
        <v>30090</v>
      </c>
      <c r="H56" s="156">
        <f>ROUND(F56*G56,2)</f>
        <v/>
      </c>
      <c r="J56" s="168" t="n"/>
    </row>
    <row r="57" ht="15" customHeight="1" s="90">
      <c r="A57" s="162">
        <f>A56+1</f>
        <v/>
      </c>
      <c r="B57" s="141" t="n"/>
      <c r="C57" s="178" t="inlineStr">
        <is>
          <t>02.3.01.02-0033</t>
        </is>
      </c>
      <c r="D57" s="179" t="inlineStr">
        <is>
          <t>Песок природный обогащенный для строительных работ средний</t>
        </is>
      </c>
      <c r="E57" s="227" t="inlineStr">
        <is>
          <t>м3</t>
        </is>
      </c>
      <c r="F57" s="227" t="n">
        <v>775.201837</v>
      </c>
      <c r="G57" s="156" t="n">
        <v>70.59999999999999</v>
      </c>
      <c r="H57" s="156">
        <f>ROUND(F57*G57,2)</f>
        <v/>
      </c>
    </row>
    <row r="58">
      <c r="A58" s="162">
        <f>A57+1</f>
        <v/>
      </c>
      <c r="B58" s="141" t="n"/>
      <c r="C58" s="178" t="inlineStr">
        <is>
          <t>02.2.05.04-1567</t>
        </is>
      </c>
      <c r="D58" s="179" t="inlineStr">
        <is>
          <t>Щебень М 400, фракция 5(3)-10 мм, группа 2</t>
        </is>
      </c>
      <c r="E58" s="227" t="inlineStr">
        <is>
          <t>м3</t>
        </is>
      </c>
      <c r="F58" s="227" t="n">
        <v>263.235</v>
      </c>
      <c r="G58" s="156" t="n">
        <v>131.08</v>
      </c>
      <c r="H58" s="156">
        <f>ROUND(F58*G58,2)</f>
        <v/>
      </c>
    </row>
    <row r="59" ht="25.5" customHeight="1" s="90">
      <c r="A59" s="162">
        <f>A58+1</f>
        <v/>
      </c>
      <c r="B59" s="141" t="n"/>
      <c r="C59" s="178" t="inlineStr">
        <is>
          <t>08.4.01.01-0022</t>
        </is>
      </c>
      <c r="D59" s="179" t="inlineStr">
        <is>
          <t>Детали анкерные с резьбой из прямых или гнутых круглых стержней</t>
        </is>
      </c>
      <c r="E59" s="227" t="inlineStr">
        <is>
          <t>т</t>
        </is>
      </c>
      <c r="F59" s="227" t="n">
        <v>3.39024</v>
      </c>
      <c r="G59" s="156" t="n">
        <v>10100</v>
      </c>
      <c r="H59" s="156">
        <f>ROUND(F59*G59,2)</f>
        <v/>
      </c>
    </row>
    <row r="60" ht="25.5" customHeight="1" s="90">
      <c r="A60" s="162">
        <f>A59+1</f>
        <v/>
      </c>
      <c r="B60" s="141" t="n"/>
      <c r="C60" s="178" t="inlineStr">
        <is>
          <t>01.7.15.03-0034</t>
        </is>
      </c>
      <c r="D60" s="179" t="inlineStr">
        <is>
          <t>Болты с гайками и шайбами оцинкованные, диаметр 12 мм</t>
        </is>
      </c>
      <c r="E60" s="227" t="inlineStr">
        <is>
          <t>кг</t>
        </is>
      </c>
      <c r="F60" s="227" t="n">
        <v>704.79</v>
      </c>
      <c r="G60" s="156" t="n">
        <v>25.76</v>
      </c>
      <c r="H60" s="156">
        <f>ROUND(F60*G60,2)</f>
        <v/>
      </c>
    </row>
    <row r="61" ht="25.5" customHeight="1" s="90">
      <c r="A61" s="162">
        <f>A60+1</f>
        <v/>
      </c>
      <c r="B61" s="141" t="n"/>
      <c r="C61" s="178" t="inlineStr">
        <is>
          <t>04.1.02.05-0040</t>
        </is>
      </c>
      <c r="D61" s="179" t="inlineStr">
        <is>
          <t>Смеси бетонные тяжелого бетона (БСТ), крупность заполнителя 20 мм, класс В7,5 (М100)</t>
        </is>
      </c>
      <c r="E61" s="227" t="inlineStr">
        <is>
          <t>м3</t>
        </is>
      </c>
      <c r="F61" s="227" t="n">
        <v>31.671</v>
      </c>
      <c r="G61" s="156" t="n">
        <v>535.46</v>
      </c>
      <c r="H61" s="156">
        <f>ROUND(F61*G61,2)</f>
        <v/>
      </c>
    </row>
    <row r="62" ht="15" customHeight="1" s="90">
      <c r="A62" s="162">
        <f>A61+1</f>
        <v/>
      </c>
      <c r="B62" s="141" t="n"/>
      <c r="C62" s="178" t="inlineStr">
        <is>
          <t>01.7.11.07-0032</t>
        </is>
      </c>
      <c r="D62" s="179" t="inlineStr">
        <is>
          <t>Электроды сварочные Э42, диаметр 4 мм</t>
        </is>
      </c>
      <c r="E62" s="227" t="inlineStr">
        <is>
          <t>т</t>
        </is>
      </c>
      <c r="F62" s="227" t="n">
        <v>0.6076544</v>
      </c>
      <c r="G62" s="156" t="n">
        <v>10315.01</v>
      </c>
      <c r="H62" s="156">
        <f>ROUND(F62*G62,2)</f>
        <v/>
      </c>
    </row>
    <row r="63" ht="25.5" customHeight="1" s="90">
      <c r="A63" s="162">
        <f>A62+1</f>
        <v/>
      </c>
      <c r="B63" s="141" t="n"/>
      <c r="C63" s="178" t="inlineStr">
        <is>
          <t>08.4.03.03-0033</t>
        </is>
      </c>
      <c r="D63" s="179" t="inlineStr">
        <is>
          <t>Сталь арматурная, горячекатаная, периодического профиля, класс А-III, диаметр 14 мм</t>
        </is>
      </c>
      <c r="E63" s="227" t="inlineStr">
        <is>
          <t>т</t>
        </is>
      </c>
      <c r="F63" s="227" t="n">
        <v>0.696</v>
      </c>
      <c r="G63" s="156" t="n">
        <v>7997.23</v>
      </c>
      <c r="H63" s="156">
        <f>ROUND(F63*G63,2)</f>
        <v/>
      </c>
    </row>
    <row r="64" ht="25.5" customHeight="1" s="90">
      <c r="A64" s="162">
        <f>A63+1</f>
        <v/>
      </c>
      <c r="B64" s="141" t="n"/>
      <c r="C64" s="178" t="inlineStr">
        <is>
          <t>08.4.03.02-0003</t>
        </is>
      </c>
      <c r="D64" s="179" t="inlineStr">
        <is>
          <t>Сталь арматурная, горячекатаная, гладкая, класс А-I, диаметр 10 мм</t>
        </is>
      </c>
      <c r="E64" s="227" t="inlineStr">
        <is>
          <t>т</t>
        </is>
      </c>
      <c r="F64" s="227" t="n">
        <v>0.7251</v>
      </c>
      <c r="G64" s="156" t="n">
        <v>6726.18</v>
      </c>
      <c r="H64" s="156">
        <f>ROUND(F64*G64,2)</f>
        <v/>
      </c>
    </row>
    <row r="65" ht="15" customHeight="1" s="90">
      <c r="A65" s="162">
        <f>A64+1</f>
        <v/>
      </c>
      <c r="B65" s="141" t="n"/>
      <c r="C65" s="178" t="inlineStr">
        <is>
          <t>14.5.09.11-0102</t>
        </is>
      </c>
      <c r="D65" s="179" t="inlineStr">
        <is>
          <t>Уайт-спирит</t>
        </is>
      </c>
      <c r="E65" s="227" t="inlineStr">
        <is>
          <t>кг</t>
        </is>
      </c>
      <c r="F65" s="227" t="n">
        <v>613.5277599999999</v>
      </c>
      <c r="G65" s="156" t="n">
        <v>6.67</v>
      </c>
      <c r="H65" s="156">
        <f>ROUND(F65*G65,2)</f>
        <v/>
      </c>
    </row>
    <row r="66" ht="25.5" customHeight="1" s="90">
      <c r="A66" s="162">
        <f>A65+1</f>
        <v/>
      </c>
      <c r="B66" s="141" t="n"/>
      <c r="C66" s="178" t="inlineStr">
        <is>
          <t>08.4.03.02-0002</t>
        </is>
      </c>
      <c r="D66" s="179" t="inlineStr">
        <is>
          <t>Сталь арматурная, горячекатаная, гладкая, класс А-I, диаметр 8 мм</t>
        </is>
      </c>
      <c r="E66" s="227" t="inlineStr">
        <is>
          <t>т</t>
        </is>
      </c>
      <c r="F66" s="227" t="n">
        <v>0.5793</v>
      </c>
      <c r="G66" s="156" t="n">
        <v>6780</v>
      </c>
      <c r="H66" s="156">
        <f>ROUND(F66*G66,2)</f>
        <v/>
      </c>
    </row>
    <row r="67" ht="15" customHeight="1" s="90">
      <c r="A67" s="162">
        <f>A66+1</f>
        <v/>
      </c>
      <c r="B67" s="141" t="n"/>
      <c r="C67" s="178" t="inlineStr">
        <is>
          <t>11.2.13.04-0012</t>
        </is>
      </c>
      <c r="D67" s="179" t="inlineStr">
        <is>
          <t>Щиты из досок, толщина 40 мм</t>
        </is>
      </c>
      <c r="E67" s="227" t="inlineStr">
        <is>
          <t>м2</t>
        </is>
      </c>
      <c r="F67" s="227" t="n">
        <v>51.984</v>
      </c>
      <c r="G67" s="156" t="n">
        <v>57.63</v>
      </c>
      <c r="H67" s="156">
        <f>ROUND(F67*G67,2)</f>
        <v/>
      </c>
    </row>
    <row r="68" ht="25.5" customHeight="1" s="90">
      <c r="A68" s="162">
        <f>A67+1</f>
        <v/>
      </c>
      <c r="B68" s="141" t="n"/>
      <c r="C68" s="178" t="inlineStr">
        <is>
          <t>04.1.02.05-0029</t>
        </is>
      </c>
      <c r="D68" s="179" t="inlineStr">
        <is>
          <t>Смеси бетонные тяжелого бетона (БСТ), крупность заполнителя 10 мм, класс B25 (М350)</t>
        </is>
      </c>
      <c r="E68" s="227" t="inlineStr">
        <is>
          <t>м3</t>
        </is>
      </c>
      <c r="F68" s="227" t="n">
        <v>1.836</v>
      </c>
      <c r="G68" s="156" t="n">
        <v>748.04</v>
      </c>
      <c r="H68" s="156">
        <f>ROUND(F68*G68,2)</f>
        <v/>
      </c>
    </row>
    <row r="69" ht="38.25" customHeight="1" s="90">
      <c r="A69" s="162">
        <f>A68+1</f>
        <v/>
      </c>
      <c r="B69" s="141" t="n"/>
      <c r="C69" s="178" t="inlineStr">
        <is>
          <t>14.4.01.20-0001</t>
        </is>
      </c>
      <c r="D69" s="179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69" s="227" t="inlineStr">
        <is>
          <t>т</t>
        </is>
      </c>
      <c r="F69" s="227" t="n">
        <v>0.011676</v>
      </c>
      <c r="G69" s="156" t="n">
        <v>107351.35</v>
      </c>
      <c r="H69" s="156">
        <f>ROUND(F69*G69,2)</f>
        <v/>
      </c>
    </row>
    <row r="70" ht="25.5" customHeight="1" s="90">
      <c r="A70" s="162">
        <f>A69+1</f>
        <v/>
      </c>
      <c r="B70" s="141" t="n"/>
      <c r="C70" s="178" t="inlineStr">
        <is>
          <t>01.2.03.03-0018</t>
        </is>
      </c>
      <c r="D70" s="179" t="inlineStr">
        <is>
          <t>Мастика битумная кровельная холодного применения, универсальная</t>
        </is>
      </c>
      <c r="E70" s="227" t="inlineStr">
        <is>
          <t>т</t>
        </is>
      </c>
      <c r="F70" s="227" t="n">
        <v>0.239904</v>
      </c>
      <c r="G70" s="156" t="n">
        <v>4812.7</v>
      </c>
      <c r="H70" s="156">
        <f>ROUND(F70*G70,2)</f>
        <v/>
      </c>
    </row>
    <row r="71" ht="38.25" customHeight="1" s="90">
      <c r="A71" s="162">
        <f>A70+1</f>
        <v/>
      </c>
      <c r="B71" s="141" t="n"/>
      <c r="C71" s="178" t="inlineStr">
        <is>
          <t>14.4.01.20-0012</t>
        </is>
      </c>
      <c r="D71" s="179" t="inlineStr">
        <is>
          <t>Грунтовка антикоррозионная цинкнаполненная быстросохнущая, преобразователь ржавчины и окалины</t>
        </is>
      </c>
      <c r="E71" s="227" t="inlineStr">
        <is>
          <t>т</t>
        </is>
      </c>
      <c r="F71" s="227" t="n">
        <v>0.008756999999999999</v>
      </c>
      <c r="G71" s="156" t="n">
        <v>86794.72</v>
      </c>
      <c r="H71" s="156">
        <f>ROUND(F71*G71,2)</f>
        <v/>
      </c>
    </row>
    <row r="72" ht="15" customHeight="1" s="90">
      <c r="A72" s="162">
        <f>A71+1</f>
        <v/>
      </c>
      <c r="B72" s="141" t="n"/>
      <c r="C72" s="178" t="inlineStr">
        <is>
          <t>11.1.03.06-0095</t>
        </is>
      </c>
      <c r="D72" s="179" t="inlineStr">
        <is>
          <t>Доска обрезная, хвойных пород, ширина 75-150 мм, толщина 44 мм и более, длина 4-6,5 м, сорт III</t>
        </is>
      </c>
      <c r="E72" s="227" t="inlineStr">
        <is>
          <t>м3</t>
        </is>
      </c>
      <c r="F72" s="227" t="n">
        <v>0.625063</v>
      </c>
      <c r="G72" s="156" t="n">
        <v>1056</v>
      </c>
      <c r="H72" s="156">
        <f>ROUND(F72*G72,2)</f>
        <v/>
      </c>
    </row>
    <row r="73">
      <c r="A73" s="162">
        <f>A72+1</f>
        <v/>
      </c>
      <c r="B73" s="141" t="n"/>
      <c r="C73" s="178" t="inlineStr">
        <is>
          <t>01.7.11.07-0054</t>
        </is>
      </c>
      <c r="D73" s="179" t="inlineStr">
        <is>
          <t>Электроды сварочные Э42, диаметр 6 мм</t>
        </is>
      </c>
      <c r="E73" s="227" t="inlineStr">
        <is>
          <t>т</t>
        </is>
      </c>
      <c r="F73" s="227" t="n">
        <v>0.056544</v>
      </c>
      <c r="G73" s="156" t="n">
        <v>9424</v>
      </c>
      <c r="H73" s="156">
        <f>ROUND(F73*G73,2)</f>
        <v/>
      </c>
    </row>
    <row r="74" ht="15" customHeight="1" s="90">
      <c r="A74" s="162">
        <f>A73+1</f>
        <v/>
      </c>
      <c r="B74" s="141" t="n"/>
      <c r="C74" s="178" t="inlineStr">
        <is>
          <t>11.1.02.04-0031</t>
        </is>
      </c>
      <c r="D74" s="179" t="inlineStr">
        <is>
          <t>Лесоматериалы круглые, хвойных пород, для строительства, диаметр 14-24 см, длина 3-6,5 м</t>
        </is>
      </c>
      <c r="E74" s="227" t="inlineStr">
        <is>
          <t>м3</t>
        </is>
      </c>
      <c r="F74" s="227" t="n">
        <v>0.65664</v>
      </c>
      <c r="G74" s="156" t="n">
        <v>558.33</v>
      </c>
      <c r="H74" s="156">
        <f>ROUND(F74*G74,2)</f>
        <v/>
      </c>
    </row>
    <row r="75">
      <c r="A75" s="162">
        <f>A74+1</f>
        <v/>
      </c>
      <c r="B75" s="141" t="n"/>
      <c r="C75" s="178" t="inlineStr">
        <is>
          <t>01.7.07.12-0024</t>
        </is>
      </c>
      <c r="D75" s="179" t="inlineStr">
        <is>
          <t>Пленка полиэтиленовая, толщина 0,15 мм</t>
        </is>
      </c>
      <c r="E75" s="227" t="inlineStr">
        <is>
          <t>м2</t>
        </is>
      </c>
      <c r="F75" s="227" t="n">
        <v>95.68259999999999</v>
      </c>
      <c r="G75" s="156" t="n">
        <v>3.62</v>
      </c>
      <c r="H75" s="156">
        <f>ROUND(F75*G75,2)</f>
        <v/>
      </c>
    </row>
    <row r="76">
      <c r="A76" s="162">
        <f>A75+1</f>
        <v/>
      </c>
      <c r="B76" s="141" t="n"/>
      <c r="C76" s="178" t="inlineStr">
        <is>
          <t>01.7.15.06-0111</t>
        </is>
      </c>
      <c r="D76" s="179" t="inlineStr">
        <is>
          <t>Гвозди строительные</t>
        </is>
      </c>
      <c r="E76" s="227" t="inlineStr">
        <is>
          <t>т</t>
        </is>
      </c>
      <c r="F76" s="227" t="n">
        <v>0.025512</v>
      </c>
      <c r="G76" s="156" t="n">
        <v>11978</v>
      </c>
      <c r="H76" s="156">
        <f>ROUND(F76*G76,2)</f>
        <v/>
      </c>
    </row>
    <row r="77" ht="15" customHeight="1" s="90">
      <c r="A77" s="162">
        <f>A76+1</f>
        <v/>
      </c>
      <c r="B77" s="141" t="n"/>
      <c r="C77" s="178" t="inlineStr">
        <is>
          <t>01.7.03.01-0001</t>
        </is>
      </c>
      <c r="D77" s="179" t="inlineStr">
        <is>
          <t>Вода</t>
        </is>
      </c>
      <c r="E77" s="227" t="inlineStr">
        <is>
          <t>м3</t>
        </is>
      </c>
      <c r="F77" s="227" t="n">
        <v>108.840207</v>
      </c>
      <c r="G77" s="156" t="n">
        <v>2.44</v>
      </c>
      <c r="H77" s="156">
        <f>ROUND(F77*G77,2)</f>
        <v/>
      </c>
    </row>
    <row r="78" ht="25.5" customHeight="1" s="90">
      <c r="A78" s="162">
        <f>A77+1</f>
        <v/>
      </c>
      <c r="B78" s="141" t="n"/>
      <c r="C78" s="178" t="inlineStr">
        <is>
          <t>11.1.03.01-0079</t>
        </is>
      </c>
      <c r="D78" s="179" t="inlineStr">
        <is>
          <t>Бруски обрезные, хвойных пород, длина 4-6,5 м, ширина 75-150 мм, толщина 40-75 мм, сорт III</t>
        </is>
      </c>
      <c r="E78" s="227" t="inlineStr">
        <is>
          <t>м3</t>
        </is>
      </c>
      <c r="F78" s="227" t="n">
        <v>0.20064</v>
      </c>
      <c r="G78" s="156" t="n">
        <v>1287</v>
      </c>
      <c r="H78" s="156">
        <f>ROUND(F78*G78,2)</f>
        <v/>
      </c>
    </row>
    <row r="79" ht="25.5" customHeight="1" s="90">
      <c r="A79" s="162">
        <f>A78+1</f>
        <v/>
      </c>
      <c r="B79" s="141" t="n"/>
      <c r="C79" s="178" t="inlineStr">
        <is>
          <t>08.3.03.06-0002</t>
        </is>
      </c>
      <c r="D79" s="179" t="inlineStr">
        <is>
          <t>Проволока горячекатаная в мотках, диаметр 6,3-6,5 мм</t>
        </is>
      </c>
      <c r="E79" s="227" t="inlineStr">
        <is>
          <t>т</t>
        </is>
      </c>
      <c r="F79" s="227" t="n">
        <v>0.032832</v>
      </c>
      <c r="G79" s="156" t="n">
        <v>4455.2</v>
      </c>
      <c r="H79" s="156">
        <f>ROUND(F79*G79,2)</f>
        <v/>
      </c>
    </row>
    <row r="80" ht="25.5" customHeight="1" s="90">
      <c r="A80" s="162">
        <f>A79+1</f>
        <v/>
      </c>
      <c r="B80" s="141" t="n"/>
      <c r="C80" s="178" t="inlineStr">
        <is>
          <t>11.1.03.06-0087</t>
        </is>
      </c>
      <c r="D80" s="179" t="inlineStr">
        <is>
          <t>Доска обрезная, хвойных пород, ширина 75-150 мм, толщина 25 мм, длина 4-6,5 м, сорт III</t>
        </is>
      </c>
      <c r="E80" s="227" t="inlineStr">
        <is>
          <t>м3</t>
        </is>
      </c>
      <c r="F80" s="227" t="n">
        <v>0.0696686</v>
      </c>
      <c r="G80" s="156" t="n">
        <v>1100</v>
      </c>
      <c r="H80" s="156">
        <f>ROUND(F80*G80,2)</f>
        <v/>
      </c>
    </row>
    <row r="81">
      <c r="A81" s="162">
        <f>A80+1</f>
        <v/>
      </c>
      <c r="B81" s="141" t="n"/>
      <c r="C81" s="178" t="inlineStr">
        <is>
          <t>01.3.01.03-0002</t>
        </is>
      </c>
      <c r="D81" s="179" t="inlineStr">
        <is>
          <t>Керосин для технических целей</t>
        </is>
      </c>
      <c r="E81" s="227" t="inlineStr">
        <is>
          <t>т</t>
        </is>
      </c>
      <c r="F81" s="227" t="n">
        <v>0.0239904</v>
      </c>
      <c r="G81" s="156" t="n">
        <v>2606.9</v>
      </c>
      <c r="H81" s="156">
        <f>ROUND(F81*G81,2)</f>
        <v/>
      </c>
    </row>
    <row r="82" ht="15" customHeight="1" s="90">
      <c r="A82" s="162">
        <f>A81+1</f>
        <v/>
      </c>
      <c r="B82" s="141" t="n"/>
      <c r="C82" s="178" t="inlineStr">
        <is>
          <t>03.1.02.03-0011</t>
        </is>
      </c>
      <c r="D82" s="179" t="inlineStr">
        <is>
          <t>Известь строительная негашеная комовая, сорт I</t>
        </is>
      </c>
      <c r="E82" s="227" t="inlineStr">
        <is>
          <t>т</t>
        </is>
      </c>
      <c r="F82" s="227" t="n">
        <v>0.041952</v>
      </c>
      <c r="G82" s="156" t="n">
        <v>734.5</v>
      </c>
      <c r="H82" s="156">
        <f>ROUND(F82*G82,2)</f>
        <v/>
      </c>
    </row>
    <row r="83">
      <c r="A83" s="162">
        <f>A82+1</f>
        <v/>
      </c>
      <c r="B83" s="141" t="n"/>
      <c r="C83" s="178" t="inlineStr">
        <is>
          <t>01.2.01.02-0054</t>
        </is>
      </c>
      <c r="D83" s="179" t="inlineStr">
        <is>
          <t>Битумы нефтяные строительные БН-90/10</t>
        </is>
      </c>
      <c r="E83" s="227" t="inlineStr">
        <is>
          <t>т</t>
        </is>
      </c>
      <c r="F83" s="227" t="n">
        <v>0.0159936</v>
      </c>
      <c r="G83" s="156" t="n">
        <v>1383.1</v>
      </c>
      <c r="H83" s="156">
        <f>ROUND(F83*G83,2)</f>
        <v/>
      </c>
    </row>
    <row r="84">
      <c r="A84" s="162">
        <f>A83+1</f>
        <v/>
      </c>
      <c r="B84" s="141" t="n"/>
      <c r="C84" s="178" t="inlineStr">
        <is>
          <t>07.2.07.02-0001</t>
        </is>
      </c>
      <c r="D84" s="179" t="inlineStr">
        <is>
          <t>Кондуктор инвентарный металлический</t>
        </is>
      </c>
      <c r="E84" s="227" t="inlineStr">
        <is>
          <t>шт</t>
        </is>
      </c>
      <c r="F84" s="227" t="n">
        <v>0.0339024</v>
      </c>
      <c r="G84" s="156" t="n">
        <v>346</v>
      </c>
      <c r="H84" s="156">
        <f>ROUND(F84*G84,2)</f>
        <v/>
      </c>
    </row>
    <row r="85" ht="15" customHeight="1" s="90">
      <c r="A85" s="162">
        <f>A84+1</f>
        <v/>
      </c>
      <c r="B85" s="141" t="n"/>
      <c r="C85" s="178" t="inlineStr">
        <is>
          <t>14.5.09.07-0030</t>
        </is>
      </c>
      <c r="D85" s="179" t="inlineStr">
        <is>
          <t>Растворитель Р-4</t>
        </is>
      </c>
      <c r="E85" s="227" t="inlineStr">
        <is>
          <t>кг</t>
        </is>
      </c>
      <c r="F85" s="227" t="n">
        <v>1.02165</v>
      </c>
      <c r="G85" s="156" t="n">
        <v>9.42</v>
      </c>
      <c r="H85" s="156">
        <f>ROUND(F85*G85,2)</f>
        <v/>
      </c>
    </row>
    <row r="86">
      <c r="A86" s="162">
        <f>A85+1</f>
        <v/>
      </c>
      <c r="B86" s="141" t="n"/>
      <c r="C86" s="178" t="inlineStr">
        <is>
          <t>01.7.20.08-0051</t>
        </is>
      </c>
      <c r="D86" s="179" t="inlineStr">
        <is>
          <t>Ветошь</t>
        </is>
      </c>
      <c r="E86" s="227" t="inlineStr">
        <is>
          <t>кг</t>
        </is>
      </c>
      <c r="F86" s="227" t="n">
        <v>0.09995999999999999</v>
      </c>
      <c r="G86" s="156" t="n">
        <v>1.82</v>
      </c>
      <c r="H86" s="156">
        <f>ROUND(F86*G86,2)</f>
        <v/>
      </c>
    </row>
    <row r="87">
      <c r="J87" s="142" t="n"/>
    </row>
    <row r="89">
      <c r="B89" s="106" t="inlineStr">
        <is>
          <t>Составил ______________________  Е. М. Добровольская</t>
        </is>
      </c>
    </row>
    <row r="90">
      <c r="B90" s="105" t="inlineStr">
        <is>
          <t xml:space="preserve">                         (подпись, инициалы, фамилия)</t>
        </is>
      </c>
    </row>
    <row r="92">
      <c r="B92" s="106" t="inlineStr">
        <is>
          <t>Проверил ______________________        А.В. Костянецкая</t>
        </is>
      </c>
    </row>
    <row r="93">
      <c r="B93" s="105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:H3"/>
    <mergeCell ref="A12:E12"/>
    <mergeCell ref="D9:D10"/>
    <mergeCell ref="E9:E10"/>
    <mergeCell ref="F9:F10"/>
    <mergeCell ref="A9:A10"/>
    <mergeCell ref="A52:E52"/>
    <mergeCell ref="A2:H2"/>
    <mergeCell ref="A25:E25"/>
    <mergeCell ref="A51:E51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4" sqref="D44"/>
    </sheetView>
  </sheetViews>
  <sheetFormatPr baseColWidth="8" defaultRowHeight="15"/>
  <cols>
    <col width="4.140625" customWidth="1" style="90" min="1" max="1"/>
    <col width="36.28515625" customWidth="1" style="90" min="2" max="2"/>
    <col width="18.85546875" customWidth="1" style="90" min="3" max="3"/>
    <col width="18.28515625" customWidth="1" style="90" min="4" max="4"/>
    <col width="18.85546875" customWidth="1" style="90" min="5" max="5"/>
    <col width="9.140625" customWidth="1" style="90" min="6" max="6"/>
    <col width="12.85546875" customWidth="1" style="90" min="7" max="7"/>
    <col width="9.140625" customWidth="1" style="90" min="8" max="11"/>
    <col width="13.5703125" customWidth="1" style="90" min="12" max="12"/>
    <col width="9.140625" customWidth="1" style="90" min="13" max="13"/>
  </cols>
  <sheetData>
    <row r="1">
      <c r="B1" s="88" t="n"/>
      <c r="C1" s="88" t="n"/>
      <c r="D1" s="88" t="n"/>
      <c r="E1" s="88" t="n"/>
    </row>
    <row r="2">
      <c r="B2" s="88" t="n"/>
      <c r="C2" s="88" t="n"/>
      <c r="D2" s="88" t="n"/>
      <c r="E2" s="226" t="inlineStr">
        <is>
          <t>Приложение № 4</t>
        </is>
      </c>
    </row>
    <row r="3">
      <c r="B3" s="88" t="n"/>
      <c r="C3" s="88" t="n"/>
      <c r="D3" s="88" t="n"/>
      <c r="E3" s="88" t="n"/>
    </row>
    <row r="4">
      <c r="B4" s="88" t="n"/>
      <c r="C4" s="88" t="n"/>
      <c r="D4" s="88" t="n"/>
      <c r="E4" s="88" t="n"/>
    </row>
    <row r="5">
      <c r="B5" s="203" t="inlineStr">
        <is>
          <t>Ресурсная модель</t>
        </is>
      </c>
    </row>
    <row r="6">
      <c r="B6" s="18" t="n"/>
      <c r="C6" s="88" t="n"/>
      <c r="D6" s="88" t="n"/>
      <c r="E6" s="88" t="n"/>
    </row>
    <row r="7" ht="39.75" customHeight="1" s="9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88" t="n"/>
      <c r="D9" s="88" t="n"/>
      <c r="E9" s="88" t="n"/>
    </row>
    <row r="10" ht="51" customHeight="1" s="90">
      <c r="B10" s="206" t="inlineStr">
        <is>
          <t>Наименование</t>
        </is>
      </c>
      <c r="C10" s="206" t="inlineStr">
        <is>
          <t>Сметная стоимость в ценах на 01.01.2023
 (руб.)</t>
        </is>
      </c>
      <c r="D10" s="206" t="inlineStr">
        <is>
          <t>Удельный вес, 
(в СМР)</t>
        </is>
      </c>
      <c r="E10" s="206" t="inlineStr">
        <is>
          <t>Удельный вес, % 
(от всего по РМ)</t>
        </is>
      </c>
    </row>
    <row r="11">
      <c r="B11" s="50" t="inlineStr">
        <is>
          <t>Оплата труда рабочих</t>
        </is>
      </c>
      <c r="C11" s="54">
        <f>'Прил.5 Расчет СМР и ОБ'!J14</f>
        <v/>
      </c>
      <c r="D11" s="52">
        <f>C11/$C$24</f>
        <v/>
      </c>
      <c r="E11" s="52">
        <f>C11/$C$40</f>
        <v/>
      </c>
    </row>
    <row r="12">
      <c r="B12" s="50" t="inlineStr">
        <is>
          <t>Эксплуатация машин основных</t>
        </is>
      </c>
      <c r="C12" s="54">
        <f>'Прил.5 Расчет СМР и ОБ'!J23</f>
        <v/>
      </c>
      <c r="D12" s="52">
        <f>C12/$C$24</f>
        <v/>
      </c>
      <c r="E12" s="52">
        <f>C12/$C$40</f>
        <v/>
      </c>
    </row>
    <row r="13">
      <c r="B13" s="50" t="inlineStr">
        <is>
          <t>Эксплуатация машин прочих</t>
        </is>
      </c>
      <c r="C13" s="54">
        <f>'Прил.5 Расчет СМР и ОБ'!J43</f>
        <v/>
      </c>
      <c r="D13" s="52">
        <f>C13/$C$24</f>
        <v/>
      </c>
      <c r="E13" s="52">
        <f>C13/$C$40</f>
        <v/>
      </c>
    </row>
    <row r="14">
      <c r="B14" s="50" t="inlineStr">
        <is>
          <t>ЭКСПЛУАТАЦИЯ МАШИН, ВСЕГО:</t>
        </is>
      </c>
      <c r="C14" s="54">
        <f>C13+C12</f>
        <v/>
      </c>
      <c r="D14" s="52">
        <f>C14/$C$24</f>
        <v/>
      </c>
      <c r="E14" s="52">
        <f>C14/$C$40</f>
        <v/>
      </c>
    </row>
    <row r="15">
      <c r="B15" s="50" t="inlineStr">
        <is>
          <t>в том числе зарплата машинистов</t>
        </is>
      </c>
      <c r="C15" s="54">
        <f>'Прил.5 Расчет СМР и ОБ'!J16</f>
        <v/>
      </c>
      <c r="D15" s="52">
        <f>C15/$C$24</f>
        <v/>
      </c>
      <c r="E15" s="52">
        <f>C15/$C$40</f>
        <v/>
      </c>
    </row>
    <row r="16">
      <c r="B16" s="50" t="inlineStr">
        <is>
          <t>Материалы основные</t>
        </is>
      </c>
      <c r="C16" s="54">
        <f>'Прил.5 Расчет СМР и ОБ'!J58</f>
        <v/>
      </c>
      <c r="D16" s="52">
        <f>C16/$C$24</f>
        <v/>
      </c>
      <c r="E16" s="52">
        <f>C16/$C$40</f>
        <v/>
      </c>
    </row>
    <row r="17">
      <c r="B17" s="50" t="inlineStr">
        <is>
          <t>Материалы прочие</t>
        </is>
      </c>
      <c r="C17" s="54">
        <f>'Прил.5 Расчет СМР и ОБ'!J88</f>
        <v/>
      </c>
      <c r="D17" s="52">
        <f>C17/$C$24</f>
        <v/>
      </c>
      <c r="E17" s="52">
        <f>C17/$C$40</f>
        <v/>
      </c>
      <c r="G17" s="249" t="n"/>
    </row>
    <row r="18">
      <c r="B18" s="50" t="inlineStr">
        <is>
          <t>МАТЕРИАЛЫ, ВСЕГО:</t>
        </is>
      </c>
      <c r="C18" s="54">
        <f>C17+C16</f>
        <v/>
      </c>
      <c r="D18" s="52">
        <f>C18/$C$24</f>
        <v/>
      </c>
      <c r="E18" s="52">
        <f>C18/$C$40</f>
        <v/>
      </c>
    </row>
    <row r="19">
      <c r="B19" s="50" t="inlineStr">
        <is>
          <t>ИТОГО</t>
        </is>
      </c>
      <c r="C19" s="54">
        <f>C18+C14+C11</f>
        <v/>
      </c>
      <c r="D19" s="52" t="n"/>
      <c r="E19" s="50" t="n"/>
    </row>
    <row r="20">
      <c r="B20" s="50" t="inlineStr">
        <is>
          <t>Сметная прибыль, руб.</t>
        </is>
      </c>
      <c r="C20" s="54">
        <f>ROUND(C21*(C11+C15),2)</f>
        <v/>
      </c>
      <c r="D20" s="52">
        <f>C20/$C$24</f>
        <v/>
      </c>
      <c r="E20" s="52">
        <f>C20/$C$40</f>
        <v/>
      </c>
    </row>
    <row r="21">
      <c r="B21" s="50" t="inlineStr">
        <is>
          <t>Сметная прибыль, %</t>
        </is>
      </c>
      <c r="C21" s="55">
        <f>'Прил.5 Расчет СМР и ОБ'!E92</f>
        <v/>
      </c>
      <c r="D21" s="52" t="n"/>
      <c r="E21" s="50" t="n"/>
    </row>
    <row r="22">
      <c r="B22" s="50" t="inlineStr">
        <is>
          <t>Накладные расходы, руб.</t>
        </is>
      </c>
      <c r="C22" s="54">
        <f>ROUND(C23*(C11+C15),2)</f>
        <v/>
      </c>
      <c r="D22" s="52">
        <f>C22/$C$24</f>
        <v/>
      </c>
      <c r="E22" s="52">
        <f>C22/$C$40</f>
        <v/>
      </c>
    </row>
    <row r="23">
      <c r="B23" s="50" t="inlineStr">
        <is>
          <t>Накладные расходы, %</t>
        </is>
      </c>
      <c r="C23" s="55">
        <f>'Прил.5 Расчет СМР и ОБ'!E91</f>
        <v/>
      </c>
      <c r="D23" s="52" t="n"/>
      <c r="E23" s="50" t="n"/>
    </row>
    <row r="24">
      <c r="B24" s="50" t="inlineStr">
        <is>
          <t>ВСЕГО СМР с НР и СП</t>
        </is>
      </c>
      <c r="C24" s="54">
        <f>C19+C20+C22</f>
        <v/>
      </c>
      <c r="D24" s="52">
        <f>C24/$C$24</f>
        <v/>
      </c>
      <c r="E24" s="52">
        <f>C24/$C$40</f>
        <v/>
      </c>
    </row>
    <row r="25" ht="25.5" customHeight="1" s="90">
      <c r="B25" s="50" t="inlineStr">
        <is>
          <t>ВСЕГО стоимость оборудования, в том числе</t>
        </is>
      </c>
      <c r="C25" s="54">
        <f>'Прил.5 Расчет СМР и ОБ'!J49</f>
        <v/>
      </c>
      <c r="D25" s="52" t="n"/>
      <c r="E25" s="52">
        <f>C25/$C$40</f>
        <v/>
      </c>
    </row>
    <row r="26" ht="25.5" customHeight="1" s="90">
      <c r="B26" s="50" t="inlineStr">
        <is>
          <t>стоимость оборудования технологического</t>
        </is>
      </c>
      <c r="C26" s="54">
        <f>'Прил.5 Расчет СМР и ОБ'!J50</f>
        <v/>
      </c>
      <c r="D26" s="52" t="n"/>
      <c r="E26" s="52">
        <f>C26/$C$40</f>
        <v/>
      </c>
    </row>
    <row r="27">
      <c r="B27" s="50" t="inlineStr">
        <is>
          <t>ИТОГО (СМР + ОБОРУДОВАНИЕ)</t>
        </is>
      </c>
      <c r="C27" s="51">
        <f>C24+C25</f>
        <v/>
      </c>
      <c r="D27" s="52" t="n"/>
      <c r="E27" s="52">
        <f>C27/$C$40</f>
        <v/>
      </c>
    </row>
    <row r="28" ht="33" customHeight="1" s="90">
      <c r="B28" s="50" t="inlineStr">
        <is>
          <t>ПРОЧ. ЗАТР., УЧТЕННЫЕ ПОКАЗАТЕЛЕМ,  в том числе</t>
        </is>
      </c>
      <c r="C28" s="50" t="n"/>
      <c r="D28" s="50" t="n"/>
      <c r="E28" s="50" t="n"/>
    </row>
    <row r="29" ht="25.5" customHeight="1" s="90">
      <c r="B29" s="50" t="inlineStr">
        <is>
          <t>Временные здания и сооружения - 3,9%</t>
        </is>
      </c>
      <c r="C29" s="51">
        <f>ROUND(C24*3.9%,2)</f>
        <v/>
      </c>
      <c r="D29" s="50" t="n"/>
      <c r="E29" s="52" t="n">
        <v>0.039</v>
      </c>
    </row>
    <row r="30" ht="38.25" customHeight="1" s="90">
      <c r="B30" s="50" t="inlineStr">
        <is>
          <t>Дополнительные затраты при производстве строительно-монтажных работ в зимнее время - 2,1%</t>
        </is>
      </c>
      <c r="C30" s="51">
        <f>ROUND((C24+C29)*2.1%,2)</f>
        <v/>
      </c>
      <c r="D30" s="50" t="n"/>
      <c r="E30" s="52" t="n">
        <v>0.021</v>
      </c>
    </row>
    <row r="31">
      <c r="B31" s="50" t="inlineStr">
        <is>
          <t xml:space="preserve">Пусконаладочные работы </t>
        </is>
      </c>
      <c r="C31" s="51" t="n">
        <v>0</v>
      </c>
      <c r="D31" s="50" t="n"/>
      <c r="E31" s="52">
        <f>C31/$C$40</f>
        <v/>
      </c>
    </row>
    <row r="32" ht="25.5" customHeight="1" s="90">
      <c r="B32" s="50" t="inlineStr">
        <is>
          <t xml:space="preserve">Затраты по перевозке работников к месту работы и обратно </t>
        </is>
      </c>
      <c r="C32" s="51" t="n">
        <v>0</v>
      </c>
      <c r="D32" s="50" t="n"/>
      <c r="E32" s="52">
        <f>C32/$C$40</f>
        <v/>
      </c>
      <c r="G32" s="138" t="n"/>
    </row>
    <row r="33" ht="25.5" customHeight="1" s="90">
      <c r="B33" s="50" t="inlineStr">
        <is>
          <t xml:space="preserve">Затраты, связанные с осуществлением работ вахтовым методом </t>
        </is>
      </c>
      <c r="C33" s="51" t="n">
        <v>0</v>
      </c>
      <c r="D33" s="50" t="n"/>
      <c r="E33" s="52">
        <f>C33/$C$40</f>
        <v/>
      </c>
      <c r="G33" s="138" t="n"/>
    </row>
    <row r="34" ht="51" customHeight="1" s="90">
      <c r="B34" s="5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1" t="n">
        <v>0</v>
      </c>
      <c r="D34" s="50" t="n"/>
      <c r="E34" s="52">
        <f>C34/$C$40</f>
        <v/>
      </c>
      <c r="G34" s="138" t="n"/>
    </row>
    <row r="35" ht="76.5" customHeight="1" s="90">
      <c r="B35" s="5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1" t="n">
        <v>0</v>
      </c>
      <c r="D35" s="50" t="n"/>
      <c r="E35" s="52">
        <f>C35/$C$40</f>
        <v/>
      </c>
      <c r="G35" s="250" t="n"/>
    </row>
    <row r="36" ht="25.5" customHeight="1" s="90">
      <c r="B36" s="50" t="inlineStr">
        <is>
          <t>Строительный контроль и содержание службы заказчика - 2,14%</t>
        </is>
      </c>
      <c r="C36" s="51">
        <f>ROUND(SUM(C27:C35)*2.14%,2)</f>
        <v/>
      </c>
      <c r="D36" s="50" t="n"/>
      <c r="E36" s="52">
        <f>C36/$C$40</f>
        <v/>
      </c>
      <c r="G36" s="85" t="n"/>
      <c r="L36" s="20" t="n"/>
    </row>
    <row r="37">
      <c r="B37" s="50" t="inlineStr">
        <is>
          <t>Авторский надзор - 0,2%</t>
        </is>
      </c>
      <c r="C37" s="51">
        <f>ROUND(SUM(C27:C35)*0.2%,2)</f>
        <v/>
      </c>
      <c r="D37" s="50" t="n"/>
      <c r="E37" s="52">
        <f>C37/$C$40</f>
        <v/>
      </c>
      <c r="G37" s="85" t="n"/>
      <c r="L37" s="20" t="n"/>
    </row>
    <row r="38" ht="38.25" customHeight="1" s="90">
      <c r="B38" s="50" t="inlineStr">
        <is>
          <t>ИТОГО (СМР+ОБОРУДОВАНИЕ+ПРОЧ. ЗАТР., УЧТЕННЫЕ ПОКАЗАТЕЛЕМ)</t>
        </is>
      </c>
      <c r="C38" s="54">
        <f>SUM(C27:C37)</f>
        <v/>
      </c>
      <c r="D38" s="50" t="n"/>
      <c r="E38" s="52">
        <f>C38/$C$40</f>
        <v/>
      </c>
    </row>
    <row r="39" ht="13.5" customHeight="1" s="90">
      <c r="B39" s="50" t="inlineStr">
        <is>
          <t>Непредвиденные расходы</t>
        </is>
      </c>
      <c r="C39" s="54">
        <f>ROUND(C38*3%,2)</f>
        <v/>
      </c>
      <c r="D39" s="50" t="n"/>
      <c r="E39" s="52">
        <f>C39/$C$40</f>
        <v/>
      </c>
    </row>
    <row r="40">
      <c r="B40" s="50" t="inlineStr">
        <is>
          <t>ВСЕГО:</t>
        </is>
      </c>
      <c r="C40" s="54">
        <f>C39+C38</f>
        <v/>
      </c>
      <c r="D40" s="50" t="n"/>
      <c r="E40" s="52">
        <f>C40/$C$40</f>
        <v/>
      </c>
    </row>
    <row r="41">
      <c r="B41" s="50" t="inlineStr">
        <is>
          <t>ИТОГО ПОКАЗАТЕЛЬ НА ЕД. ИЗМ.</t>
        </is>
      </c>
      <c r="C41" s="54">
        <f>C40/'Прил.5 Расчет СМР и ОБ'!E95</f>
        <v/>
      </c>
      <c r="D41" s="50" t="n"/>
      <c r="E41" s="50" t="n"/>
    </row>
    <row r="42">
      <c r="B42" s="21" t="n"/>
      <c r="C42" s="88" t="n"/>
      <c r="D42" s="88" t="n"/>
      <c r="E42" s="88" t="n"/>
    </row>
    <row r="43">
      <c r="B43" s="88" t="inlineStr">
        <is>
          <t>Составил ______________________    Е. М. Добровольская</t>
        </is>
      </c>
      <c r="C43" s="77" t="n"/>
      <c r="D43" s="88" t="n"/>
      <c r="E43" s="88" t="n"/>
    </row>
    <row r="44">
      <c r="B44" s="89" t="inlineStr">
        <is>
          <t xml:space="preserve">                         (подпись, инициалы, фамилия)</t>
        </is>
      </c>
      <c r="C44" s="77" t="n"/>
      <c r="D44" s="88" t="n"/>
      <c r="E44" s="88" t="n"/>
    </row>
    <row r="45">
      <c r="B45" s="88" t="n"/>
      <c r="C45" s="77" t="n"/>
      <c r="D45" s="88" t="n"/>
      <c r="E45" s="88" t="n"/>
    </row>
    <row r="46">
      <c r="B46" s="88" t="inlineStr">
        <is>
          <t>Проверил ______________________        А.В. Костянецкая</t>
        </is>
      </c>
      <c r="C46" s="77" t="n"/>
      <c r="D46" s="88" t="n"/>
      <c r="E46" s="88" t="n"/>
    </row>
    <row r="47">
      <c r="B47" s="89" t="inlineStr">
        <is>
          <t xml:space="preserve">                        (подпись, инициалы, фамилия)</t>
        </is>
      </c>
      <c r="C47" s="77" t="n"/>
      <c r="D47" s="88" t="n"/>
      <c r="E47" s="88" t="n"/>
    </row>
    <row r="49">
      <c r="B49" s="88" t="n"/>
      <c r="C49" s="88" t="n"/>
      <c r="D49" s="88" t="n"/>
      <c r="E49" s="88" t="n"/>
    </row>
    <row r="50">
      <c r="B50" s="88" t="n"/>
      <c r="C50" s="88" t="n"/>
      <c r="D50" s="88" t="n"/>
      <c r="E50" s="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02"/>
  <sheetViews>
    <sheetView view="pageBreakPreview" topLeftCell="A90" zoomScaleSheetLayoutView="100" workbookViewId="0">
      <selection activeCell="D99" sqref="D99"/>
    </sheetView>
  </sheetViews>
  <sheetFormatPr baseColWidth="8" defaultColWidth="9.140625" defaultRowHeight="15" outlineLevelRow="1"/>
  <cols>
    <col width="5.7109375" customWidth="1" style="77" min="1" max="1"/>
    <col width="22.5703125" customWidth="1" style="77" min="2" max="2"/>
    <col width="39.140625" customWidth="1" style="77" min="3" max="3"/>
    <col width="10.7109375" customWidth="1" style="77" min="4" max="4"/>
    <col width="12.7109375" customWidth="1" style="77" min="5" max="5"/>
    <col width="14.5703125" customWidth="1" style="77" min="6" max="6"/>
    <col width="13.42578125" customWidth="1" style="77" min="7" max="7"/>
    <col width="12.7109375" customWidth="1" style="77" min="8" max="8"/>
    <col width="14.5703125" customWidth="1" style="77" min="9" max="9"/>
    <col width="15.140625" customWidth="1" style="77" min="10" max="10"/>
    <col width="30.140625" customWidth="1" style="77" min="11" max="11"/>
    <col width="18.7109375" customWidth="1" style="77" min="12" max="12"/>
    <col width="10.85546875" customWidth="1" style="77" min="13" max="13"/>
    <col width="9.140625" customWidth="1" style="77" min="14" max="14"/>
    <col width="9.140625" customWidth="1" style="90" min="15" max="15"/>
  </cols>
  <sheetData>
    <row r="2" ht="15.75" customHeight="1" s="90">
      <c r="I2" s="106" t="n"/>
      <c r="J2" s="86" t="inlineStr">
        <is>
          <t>Приложение №5</t>
        </is>
      </c>
    </row>
    <row r="4" ht="12.75" customFormat="1" customHeight="1" s="88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88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88">
      <c r="A6" s="128" t="inlineStr">
        <is>
          <t>Наименование разрабатываемого показателя УНЦ</t>
        </is>
      </c>
      <c r="B6" s="129" t="n"/>
      <c r="C6" s="129" t="n"/>
      <c r="D6" s="219" t="inlineStr">
        <is>
          <t>Устройство фундамента 750кВ</t>
        </is>
      </c>
    </row>
    <row r="7" ht="12.75" customFormat="1" customHeight="1" s="88">
      <c r="A7" s="219">
        <f>'Прил.1 Сравнит табл'!B9</f>
        <v/>
      </c>
      <c r="I7" s="204" t="n"/>
      <c r="J7" s="204" t="n"/>
    </row>
    <row r="8" ht="12.75" customFormat="1" customHeight="1" s="88"/>
    <row r="9" ht="27" customHeight="1" s="90">
      <c r="A9" s="206" t="inlineStr">
        <is>
          <t>№ пп.</t>
        </is>
      </c>
      <c r="B9" s="206" t="inlineStr">
        <is>
          <t>Код ресурса</t>
        </is>
      </c>
      <c r="C9" s="206" t="inlineStr">
        <is>
          <t>Наименование</t>
        </is>
      </c>
      <c r="D9" s="206" t="inlineStr">
        <is>
          <t>Ед. изм.</t>
        </is>
      </c>
      <c r="E9" s="206" t="inlineStr">
        <is>
          <t>Кол-во единиц по проектным данным</t>
        </is>
      </c>
      <c r="F9" s="206" t="inlineStr">
        <is>
          <t>Сметная стоимость в ценах на 01.01.2000 (руб.)</t>
        </is>
      </c>
      <c r="G9" s="236" t="n"/>
      <c r="H9" s="206" t="inlineStr">
        <is>
          <t>Удельный вес, %</t>
        </is>
      </c>
      <c r="I9" s="206" t="inlineStr">
        <is>
          <t>Сметная стоимость в ценах на 01.01.2023 (руб.)</t>
        </is>
      </c>
      <c r="J9" s="236" t="n"/>
    </row>
    <row r="10" ht="28.5" customHeight="1" s="90">
      <c r="A10" s="238" t="n"/>
      <c r="B10" s="238" t="n"/>
      <c r="C10" s="238" t="n"/>
      <c r="D10" s="238" t="n"/>
      <c r="E10" s="238" t="n"/>
      <c r="F10" s="206" t="inlineStr">
        <is>
          <t>на ед. изм.</t>
        </is>
      </c>
      <c r="G10" s="206" t="inlineStr">
        <is>
          <t>общая</t>
        </is>
      </c>
      <c r="H10" s="238" t="n"/>
      <c r="I10" s="206" t="inlineStr">
        <is>
          <t>на ед. изм.</t>
        </is>
      </c>
      <c r="J10" s="206" t="inlineStr">
        <is>
          <t>общая</t>
        </is>
      </c>
    </row>
    <row r="11">
      <c r="A11" s="206" t="n">
        <v>1</v>
      </c>
      <c r="B11" s="206" t="n">
        <v>2</v>
      </c>
      <c r="C11" s="206" t="n">
        <v>3</v>
      </c>
      <c r="D11" s="206" t="n">
        <v>4</v>
      </c>
      <c r="E11" s="206" t="n">
        <v>5</v>
      </c>
      <c r="F11" s="206" t="n">
        <v>6</v>
      </c>
      <c r="G11" s="206" t="n">
        <v>7</v>
      </c>
      <c r="H11" s="206" t="n">
        <v>8</v>
      </c>
      <c r="I11" s="206" t="n">
        <v>9</v>
      </c>
      <c r="J11" s="206" t="n">
        <v>10</v>
      </c>
    </row>
    <row r="12">
      <c r="A12" s="206" t="n"/>
      <c r="B12" s="220" t="inlineStr">
        <is>
          <t>Затраты труда рабочих-строителей</t>
        </is>
      </c>
      <c r="C12" s="235" t="n"/>
      <c r="D12" s="235" t="n"/>
      <c r="E12" s="235" t="n"/>
      <c r="F12" s="235" t="n"/>
      <c r="G12" s="235" t="n"/>
      <c r="H12" s="236" t="n"/>
      <c r="I12" s="61" t="n"/>
      <c r="J12" s="61" t="n"/>
      <c r="L12" s="251" t="n"/>
    </row>
    <row r="13" ht="25.5" customHeight="1" s="90">
      <c r="A13" s="206" t="n">
        <v>1</v>
      </c>
      <c r="B13" s="151" t="inlineStr">
        <is>
          <t>1-4-1</t>
        </is>
      </c>
      <c r="C13" s="211" t="inlineStr">
        <is>
          <t>Затраты труда рабочих-строителей среднего разряда (4,1)</t>
        </is>
      </c>
      <c r="D13" s="206" t="inlineStr">
        <is>
          <t>чел.-ч.</t>
        </is>
      </c>
      <c r="E13" s="252">
        <f>G13/F13</f>
        <v/>
      </c>
      <c r="F13" s="100" t="n">
        <v>9.76</v>
      </c>
      <c r="G13" s="100">
        <f>Прил.3!H12</f>
        <v/>
      </c>
      <c r="H13" s="221">
        <f>G13/G14</f>
        <v/>
      </c>
      <c r="I13" s="100">
        <f>'ФОТр.тек.'!E13</f>
        <v/>
      </c>
      <c r="J13" s="100">
        <f>ROUND(I13*E13,2)</f>
        <v/>
      </c>
    </row>
    <row r="14" ht="25.5" customFormat="1" customHeight="1" s="77">
      <c r="A14" s="206" t="n"/>
      <c r="B14" s="206" t="n"/>
      <c r="C14" s="220" t="inlineStr">
        <is>
          <t>Итого по разделу "Затраты труда рабочих-строителей"</t>
        </is>
      </c>
      <c r="D14" s="206" t="inlineStr">
        <is>
          <t>чел.-ч.</t>
        </is>
      </c>
      <c r="E14" s="252">
        <f>SUM(E13:E13)</f>
        <v/>
      </c>
      <c r="F14" s="100" t="n"/>
      <c r="G14" s="100">
        <f>SUM(G13:G13)</f>
        <v/>
      </c>
      <c r="H14" s="221" t="n">
        <v>1</v>
      </c>
      <c r="I14" s="100" t="n"/>
      <c r="J14" s="100">
        <f>SUM(J13:J13)</f>
        <v/>
      </c>
      <c r="L14" s="94" t="n"/>
    </row>
    <row r="15" ht="14.25" customFormat="1" customHeight="1" s="77">
      <c r="A15" s="206" t="n"/>
      <c r="B15" s="211" t="inlineStr">
        <is>
          <t>Затраты труда машинистов</t>
        </is>
      </c>
      <c r="C15" s="235" t="n"/>
      <c r="D15" s="235" t="n"/>
      <c r="E15" s="235" t="n"/>
      <c r="F15" s="235" t="n"/>
      <c r="G15" s="235" t="n"/>
      <c r="H15" s="236" t="n"/>
      <c r="I15" s="61" t="n"/>
      <c r="J15" s="61" t="n"/>
      <c r="L15" s="251" t="n"/>
    </row>
    <row r="16" ht="14.25" customFormat="1" customHeight="1" s="77">
      <c r="A16" s="206" t="n">
        <v>2</v>
      </c>
      <c r="B16" s="151" t="n">
        <v>2</v>
      </c>
      <c r="C16" s="211" t="inlineStr">
        <is>
          <t>Затраты труда машинистов</t>
        </is>
      </c>
      <c r="D16" s="206" t="inlineStr">
        <is>
          <t>чел.-ч.</t>
        </is>
      </c>
      <c r="E16" s="252">
        <f>Прил.3!F26</f>
        <v/>
      </c>
      <c r="F16" s="100">
        <f>G16/E16</f>
        <v/>
      </c>
      <c r="G16" s="100">
        <f>Прил.3!H26</f>
        <v/>
      </c>
      <c r="H16" s="221" t="n">
        <v>1</v>
      </c>
      <c r="I16" s="100">
        <f>ROUND(F16*Прил.10!D10,2)</f>
        <v/>
      </c>
      <c r="J16" s="100">
        <f>ROUND(I16*E16,2)</f>
        <v/>
      </c>
      <c r="L16" s="82" t="n"/>
    </row>
    <row r="17" ht="14.25" customFormat="1" customHeight="1" s="77">
      <c r="A17" s="206" t="n"/>
      <c r="B17" s="220" t="inlineStr">
        <is>
          <t>Машины и механизмы</t>
        </is>
      </c>
      <c r="C17" s="235" t="n"/>
      <c r="D17" s="235" t="n"/>
      <c r="E17" s="235" t="n"/>
      <c r="F17" s="235" t="n"/>
      <c r="G17" s="235" t="n"/>
      <c r="H17" s="236" t="n"/>
      <c r="I17" s="221" t="n"/>
      <c r="J17" s="221" t="n"/>
    </row>
    <row r="18" ht="14.25" customFormat="1" customHeight="1" s="77">
      <c r="A18" s="206" t="n"/>
      <c r="B18" s="211" t="inlineStr">
        <is>
          <t>Основные машины и механизмы</t>
        </is>
      </c>
      <c r="C18" s="235" t="n"/>
      <c r="D18" s="235" t="n"/>
      <c r="E18" s="235" t="n"/>
      <c r="F18" s="235" t="n"/>
      <c r="G18" s="235" t="n"/>
      <c r="H18" s="236" t="n"/>
      <c r="I18" s="61" t="n"/>
      <c r="J18" s="61" t="n"/>
    </row>
    <row r="19" ht="26.25" customFormat="1" customHeight="1" s="77">
      <c r="A19" s="206" t="n">
        <v>3</v>
      </c>
      <c r="B19" s="151" t="inlineStr">
        <is>
          <t>91.21.22-447</t>
        </is>
      </c>
      <c r="C19" s="211" t="inlineStr">
        <is>
          <t>Установки электрометаллизационные</t>
        </is>
      </c>
      <c r="D19" s="206" t="inlineStr">
        <is>
          <t>маш.час</t>
        </is>
      </c>
      <c r="E19" s="252" t="n">
        <v>461.37287552</v>
      </c>
      <c r="F19" s="100" t="n">
        <v>74.23999999999999</v>
      </c>
      <c r="G19" s="100">
        <f>ROUND(E19*F19,2)</f>
        <v/>
      </c>
      <c r="H19" s="221">
        <f>G19/$G$44</f>
        <v/>
      </c>
      <c r="I19" s="100">
        <f>ROUND(F19*Прил.10!$D$11,2)</f>
        <v/>
      </c>
      <c r="J19" s="100">
        <f>ROUND(I19*E19,2)</f>
        <v/>
      </c>
    </row>
    <row r="20" ht="25.5" customFormat="1" customHeight="1" s="77">
      <c r="A20" s="206" t="n">
        <v>4</v>
      </c>
      <c r="B20" s="151" t="inlineStr">
        <is>
          <t>91.05.05-015</t>
        </is>
      </c>
      <c r="C20" s="211" t="inlineStr">
        <is>
          <t>Краны на автомобильном ходу, грузоподъемность 16 т</t>
        </is>
      </c>
      <c r="D20" s="206" t="inlineStr">
        <is>
          <t>маш.час</t>
        </is>
      </c>
      <c r="E20" s="252" t="n">
        <v>90.5403628</v>
      </c>
      <c r="F20" s="100" t="n">
        <v>115.4</v>
      </c>
      <c r="G20" s="100">
        <f>ROUND(E20*F20,2)</f>
        <v/>
      </c>
      <c r="H20" s="221">
        <f>G20/$G$44</f>
        <v/>
      </c>
      <c r="I20" s="100">
        <f>ROUND(F20*Прил.10!$D$11,2)</f>
        <v/>
      </c>
      <c r="J20" s="100">
        <f>ROUND(I20*E20,2)</f>
        <v/>
      </c>
    </row>
    <row r="21" ht="25.5" customFormat="1" customHeight="1" s="77">
      <c r="A21" s="206" t="n">
        <v>5</v>
      </c>
      <c r="B21" s="151" t="inlineStr">
        <is>
          <t>91.14.03-002</t>
        </is>
      </c>
      <c r="C21" s="211" t="inlineStr">
        <is>
          <t>Автомобили-самосвалы, грузоподъемность до 10 т</t>
        </is>
      </c>
      <c r="D21" s="206" t="inlineStr">
        <is>
          <t>маш.-ч</t>
        </is>
      </c>
      <c r="E21" s="252" t="n">
        <v>100.364</v>
      </c>
      <c r="F21" s="100" t="n">
        <v>87.48999999999999</v>
      </c>
      <c r="G21" s="100">
        <f>ROUND(E21*F21,2)</f>
        <v/>
      </c>
      <c r="H21" s="221">
        <f>G21/$G$44</f>
        <v/>
      </c>
      <c r="I21" s="100">
        <f>ROUND(F21*Прил.10!$D$11,2)</f>
        <v/>
      </c>
      <c r="J21" s="100">
        <f>ROUND(I21*E21,2)</f>
        <v/>
      </c>
    </row>
    <row r="22" ht="25.5" customFormat="1" customHeight="1" s="77">
      <c r="A22" s="206" t="n">
        <v>6</v>
      </c>
      <c r="B22" s="151" t="inlineStr">
        <is>
          <t>91.14.02-001</t>
        </is>
      </c>
      <c r="C22" s="211" t="inlineStr">
        <is>
          <t>Автомобили бортовые, грузоподъемность до 5 т</t>
        </is>
      </c>
      <c r="D22" s="206" t="inlineStr">
        <is>
          <t>маш.час</t>
        </is>
      </c>
      <c r="E22" s="252" t="n">
        <v>36.42934412</v>
      </c>
      <c r="F22" s="100" t="n">
        <v>65.70999999999999</v>
      </c>
      <c r="G22" s="100">
        <f>ROUND(E22*F22,2)</f>
        <v/>
      </c>
      <c r="H22" s="221">
        <f>G22/$G$44</f>
        <v/>
      </c>
      <c r="I22" s="100">
        <f>ROUND(F22*Прил.10!$D$11,2)</f>
        <v/>
      </c>
      <c r="J22" s="100">
        <f>ROUND(I22*E22,2)</f>
        <v/>
      </c>
    </row>
    <row r="23" ht="14.25" customFormat="1" customHeight="1" s="77">
      <c r="A23" s="206" t="n"/>
      <c r="B23" s="151" t="n"/>
      <c r="C23" s="211" t="inlineStr">
        <is>
          <t>Итого основные машины и механизмы</t>
        </is>
      </c>
      <c r="D23" s="206" t="n"/>
      <c r="E23" s="252" t="n"/>
      <c r="F23" s="100" t="n"/>
      <c r="G23" s="100">
        <f>SUM(G19:G22)</f>
        <v/>
      </c>
      <c r="H23" s="221">
        <f>G23/G44</f>
        <v/>
      </c>
      <c r="I23" s="100" t="n"/>
      <c r="J23" s="100">
        <f>SUM(J19:J22)</f>
        <v/>
      </c>
      <c r="L23" s="253" t="n"/>
    </row>
    <row r="24" outlineLevel="1" ht="38.25" customFormat="1" customHeight="1" s="77">
      <c r="A24" s="206" t="n">
        <v>7</v>
      </c>
      <c r="B24" s="151" t="inlineStr">
        <is>
          <t>91.06.05-057</t>
        </is>
      </c>
      <c r="C24" s="211" t="inlineStr">
        <is>
          <t>Погрузчики одноковшовые универсальные фронтальные пневмоколесные, грузоподъемность 3 т</t>
        </is>
      </c>
      <c r="D24" s="206" t="inlineStr">
        <is>
          <t>маш.час</t>
        </is>
      </c>
      <c r="E24" s="252" t="n">
        <v>18.69</v>
      </c>
      <c r="F24" s="100" t="n">
        <v>90.40000000000001</v>
      </c>
      <c r="G24" s="100">
        <f>ROUND(E24*F24,2)</f>
        <v/>
      </c>
      <c r="H24" s="221">
        <f>G24/$G$44</f>
        <v/>
      </c>
      <c r="I24" s="100">
        <f>ROUND(F24*Прил.10!$D$11,2)</f>
        <v/>
      </c>
      <c r="J24" s="100">
        <f>ROUND(I24*E24,2)</f>
        <v/>
      </c>
      <c r="L24" s="253" t="n"/>
    </row>
    <row r="25" outlineLevel="1" ht="38.25" customFormat="1" customHeight="1" s="77">
      <c r="A25" s="206" t="n">
        <v>8</v>
      </c>
      <c r="B25" s="151" t="inlineStr">
        <is>
          <t>91.17.04-036</t>
        </is>
      </c>
      <c r="C25" s="211" t="inlineStr">
        <is>
          <t>Агрегаты сварочные передвижные с дизельным двигателем, номинальный сварочный ток 250-400 А</t>
        </is>
      </c>
      <c r="D25" s="206" t="inlineStr">
        <is>
          <t>маш.час</t>
        </is>
      </c>
      <c r="E25" s="252" t="n">
        <v>88.47472500000001</v>
      </c>
      <c r="F25" s="100" t="n">
        <v>14</v>
      </c>
      <c r="G25" s="100">
        <f>ROUND(E25*F25,2)</f>
        <v/>
      </c>
      <c r="H25" s="221">
        <f>G25/$G$44</f>
        <v/>
      </c>
      <c r="I25" s="100">
        <f>ROUND(F25*Прил.10!$D$11,2)</f>
        <v/>
      </c>
      <c r="J25" s="100">
        <f>ROUND(I25*E25,2)</f>
        <v/>
      </c>
      <c r="L25" s="253" t="n"/>
    </row>
    <row r="26" outlineLevel="1" ht="25.5" customFormat="1" customHeight="1" s="77">
      <c r="A26" s="206" t="n">
        <v>9</v>
      </c>
      <c r="B26" s="151" t="inlineStr">
        <is>
          <t>91.05.06-012</t>
        </is>
      </c>
      <c r="C26" s="211" t="inlineStr">
        <is>
          <t>Краны на гусеничном ходу, грузоподъемность до 16 т</t>
        </is>
      </c>
      <c r="D26" s="206" t="inlineStr">
        <is>
          <t>маш.час</t>
        </is>
      </c>
      <c r="E26" s="252" t="n">
        <v>12.505344</v>
      </c>
      <c r="F26" s="100" t="n">
        <v>96.89</v>
      </c>
      <c r="G26" s="100">
        <f>ROUND(E26*F26,2)</f>
        <v/>
      </c>
      <c r="H26" s="221">
        <f>G26/$G$44</f>
        <v/>
      </c>
      <c r="I26" s="100">
        <f>ROUND(F26*Прил.10!$D$11,2)</f>
        <v/>
      </c>
      <c r="J26" s="100">
        <f>ROUND(I26*E26,2)</f>
        <v/>
      </c>
      <c r="L26" s="253" t="n"/>
    </row>
    <row r="27" outlineLevel="1" ht="25.5" customFormat="1" customHeight="1" s="77">
      <c r="A27" s="206" t="n">
        <v>10</v>
      </c>
      <c r="B27" s="151" t="inlineStr">
        <is>
          <t>91.21.20-013</t>
        </is>
      </c>
      <c r="C27" s="211" t="inlineStr">
        <is>
          <t>Установки для сверления отверстий в железобетоне диаметром до 250 мм</t>
        </is>
      </c>
      <c r="D27" s="206" t="inlineStr">
        <is>
          <t>маш.час</t>
        </is>
      </c>
      <c r="E27" s="252" t="n">
        <v>43.4928</v>
      </c>
      <c r="F27" s="100" t="n">
        <v>27.42</v>
      </c>
      <c r="G27" s="100">
        <f>ROUND(E27*F27,2)</f>
        <v/>
      </c>
      <c r="H27" s="221">
        <f>G27/$G$44</f>
        <v/>
      </c>
      <c r="I27" s="100">
        <f>ROUND(F27*Прил.10!$D$11,2)</f>
        <v/>
      </c>
      <c r="J27" s="100">
        <f>ROUND(I27*E27,2)</f>
        <v/>
      </c>
      <c r="L27" s="253" t="n"/>
    </row>
    <row r="28" outlineLevel="1" ht="38.25" customFormat="1" customHeight="1" s="77">
      <c r="A28" s="206" t="n">
        <v>11</v>
      </c>
      <c r="B28" s="151" t="inlineStr">
        <is>
          <t>91.01.05-085</t>
        </is>
      </c>
      <c r="C28" s="211" t="inlineStr">
        <is>
          <t>Экскаваторы одноковшовые дизельные на гусеничном ходу, емкость ковша 0,5 м3</t>
        </is>
      </c>
      <c r="D28" s="206" t="inlineStr">
        <is>
          <t>маш.час</t>
        </is>
      </c>
      <c r="E28" s="252" t="n">
        <v>11.115</v>
      </c>
      <c r="F28" s="100" t="n">
        <v>100</v>
      </c>
      <c r="G28" s="100">
        <f>ROUND(E28*F28,2)</f>
        <v/>
      </c>
      <c r="H28" s="221">
        <f>G28/$G$44</f>
        <v/>
      </c>
      <c r="I28" s="100">
        <f>ROUND(F28*Прил.10!$D$11,2)</f>
        <v/>
      </c>
      <c r="J28" s="100">
        <f>ROUND(I28*E28,2)</f>
        <v/>
      </c>
      <c r="L28" s="253" t="n"/>
    </row>
    <row r="29" outlineLevel="1" ht="25.5" customFormat="1" customHeight="1" s="77">
      <c r="A29" s="206" t="n">
        <v>12</v>
      </c>
      <c r="B29" s="151" t="inlineStr">
        <is>
          <t>91.08.09-024</t>
        </is>
      </c>
      <c r="C29" s="211" t="inlineStr">
        <is>
          <t>Трамбовки пневматические при работе от стационарного компрессора</t>
        </is>
      </c>
      <c r="D29" s="206" t="inlineStr">
        <is>
          <t>маш.час</t>
        </is>
      </c>
      <c r="E29" s="252" t="n">
        <v>99.7824</v>
      </c>
      <c r="F29" s="100" t="n">
        <v>4.91</v>
      </c>
      <c r="G29" s="100">
        <f>ROUND(E29*F29,2)</f>
        <v/>
      </c>
      <c r="H29" s="221">
        <f>G29/$G$44</f>
        <v/>
      </c>
      <c r="I29" s="100">
        <f>ROUND(F29*Прил.10!$D$11,2)</f>
        <v/>
      </c>
      <c r="J29" s="100">
        <f>ROUND(I29*E29,2)</f>
        <v/>
      </c>
      <c r="L29" s="253" t="n"/>
    </row>
    <row r="30" outlineLevel="1" ht="14.25" customFormat="1" customHeight="1" s="77">
      <c r="A30" s="206" t="n">
        <v>13</v>
      </c>
      <c r="B30" s="151" t="inlineStr">
        <is>
          <t>91.06.05-011</t>
        </is>
      </c>
      <c r="C30" s="211" t="inlineStr">
        <is>
          <t>Погрузчики, грузоподъемность 5 т</t>
        </is>
      </c>
      <c r="D30" s="206" t="inlineStr">
        <is>
          <t>маш.час</t>
        </is>
      </c>
      <c r="E30" s="252" t="n">
        <v>5.09529248</v>
      </c>
      <c r="F30" s="100" t="n">
        <v>89.98999999999999</v>
      </c>
      <c r="G30" s="100">
        <f>ROUND(E30*F30,2)</f>
        <v/>
      </c>
      <c r="H30" s="221">
        <f>G30/$G$44</f>
        <v/>
      </c>
      <c r="I30" s="100">
        <f>ROUND(F30*Прил.10!$D$11,2)</f>
        <v/>
      </c>
      <c r="J30" s="100">
        <f>ROUND(I30*E30,2)</f>
        <v/>
      </c>
      <c r="L30" s="253" t="n"/>
    </row>
    <row r="31" outlineLevel="1" ht="14.25" customFormat="1" customHeight="1" s="77">
      <c r="A31" s="206" t="n">
        <v>14</v>
      </c>
      <c r="B31" s="151" t="inlineStr">
        <is>
          <t>91.05.01-017</t>
        </is>
      </c>
      <c r="C31" s="211" t="inlineStr">
        <is>
          <t>Краны башенные, грузоподъемность 8 т</t>
        </is>
      </c>
      <c r="D31" s="206" t="inlineStr">
        <is>
          <t>маш.час</t>
        </is>
      </c>
      <c r="E31" s="252" t="n">
        <v>2.2356</v>
      </c>
      <c r="F31" s="100" t="n">
        <v>86.40000000000001</v>
      </c>
      <c r="G31" s="100">
        <f>ROUND(E31*F31,2)</f>
        <v/>
      </c>
      <c r="H31" s="221">
        <f>G31/$G$44</f>
        <v/>
      </c>
      <c r="I31" s="100">
        <f>ROUND(F31*Прил.10!$D$11,2)</f>
        <v/>
      </c>
      <c r="J31" s="100">
        <f>ROUND(I31*E31,2)</f>
        <v/>
      </c>
      <c r="L31" s="253" t="n"/>
    </row>
    <row r="32" outlineLevel="1" ht="51" customFormat="1" customHeight="1" s="77">
      <c r="A32" s="206" t="n">
        <v>15</v>
      </c>
      <c r="B32" s="151" t="inlineStr">
        <is>
          <t>91.18.01-007</t>
        </is>
      </c>
      <c r="C32" s="21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2" s="206" t="inlineStr">
        <is>
          <t>маш.час</t>
        </is>
      </c>
      <c r="E32" s="252" t="n">
        <v>2.028928</v>
      </c>
      <c r="F32" s="100" t="n">
        <v>90</v>
      </c>
      <c r="G32" s="100">
        <f>ROUND(E32*F32,2)</f>
        <v/>
      </c>
      <c r="H32" s="221">
        <f>G32/$G$44</f>
        <v/>
      </c>
      <c r="I32" s="100">
        <f>ROUND(F32*Прил.10!$D$11,2)</f>
        <v/>
      </c>
      <c r="J32" s="100">
        <f>ROUND(I32*E32,2)</f>
        <v/>
      </c>
      <c r="L32" s="253" t="n"/>
    </row>
    <row r="33" outlineLevel="1" ht="25.5" customFormat="1" customHeight="1" s="77">
      <c r="A33" s="206" t="n">
        <v>16</v>
      </c>
      <c r="B33" s="151" t="inlineStr">
        <is>
          <t>91.17.04-233</t>
        </is>
      </c>
      <c r="C33" s="211" t="inlineStr">
        <is>
          <t>Установки для сварки ручной дуговой (постоянного тока)</t>
        </is>
      </c>
      <c r="D33" s="206" t="inlineStr">
        <is>
          <t>маш.час</t>
        </is>
      </c>
      <c r="E33" s="252" t="n">
        <v>15.83232</v>
      </c>
      <c r="F33" s="100" t="n">
        <v>8.1</v>
      </c>
      <c r="G33" s="100">
        <f>ROUND(E33*F33,2)</f>
        <v/>
      </c>
      <c r="H33" s="221">
        <f>G33/$G$44</f>
        <v/>
      </c>
      <c r="I33" s="100">
        <f>ROUND(F33*Прил.10!$D$11,2)</f>
        <v/>
      </c>
      <c r="J33" s="100">
        <f>ROUND(I33*E33,2)</f>
        <v/>
      </c>
      <c r="L33" s="253" t="n"/>
    </row>
    <row r="34" outlineLevel="1" ht="25.5" customFormat="1" customHeight="1" s="77">
      <c r="A34" s="206" t="n">
        <v>17</v>
      </c>
      <c r="B34" s="151" t="inlineStr">
        <is>
          <t>91.14.02-002</t>
        </is>
      </c>
      <c r="C34" s="211" t="inlineStr">
        <is>
          <t>Автомобили бортовые, грузоподъемность до 8 т</t>
        </is>
      </c>
      <c r="D34" s="206" t="inlineStr">
        <is>
          <t>маш.час</t>
        </is>
      </c>
      <c r="E34" s="252" t="n">
        <v>0.4732596</v>
      </c>
      <c r="F34" s="100" t="n">
        <v>85.84</v>
      </c>
      <c r="G34" s="100">
        <f>ROUND(E34*F34,2)</f>
        <v/>
      </c>
      <c r="H34" s="221">
        <f>G34/$G$44</f>
        <v/>
      </c>
      <c r="I34" s="100">
        <f>ROUND(F34*Прил.10!$D$11,2)</f>
        <v/>
      </c>
      <c r="J34" s="100">
        <f>ROUND(I34*E34,2)</f>
        <v/>
      </c>
      <c r="L34" s="253" t="n"/>
    </row>
    <row r="35" outlineLevel="1" ht="14.25" customFormat="1" customHeight="1" s="77">
      <c r="A35" s="206" t="n">
        <v>18</v>
      </c>
      <c r="B35" s="151" t="inlineStr">
        <is>
          <t>91.08.04-021</t>
        </is>
      </c>
      <c r="C35" s="211" t="inlineStr">
        <is>
          <t>Котлы битумные передвижные 400 л</t>
        </is>
      </c>
      <c r="D35" s="206" t="inlineStr">
        <is>
          <t>маш.час</t>
        </is>
      </c>
      <c r="E35" s="252" t="n">
        <v>0.779688</v>
      </c>
      <c r="F35" s="100" t="n">
        <v>30</v>
      </c>
      <c r="G35" s="100">
        <f>ROUND(E35*F35,2)</f>
        <v/>
      </c>
      <c r="H35" s="221">
        <f>G35/$G$44</f>
        <v/>
      </c>
      <c r="I35" s="100">
        <f>ROUND(F35*Прил.10!$D$11,2)</f>
        <v/>
      </c>
      <c r="J35" s="100">
        <f>ROUND(I35*E35,2)</f>
        <v/>
      </c>
      <c r="L35" s="253" t="n"/>
    </row>
    <row r="36" outlineLevel="1" ht="14.25" customFormat="1" customHeight="1" s="77">
      <c r="A36" s="206" t="n">
        <v>19</v>
      </c>
      <c r="B36" s="151" t="inlineStr">
        <is>
          <t>91.01.01-035</t>
        </is>
      </c>
      <c r="C36" s="211" t="inlineStr">
        <is>
          <t>Бульдозеры, мощность 79 кВт (108 л.с.)</t>
        </is>
      </c>
      <c r="D36" s="206" t="inlineStr">
        <is>
          <t>маш.час</t>
        </is>
      </c>
      <c r="E36" s="252" t="n">
        <v>0.294272</v>
      </c>
      <c r="F36" s="100" t="n">
        <v>79.06999999999999</v>
      </c>
      <c r="G36" s="100">
        <f>ROUND(E36*F36,2)</f>
        <v/>
      </c>
      <c r="H36" s="221">
        <f>G36/$G$44</f>
        <v/>
      </c>
      <c r="I36" s="100">
        <f>ROUND(F36*Прил.10!$D$11,2)</f>
        <v/>
      </c>
      <c r="J36" s="100">
        <f>ROUND(I36*E36,2)</f>
        <v/>
      </c>
      <c r="L36" s="253" t="n"/>
    </row>
    <row r="37" outlineLevel="1" ht="14.25" customFormat="1" customHeight="1" s="77">
      <c r="A37" s="206" t="n">
        <v>20</v>
      </c>
      <c r="B37" s="151" t="inlineStr">
        <is>
          <t>91.07.04-001</t>
        </is>
      </c>
      <c r="C37" s="211" t="inlineStr">
        <is>
          <t>Вибраторы глубинные</t>
        </is>
      </c>
      <c r="D37" s="206" t="inlineStr">
        <is>
          <t>маш.час</t>
        </is>
      </c>
      <c r="E37" s="252" t="n">
        <v>9.4848</v>
      </c>
      <c r="F37" s="100" t="n">
        <v>1.9</v>
      </c>
      <c r="G37" s="100">
        <f>ROUND(E37*F37,2)</f>
        <v/>
      </c>
      <c r="H37" s="221">
        <f>G37/$G$44</f>
        <v/>
      </c>
      <c r="I37" s="100">
        <f>ROUND(F37*Прил.10!$D$11,2)</f>
        <v/>
      </c>
      <c r="J37" s="100">
        <f>ROUND(I37*E37,2)</f>
        <v/>
      </c>
      <c r="L37" s="253" t="n"/>
    </row>
    <row r="38" outlineLevel="1" ht="38.25" customFormat="1" customHeight="1" s="77">
      <c r="A38" s="206" t="n">
        <v>21</v>
      </c>
      <c r="B38" s="151" t="inlineStr">
        <is>
          <t>91.21.01-012</t>
        </is>
      </c>
      <c r="C38" s="211" t="inlineStr">
        <is>
          <t>Агрегаты окрасочные высокого давления для окраски поверхностей конструкций, мощность 1 кВт</t>
        </is>
      </c>
      <c r="D38" s="206" t="inlineStr">
        <is>
          <t>маш.час</t>
        </is>
      </c>
      <c r="E38" s="252" t="n">
        <v>0.6888840000000001</v>
      </c>
      <c r="F38" s="100" t="n">
        <v>6.82</v>
      </c>
      <c r="G38" s="100">
        <f>ROUND(E38*F38,2)</f>
        <v/>
      </c>
      <c r="H38" s="221">
        <f>G38/$G$44</f>
        <v/>
      </c>
      <c r="I38" s="100">
        <f>ROUND(F38*Прил.10!$D$11,2)</f>
        <v/>
      </c>
      <c r="J38" s="100">
        <f>ROUND(I38*E38,2)</f>
        <v/>
      </c>
      <c r="L38" s="253" t="n"/>
    </row>
    <row r="39" outlineLevel="1" ht="25.5" customFormat="1" customHeight="1" s="77">
      <c r="A39" s="206" t="n">
        <v>22</v>
      </c>
      <c r="B39" s="151" t="inlineStr">
        <is>
          <t>91.08.09-023</t>
        </is>
      </c>
      <c r="C39" s="211" t="inlineStr">
        <is>
          <t>Трамбовки пневматические при работе от передвижных компрессорных станций</t>
        </is>
      </c>
      <c r="D39" s="206" t="inlineStr">
        <is>
          <t>маш.час</t>
        </is>
      </c>
      <c r="E39" s="252" t="n">
        <v>8.1312</v>
      </c>
      <c r="F39" s="100" t="n">
        <v>0.55</v>
      </c>
      <c r="G39" s="100">
        <f>ROUND(E39*F39,2)</f>
        <v/>
      </c>
      <c r="H39" s="221">
        <f>G39/$G$44</f>
        <v/>
      </c>
      <c r="I39" s="100">
        <f>ROUND(F39*Прил.10!$D$11,2)</f>
        <v/>
      </c>
      <c r="J39" s="100">
        <f>ROUND(I39*E39,2)</f>
        <v/>
      </c>
      <c r="L39" s="253" t="n"/>
    </row>
    <row r="40" outlineLevel="1" ht="25.5" customFormat="1" customHeight="1" s="77">
      <c r="A40" s="206" t="n">
        <v>23</v>
      </c>
      <c r="B40" s="151" t="inlineStr">
        <is>
          <t>91.21.22-638</t>
        </is>
      </c>
      <c r="C40" s="211" t="inlineStr">
        <is>
          <t>Пылесосы промышленные, мощность до 2000 Вт</t>
        </is>
      </c>
      <c r="D40" s="206" t="inlineStr">
        <is>
          <t>маш.час</t>
        </is>
      </c>
      <c r="E40" s="252" t="n">
        <v>1.1676</v>
      </c>
      <c r="F40" s="100" t="n">
        <v>3.29</v>
      </c>
      <c r="G40" s="100">
        <f>ROUND(E40*F40,2)</f>
        <v/>
      </c>
      <c r="H40" s="221">
        <f>G40/$G$44</f>
        <v/>
      </c>
      <c r="I40" s="100">
        <f>ROUND(F40*Прил.10!$D$11,2)</f>
        <v/>
      </c>
      <c r="J40" s="100">
        <f>ROUND(I40*E40,2)</f>
        <v/>
      </c>
      <c r="L40" s="253" t="n"/>
    </row>
    <row r="41" outlineLevel="1" ht="14.25" customFormat="1" customHeight="1" s="77">
      <c r="A41" s="206" t="n">
        <v>24</v>
      </c>
      <c r="B41" s="151" t="inlineStr">
        <is>
          <t>91.07.04-002</t>
        </is>
      </c>
      <c r="C41" s="211" t="inlineStr">
        <is>
          <t>Вибраторы поверхностные</t>
        </is>
      </c>
      <c r="D41" s="206" t="inlineStr">
        <is>
          <t>маш.час</t>
        </is>
      </c>
      <c r="E41" s="252" t="n">
        <v>1.3474778</v>
      </c>
      <c r="F41" s="100" t="n">
        <v>0.5</v>
      </c>
      <c r="G41" s="100">
        <f>ROUND(E41*F41,2)</f>
        <v/>
      </c>
      <c r="H41" s="221">
        <f>G41/$G$44</f>
        <v/>
      </c>
      <c r="I41" s="100">
        <f>ROUND(F41*Прил.10!$D$11,2)</f>
        <v/>
      </c>
      <c r="J41" s="100">
        <f>ROUND(I41*E41,2)</f>
        <v/>
      </c>
      <c r="L41" s="253" t="n"/>
    </row>
    <row r="42" outlineLevel="1" ht="25.5" customFormat="1" customHeight="1" s="77">
      <c r="A42" s="206" t="n">
        <v>25</v>
      </c>
      <c r="B42" s="151" t="inlineStr">
        <is>
          <t>91.06.03-060</t>
        </is>
      </c>
      <c r="C42" s="211" t="inlineStr">
        <is>
          <t>Лебедки электрические тяговым усилием до 5,79 кН (0,59 т)</t>
        </is>
      </c>
      <c r="D42" s="206" t="inlineStr">
        <is>
          <t>маш.час</t>
        </is>
      </c>
      <c r="E42" s="252" t="n">
        <v>0.0070056</v>
      </c>
      <c r="F42" s="100" t="n">
        <v>1.7</v>
      </c>
      <c r="G42" s="100">
        <f>ROUND(E42*F42,2)</f>
        <v/>
      </c>
      <c r="H42" s="221">
        <f>G42/$G$44</f>
        <v/>
      </c>
      <c r="I42" s="100">
        <f>ROUND(F42*Прил.10!$D$11,2)</f>
        <v/>
      </c>
      <c r="J42" s="100">
        <f>ROUND(I42*E42,2)</f>
        <v/>
      </c>
      <c r="L42" s="253" t="n"/>
    </row>
    <row r="43" ht="14.25" customFormat="1" customHeight="1" s="77">
      <c r="A43" s="206" t="n"/>
      <c r="B43" s="206" t="n"/>
      <c r="C43" s="211" t="inlineStr">
        <is>
          <t>Итого прочие машины и механизмы</t>
        </is>
      </c>
      <c r="D43" s="206" t="n"/>
      <c r="E43" s="212" t="n"/>
      <c r="F43" s="100" t="n"/>
      <c r="G43" s="100">
        <f>SUM(G24:G42)</f>
        <v/>
      </c>
      <c r="H43" s="221">
        <f>G43/G44</f>
        <v/>
      </c>
      <c r="I43" s="100" t="n"/>
      <c r="J43" s="100">
        <f>SUM(J24:J42)</f>
        <v/>
      </c>
      <c r="K43" s="253" t="n"/>
      <c r="L43" s="251" t="n"/>
    </row>
    <row r="44" ht="25.5" customFormat="1" customHeight="1" s="77">
      <c r="A44" s="206" t="n"/>
      <c r="B44" s="207" t="n"/>
      <c r="C44" s="215" t="inlineStr">
        <is>
          <t>Итого по разделу «Машины и механизмы»</t>
        </is>
      </c>
      <c r="D44" s="207" t="n"/>
      <c r="E44" s="74" t="n"/>
      <c r="F44" s="75" t="n"/>
      <c r="G44" s="75">
        <f>G23+G43</f>
        <v/>
      </c>
      <c r="H44" s="76" t="n">
        <v>1</v>
      </c>
      <c r="I44" s="75" t="n"/>
      <c r="J44" s="75">
        <f>J23+J43</f>
        <v/>
      </c>
    </row>
    <row r="45" s="90">
      <c r="A45" s="97" t="n"/>
      <c r="B45" s="215" t="inlineStr">
        <is>
          <t xml:space="preserve">Оборудование </t>
        </is>
      </c>
      <c r="C45" s="254" t="n"/>
      <c r="D45" s="254" t="n"/>
      <c r="E45" s="254" t="n"/>
      <c r="F45" s="254" t="n"/>
      <c r="G45" s="254" t="n"/>
      <c r="H45" s="254" t="n"/>
      <c r="I45" s="254" t="n"/>
      <c r="J45" s="255" t="n"/>
      <c r="K45" s="77" t="n"/>
      <c r="L45" s="77" t="n"/>
      <c r="M45" s="77" t="n"/>
      <c r="N45" s="77" t="n"/>
    </row>
    <row r="46" ht="15" customHeight="1" s="90">
      <c r="A46" s="206" t="n"/>
      <c r="B46" s="211" t="inlineStr">
        <is>
          <t>Основное оборудование</t>
        </is>
      </c>
      <c r="C46" s="235" t="n"/>
      <c r="D46" s="235" t="n"/>
      <c r="E46" s="235" t="n"/>
      <c r="F46" s="235" t="n"/>
      <c r="G46" s="235" t="n"/>
      <c r="H46" s="235" t="n"/>
      <c r="I46" s="235" t="n"/>
      <c r="J46" s="236" t="n"/>
      <c r="K46" s="77" t="n"/>
      <c r="L46" s="77" t="n"/>
      <c r="M46" s="77" t="n"/>
      <c r="N46" s="77" t="n"/>
    </row>
    <row r="47" s="90">
      <c r="A47" s="101" t="n"/>
      <c r="B47" s="206" t="n"/>
      <c r="C47" s="211" t="inlineStr">
        <is>
          <t>Итого основное оборудование</t>
        </is>
      </c>
      <c r="D47" s="206" t="n"/>
      <c r="E47" s="252" t="n"/>
      <c r="F47" s="213" t="n"/>
      <c r="G47" s="100" t="n">
        <v>0</v>
      </c>
      <c r="H47" s="221" t="n"/>
      <c r="I47" s="100" t="n"/>
      <c r="J47" s="100" t="n">
        <v>0</v>
      </c>
      <c r="K47" s="253" t="n"/>
      <c r="L47" s="77" t="n"/>
      <c r="M47" s="77" t="n"/>
      <c r="N47" s="77" t="n"/>
    </row>
    <row r="48" s="90">
      <c r="A48" s="101" t="n"/>
      <c r="B48" s="206" t="n"/>
      <c r="C48" s="211" t="inlineStr">
        <is>
          <t>Итого прочее оборудование</t>
        </is>
      </c>
      <c r="D48" s="206" t="n"/>
      <c r="E48" s="212" t="n"/>
      <c r="F48" s="213" t="n"/>
      <c r="G48" s="100" t="n">
        <v>0</v>
      </c>
      <c r="H48" s="221" t="n"/>
      <c r="I48" s="100" t="n"/>
      <c r="J48" s="100" t="n">
        <v>0</v>
      </c>
      <c r="K48" s="253" t="n"/>
      <c r="L48" s="256" t="n"/>
      <c r="M48" s="77" t="n"/>
      <c r="N48" s="77" t="n"/>
    </row>
    <row r="49" s="90">
      <c r="A49" s="206" t="n"/>
      <c r="B49" s="206" t="n"/>
      <c r="C49" s="220" t="inlineStr">
        <is>
          <t>Итого по разделу «Оборудование»</t>
        </is>
      </c>
      <c r="D49" s="206" t="n"/>
      <c r="E49" s="212" t="n"/>
      <c r="F49" s="213" t="n"/>
      <c r="G49" s="100">
        <f>G47+G48</f>
        <v/>
      </c>
      <c r="H49" s="221" t="n"/>
      <c r="I49" s="100" t="n"/>
      <c r="J49" s="100">
        <f>J48+J47</f>
        <v/>
      </c>
      <c r="K49" s="253" t="n"/>
      <c r="L49" s="77" t="n"/>
      <c r="M49" s="77" t="n"/>
      <c r="N49" s="77" t="n"/>
    </row>
    <row r="50" ht="25.5" customHeight="1" s="90">
      <c r="A50" s="206" t="n"/>
      <c r="B50" s="206" t="n"/>
      <c r="C50" s="211" t="inlineStr">
        <is>
          <t>в том числе технологическое оборудование</t>
        </is>
      </c>
      <c r="D50" s="206" t="n"/>
      <c r="E50" s="212" t="n"/>
      <c r="F50" s="213" t="n"/>
      <c r="G50" s="100" t="n">
        <v>0</v>
      </c>
      <c r="H50" s="221" t="n"/>
      <c r="I50" s="100" t="n"/>
      <c r="J50" s="100">
        <f>ROUND(G50*Прил.10!$D$13,2)</f>
        <v/>
      </c>
      <c r="K50" s="253" t="n"/>
      <c r="L50" s="77" t="n"/>
      <c r="M50" s="77" t="n"/>
      <c r="N50" s="77" t="n"/>
    </row>
    <row r="51" ht="14.25" customFormat="1" customHeight="1" s="77">
      <c r="A51" s="208" t="n"/>
      <c r="B51" s="257" t="inlineStr">
        <is>
          <t>Материалы</t>
        </is>
      </c>
      <c r="J51" s="258" t="n"/>
      <c r="K51" s="253" t="n"/>
    </row>
    <row r="52" ht="14.25" customFormat="1" customHeight="1" s="77">
      <c r="A52" s="206" t="n"/>
      <c r="B52" s="211" t="inlineStr">
        <is>
          <t>Основные материалы</t>
        </is>
      </c>
      <c r="C52" s="235" t="n"/>
      <c r="D52" s="235" t="n"/>
      <c r="E52" s="235" t="n"/>
      <c r="F52" s="235" t="n"/>
      <c r="G52" s="235" t="n"/>
      <c r="H52" s="236" t="n"/>
      <c r="I52" s="221" t="n"/>
      <c r="J52" s="221" t="n"/>
    </row>
    <row r="53" ht="25.5" customFormat="1" customHeight="1" s="149">
      <c r="A53" s="206" t="n">
        <v>26</v>
      </c>
      <c r="B53" s="151" t="inlineStr">
        <is>
          <t>04.1.02.05-0009</t>
        </is>
      </c>
      <c r="C53" s="211" t="inlineStr">
        <is>
          <t>Смеси бетонные тяжелого бетона (БСТ), класс B25 (М350)</t>
        </is>
      </c>
      <c r="D53" s="206" t="inlineStr">
        <is>
          <t>м3</t>
        </is>
      </c>
      <c r="E53" s="252" t="n">
        <v>185.136</v>
      </c>
      <c r="F53" s="100" t="n">
        <v>725.6900000000001</v>
      </c>
      <c r="G53" s="100">
        <f>ROUND(E53*F53,2)</f>
        <v/>
      </c>
      <c r="H53" s="221">
        <f>G53/$G$89</f>
        <v/>
      </c>
      <c r="I53" s="100">
        <f>ROUND(F53*Прил.10!$D$12,2)</f>
        <v/>
      </c>
      <c r="J53" s="100">
        <f>ROUND(I53*E53,2)</f>
        <v/>
      </c>
      <c r="L53" s="77" t="n"/>
    </row>
    <row r="54" ht="25.5" customFormat="1" customHeight="1" s="149">
      <c r="A54" s="206" t="n">
        <v>27</v>
      </c>
      <c r="B54" s="151" t="inlineStr">
        <is>
          <t>01.7.15.01-0091</t>
        </is>
      </c>
      <c r="C54" s="211" t="inlineStr">
        <is>
          <t>Шпилька анкерная Hilti: HAS-E М24/210/54 для использования с капсулами HVU</t>
        </is>
      </c>
      <c r="D54" s="206" t="inlineStr">
        <is>
          <t>шт</t>
        </is>
      </c>
      <c r="E54" s="252" t="n">
        <v>780</v>
      </c>
      <c r="F54" s="100" t="n">
        <v>135.53</v>
      </c>
      <c r="G54" s="100">
        <f>ROUND(E54*F54,2)</f>
        <v/>
      </c>
      <c r="H54" s="221">
        <f>G54/$G$89</f>
        <v/>
      </c>
      <c r="I54" s="100">
        <f>ROUND(F54*Прил.10!$D$12,2)</f>
        <v/>
      </c>
      <c r="J54" s="100">
        <f>ROUND(I54*E54,2)</f>
        <v/>
      </c>
      <c r="L54" s="77" t="n"/>
    </row>
    <row r="55" ht="38.25" customFormat="1" customHeight="1" s="149">
      <c r="A55" s="206">
        <f>A54+1</f>
        <v/>
      </c>
      <c r="B55" s="151" t="inlineStr">
        <is>
          <t>08.4.03.03-0034</t>
        </is>
      </c>
      <c r="C55" s="211" t="inlineStr">
        <is>
          <t>Сталь арматурная, горячекатаная, периодического профиля, класс А-III, диаметр 16-18 мм</t>
        </is>
      </c>
      <c r="D55" s="206" t="inlineStr">
        <is>
          <t>т</t>
        </is>
      </c>
      <c r="E55" s="252" t="n">
        <v>8.757300000000001</v>
      </c>
      <c r="F55" s="100" t="n">
        <v>7956.21</v>
      </c>
      <c r="G55" s="100">
        <f>ROUND(E55*F55,2)</f>
        <v/>
      </c>
      <c r="H55" s="221">
        <f>G55/$G$89</f>
        <v/>
      </c>
      <c r="I55" s="100">
        <f>ROUND(F55*Прил.10!$D$12,2)</f>
        <v/>
      </c>
      <c r="J55" s="100">
        <f>ROUND(I55*E55,2)</f>
        <v/>
      </c>
      <c r="L55" s="77" t="n"/>
    </row>
    <row r="56" ht="25.5" customFormat="1" customHeight="1" s="149">
      <c r="A56" s="206">
        <f>A55+1</f>
        <v/>
      </c>
      <c r="B56" s="151" t="inlineStr">
        <is>
          <t>10.1.02.03-0001</t>
        </is>
      </c>
      <c r="C56" s="211" t="inlineStr">
        <is>
          <t>Проволока алюминиевая, марка АМЦ, диаметр 1,4-1,8 мм</t>
        </is>
      </c>
      <c r="D56" s="206" t="inlineStr">
        <is>
          <t>т</t>
        </is>
      </c>
      <c r="E56" s="252" t="n">
        <v>1.8528539</v>
      </c>
      <c r="F56" s="100" t="n">
        <v>30090</v>
      </c>
      <c r="G56" s="100">
        <f>ROUND(E56*F56,2)</f>
        <v/>
      </c>
      <c r="H56" s="221">
        <f>G56/$G$89</f>
        <v/>
      </c>
      <c r="I56" s="100">
        <f>ROUND(F56*Прил.10!$D$12,2)</f>
        <v/>
      </c>
      <c r="J56" s="100">
        <f>ROUND(I56*E56,2)</f>
        <v/>
      </c>
      <c r="L56" s="77" t="n"/>
    </row>
    <row r="57" ht="25.5" customFormat="1" customHeight="1" s="149">
      <c r="A57" s="206">
        <f>A56+1</f>
        <v/>
      </c>
      <c r="B57" s="151" t="inlineStr">
        <is>
          <t>02.3.01.02-0033</t>
        </is>
      </c>
      <c r="C57" s="211" t="inlineStr">
        <is>
          <t>Песок природный обогащенный для строительных работ средний</t>
        </is>
      </c>
      <c r="D57" s="206" t="inlineStr">
        <is>
          <t>м3</t>
        </is>
      </c>
      <c r="E57" s="252" t="n">
        <v>775.201837</v>
      </c>
      <c r="F57" s="100" t="n">
        <v>70.59999999999999</v>
      </c>
      <c r="G57" s="100">
        <f>ROUND(E57*F57,2)</f>
        <v/>
      </c>
      <c r="H57" s="221">
        <f>G57/$G$89</f>
        <v/>
      </c>
      <c r="I57" s="100">
        <f>ROUND(F57*Прил.10!$D$12,2)</f>
        <v/>
      </c>
      <c r="J57" s="100">
        <f>ROUND(I57*E57,2)</f>
        <v/>
      </c>
      <c r="L57" s="77" t="n"/>
    </row>
    <row r="58" ht="14.25" customFormat="1" customHeight="1" s="77">
      <c r="A58" s="206" t="n"/>
      <c r="B58" s="151" t="n"/>
      <c r="C58" s="211" t="inlineStr">
        <is>
          <t>Итого основные материалы</t>
        </is>
      </c>
      <c r="D58" s="206" t="n"/>
      <c r="E58" s="252" t="n"/>
      <c r="F58" s="100" t="n"/>
      <c r="G58" s="100">
        <f>SUM(G53:G57)</f>
        <v/>
      </c>
      <c r="H58" s="221">
        <f>G58/$G$89</f>
        <v/>
      </c>
      <c r="I58" s="100" t="n"/>
      <c r="J58" s="100">
        <f>SUM(J53:J57)</f>
        <v/>
      </c>
      <c r="K58" s="253" t="n"/>
    </row>
    <row r="59" outlineLevel="1" ht="25.5" customFormat="1" customHeight="1" s="77">
      <c r="A59" s="206" t="n">
        <v>31</v>
      </c>
      <c r="B59" s="151" t="inlineStr">
        <is>
          <t>02.2.05.04-1567</t>
        </is>
      </c>
      <c r="C59" s="211" t="inlineStr">
        <is>
          <t>Щебень М 400, фракция 5(3)-10 мм, группа 2</t>
        </is>
      </c>
      <c r="D59" s="206" t="inlineStr">
        <is>
          <t>м3</t>
        </is>
      </c>
      <c r="E59" s="252" t="n">
        <v>263.235</v>
      </c>
      <c r="F59" s="100" t="n">
        <v>131.08</v>
      </c>
      <c r="G59" s="100">
        <f>ROUND(F59*E59,2)</f>
        <v/>
      </c>
      <c r="H59" s="221">
        <f>G59/$G$89</f>
        <v/>
      </c>
      <c r="I59" s="100">
        <f>ROUND(F59*Прил.10!$D$12,2)</f>
        <v/>
      </c>
      <c r="J59" s="100">
        <f>ROUND(I59*E59,2)</f>
        <v/>
      </c>
    </row>
    <row r="60" outlineLevel="1" ht="25.5" customFormat="1" customHeight="1" s="77">
      <c r="A60" s="206">
        <f>A59+1</f>
        <v/>
      </c>
      <c r="B60" s="151" t="inlineStr">
        <is>
          <t>08.4.01.01-0022</t>
        </is>
      </c>
      <c r="C60" s="211" t="inlineStr">
        <is>
          <t>Детали анкерные с резьбой из прямых или гнутых круглых стержней</t>
        </is>
      </c>
      <c r="D60" s="206" t="inlineStr">
        <is>
          <t>т</t>
        </is>
      </c>
      <c r="E60" s="252" t="n">
        <v>3.39024</v>
      </c>
      <c r="F60" s="100" t="n">
        <v>10100</v>
      </c>
      <c r="G60" s="100">
        <f>ROUND(F60*E60,2)</f>
        <v/>
      </c>
      <c r="H60" s="221">
        <f>G60/$G$89</f>
        <v/>
      </c>
      <c r="I60" s="100">
        <f>ROUND(F60*Прил.10!$D$12,2)</f>
        <v/>
      </c>
      <c r="J60" s="100">
        <f>ROUND(I60*E60,2)</f>
        <v/>
      </c>
    </row>
    <row r="61" outlineLevel="1" ht="25.5" customFormat="1" customHeight="1" s="77">
      <c r="A61" s="206">
        <f>A60+1</f>
        <v/>
      </c>
      <c r="B61" s="151" t="inlineStr">
        <is>
          <t>01.7.15.03-0034</t>
        </is>
      </c>
      <c r="C61" s="211" t="inlineStr">
        <is>
          <t>Болты с гайками и шайбами оцинкованные, диаметр 12 мм</t>
        </is>
      </c>
      <c r="D61" s="206" t="inlineStr">
        <is>
          <t>кг</t>
        </is>
      </c>
      <c r="E61" s="252" t="n">
        <v>704.79</v>
      </c>
      <c r="F61" s="100" t="n">
        <v>25.76</v>
      </c>
      <c r="G61" s="100">
        <f>ROUND(F61*E61,2)</f>
        <v/>
      </c>
      <c r="H61" s="221">
        <f>G61/$G$89</f>
        <v/>
      </c>
      <c r="I61" s="100">
        <f>ROUND(F61*Прил.10!$D$12,2)</f>
        <v/>
      </c>
      <c r="J61" s="100">
        <f>ROUND(I61*E61,2)</f>
        <v/>
      </c>
    </row>
    <row r="62" outlineLevel="1" ht="38.25" customFormat="1" customHeight="1" s="77">
      <c r="A62" s="206">
        <f>A61+1</f>
        <v/>
      </c>
      <c r="B62" s="151" t="inlineStr">
        <is>
          <t>04.1.02.05-0040</t>
        </is>
      </c>
      <c r="C62" s="211" t="inlineStr">
        <is>
          <t>Смеси бетонные тяжелого бетона (БСТ), крупность заполнителя 20 мм, класс В7,5 (М100)</t>
        </is>
      </c>
      <c r="D62" s="206" t="inlineStr">
        <is>
          <t>м3</t>
        </is>
      </c>
      <c r="E62" s="252" t="n">
        <v>31.671</v>
      </c>
      <c r="F62" s="100" t="n">
        <v>535.46</v>
      </c>
      <c r="G62" s="100">
        <f>ROUND(F62*E62,2)</f>
        <v/>
      </c>
      <c r="H62" s="221">
        <f>G62/$G$89</f>
        <v/>
      </c>
      <c r="I62" s="100">
        <f>ROUND(F62*Прил.10!$D$12,2)</f>
        <v/>
      </c>
      <c r="J62" s="100">
        <f>ROUND(I62*E62,2)</f>
        <v/>
      </c>
    </row>
    <row r="63" outlineLevel="1" ht="14.25" customFormat="1" customHeight="1" s="77">
      <c r="A63" s="206">
        <f>A62+1</f>
        <v/>
      </c>
      <c r="B63" s="151" t="inlineStr">
        <is>
          <t>01.7.11.07-0032</t>
        </is>
      </c>
      <c r="C63" s="211" t="inlineStr">
        <is>
          <t>Электроды сварочные Э42, диаметр 4 мм</t>
        </is>
      </c>
      <c r="D63" s="206" t="inlineStr">
        <is>
          <t>т</t>
        </is>
      </c>
      <c r="E63" s="252" t="n">
        <v>0.6076544</v>
      </c>
      <c r="F63" s="100" t="n">
        <v>10315.01</v>
      </c>
      <c r="G63" s="100">
        <f>ROUND(F63*E63,2)</f>
        <v/>
      </c>
      <c r="H63" s="221">
        <f>G63/$G$89</f>
        <v/>
      </c>
      <c r="I63" s="100">
        <f>ROUND(F63*Прил.10!$D$12,2)</f>
        <v/>
      </c>
      <c r="J63" s="100">
        <f>ROUND(I63*E63,2)</f>
        <v/>
      </c>
    </row>
    <row r="64" outlineLevel="1" ht="38.25" customFormat="1" customHeight="1" s="77">
      <c r="A64" s="206">
        <f>A63+1</f>
        <v/>
      </c>
      <c r="B64" s="151" t="inlineStr">
        <is>
          <t>08.4.03.03-0033</t>
        </is>
      </c>
      <c r="C64" s="211" t="inlineStr">
        <is>
          <t>Сталь арматурная, горячекатаная, периодического профиля, класс А-III, диаметр 14 мм</t>
        </is>
      </c>
      <c r="D64" s="206" t="inlineStr">
        <is>
          <t>т</t>
        </is>
      </c>
      <c r="E64" s="252" t="n">
        <v>0.696</v>
      </c>
      <c r="F64" s="100" t="n">
        <v>7997.23</v>
      </c>
      <c r="G64" s="100">
        <f>ROUND(F64*E64,2)</f>
        <v/>
      </c>
      <c r="H64" s="221">
        <f>G64/$G$89</f>
        <v/>
      </c>
      <c r="I64" s="100">
        <f>ROUND(F64*Прил.10!$D$12,2)</f>
        <v/>
      </c>
      <c r="J64" s="100">
        <f>ROUND(I64*E64,2)</f>
        <v/>
      </c>
    </row>
    <row r="65" outlineLevel="1" ht="25.5" customFormat="1" customHeight="1" s="77">
      <c r="A65" s="206">
        <f>A64+1</f>
        <v/>
      </c>
      <c r="B65" s="151" t="inlineStr">
        <is>
          <t>08.4.03.02-0003</t>
        </is>
      </c>
      <c r="C65" s="211" t="inlineStr">
        <is>
          <t>Сталь арматурная, горячекатаная, гладкая, класс А-I, диаметр 10 мм</t>
        </is>
      </c>
      <c r="D65" s="206" t="inlineStr">
        <is>
          <t>т</t>
        </is>
      </c>
      <c r="E65" s="252" t="n">
        <v>0.7251</v>
      </c>
      <c r="F65" s="100" t="n">
        <v>6726.18</v>
      </c>
      <c r="G65" s="100">
        <f>ROUND(F65*E65,2)</f>
        <v/>
      </c>
      <c r="H65" s="221">
        <f>G65/$G$89</f>
        <v/>
      </c>
      <c r="I65" s="100">
        <f>ROUND(F65*Прил.10!$D$12,2)</f>
        <v/>
      </c>
      <c r="J65" s="100">
        <f>ROUND(I65*E65,2)</f>
        <v/>
      </c>
    </row>
    <row r="66" outlineLevel="1" ht="14.25" customFormat="1" customHeight="1" s="77">
      <c r="A66" s="206">
        <f>A65+1</f>
        <v/>
      </c>
      <c r="B66" s="151" t="inlineStr">
        <is>
          <t>14.5.09.11-0102</t>
        </is>
      </c>
      <c r="C66" s="211" t="inlineStr">
        <is>
          <t>Уайт-спирит</t>
        </is>
      </c>
      <c r="D66" s="206" t="inlineStr">
        <is>
          <t>кг</t>
        </is>
      </c>
      <c r="E66" s="252" t="n">
        <v>613.5277599999999</v>
      </c>
      <c r="F66" s="100" t="n">
        <v>6.67</v>
      </c>
      <c r="G66" s="100">
        <f>ROUND(F66*E66,2)</f>
        <v/>
      </c>
      <c r="H66" s="221">
        <f>G66/$G$89</f>
        <v/>
      </c>
      <c r="I66" s="100">
        <f>ROUND(F66*Прил.10!$D$12,2)</f>
        <v/>
      </c>
      <c r="J66" s="100">
        <f>ROUND(I66*E66,2)</f>
        <v/>
      </c>
    </row>
    <row r="67" outlineLevel="1" ht="25.5" customFormat="1" customHeight="1" s="77">
      <c r="A67" s="206">
        <f>A66+1</f>
        <v/>
      </c>
      <c r="B67" s="151" t="inlineStr">
        <is>
          <t>08.4.03.02-0002</t>
        </is>
      </c>
      <c r="C67" s="211" t="inlineStr">
        <is>
          <t>Сталь арматурная, горячекатаная, гладкая, класс А-I, диаметр 8 мм</t>
        </is>
      </c>
      <c r="D67" s="206" t="inlineStr">
        <is>
          <t>т</t>
        </is>
      </c>
      <c r="E67" s="252" t="n">
        <v>0.5793</v>
      </c>
      <c r="F67" s="100" t="n">
        <v>6780</v>
      </c>
      <c r="G67" s="100">
        <f>ROUND(F67*E67,2)</f>
        <v/>
      </c>
      <c r="H67" s="221">
        <f>G67/$G$89</f>
        <v/>
      </c>
      <c r="I67" s="100">
        <f>ROUND(F67*Прил.10!$D$12,2)</f>
        <v/>
      </c>
      <c r="J67" s="100">
        <f>ROUND(I67*E67,2)</f>
        <v/>
      </c>
    </row>
    <row r="68" outlineLevel="1" ht="14.25" customFormat="1" customHeight="1" s="77">
      <c r="A68" s="206">
        <f>A67+1</f>
        <v/>
      </c>
      <c r="B68" s="151" t="inlineStr">
        <is>
          <t>11.2.13.04-0012</t>
        </is>
      </c>
      <c r="C68" s="211" t="inlineStr">
        <is>
          <t>Щиты из досок, толщина 40 мм</t>
        </is>
      </c>
      <c r="D68" s="206" t="inlineStr">
        <is>
          <t>м2</t>
        </is>
      </c>
      <c r="E68" s="252" t="n">
        <v>51.984</v>
      </c>
      <c r="F68" s="100" t="n">
        <v>57.63</v>
      </c>
      <c r="G68" s="100">
        <f>ROUND(F68*E68,2)</f>
        <v/>
      </c>
      <c r="H68" s="221">
        <f>G68/$G$89</f>
        <v/>
      </c>
      <c r="I68" s="100">
        <f>ROUND(F68*Прил.10!$D$12,2)</f>
        <v/>
      </c>
      <c r="J68" s="100">
        <f>ROUND(I68*E68,2)</f>
        <v/>
      </c>
    </row>
    <row r="69" outlineLevel="1" ht="38.25" customFormat="1" customHeight="1" s="77">
      <c r="A69" s="206">
        <f>A68+1</f>
        <v/>
      </c>
      <c r="B69" s="151" t="inlineStr">
        <is>
          <t>04.1.02.05-0029</t>
        </is>
      </c>
      <c r="C69" s="211" t="inlineStr">
        <is>
          <t>Смеси бетонные тяжелого бетона (БСТ), крупность заполнителя 10 мм, класс B25 (М350)</t>
        </is>
      </c>
      <c r="D69" s="206" t="inlineStr">
        <is>
          <t>м3</t>
        </is>
      </c>
      <c r="E69" s="252" t="n">
        <v>1.836</v>
      </c>
      <c r="F69" s="100" t="n">
        <v>748.04</v>
      </c>
      <c r="G69" s="100">
        <f>ROUND(F69*E69,2)</f>
        <v/>
      </c>
      <c r="H69" s="221">
        <f>G69/$G$89</f>
        <v/>
      </c>
      <c r="I69" s="100">
        <f>ROUND(F69*Прил.10!$D$12,2)</f>
        <v/>
      </c>
      <c r="J69" s="100">
        <f>ROUND(I69*E69,2)</f>
        <v/>
      </c>
    </row>
    <row r="70" outlineLevel="1" ht="51" customFormat="1" customHeight="1" s="77">
      <c r="A70" s="206">
        <f>A69+1</f>
        <v/>
      </c>
      <c r="B70" s="151" t="inlineStr">
        <is>
          <t>14.4.01.20-0001</t>
        </is>
      </c>
      <c r="C70" s="211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70" s="206" t="inlineStr">
        <is>
          <t>т</t>
        </is>
      </c>
      <c r="E70" s="252" t="n">
        <v>0.011676</v>
      </c>
      <c r="F70" s="100" t="n">
        <v>107351.35</v>
      </c>
      <c r="G70" s="100">
        <f>ROUND(F70*E70,2)</f>
        <v/>
      </c>
      <c r="H70" s="221">
        <f>G70/$G$89</f>
        <v/>
      </c>
      <c r="I70" s="100">
        <f>ROUND(F70*Прил.10!$D$12,2)</f>
        <v/>
      </c>
      <c r="J70" s="100">
        <f>ROUND(I70*E70,2)</f>
        <v/>
      </c>
    </row>
    <row r="71" outlineLevel="1" ht="25.5" customFormat="1" customHeight="1" s="77">
      <c r="A71" s="206">
        <f>A70+1</f>
        <v/>
      </c>
      <c r="B71" s="151" t="inlineStr">
        <is>
          <t>01.2.03.03-0018</t>
        </is>
      </c>
      <c r="C71" s="211" t="inlineStr">
        <is>
          <t>Мастика битумная кровельная холодного применения, универсальная</t>
        </is>
      </c>
      <c r="D71" s="206" t="inlineStr">
        <is>
          <t>т</t>
        </is>
      </c>
      <c r="E71" s="252" t="n">
        <v>0.239904</v>
      </c>
      <c r="F71" s="100" t="n">
        <v>4812.7</v>
      </c>
      <c r="G71" s="100">
        <f>ROUND(F71*E71,2)</f>
        <v/>
      </c>
      <c r="H71" s="221">
        <f>G71/$G$89</f>
        <v/>
      </c>
      <c r="I71" s="100">
        <f>ROUND(F71*Прил.10!$D$12,2)</f>
        <v/>
      </c>
      <c r="J71" s="100">
        <f>ROUND(I71*E71,2)</f>
        <v/>
      </c>
    </row>
    <row r="72" outlineLevel="1" ht="38.25" customFormat="1" customHeight="1" s="77">
      <c r="A72" s="206">
        <f>A71+1</f>
        <v/>
      </c>
      <c r="B72" s="151" t="inlineStr">
        <is>
          <t>14.4.01.20-0012</t>
        </is>
      </c>
      <c r="C72" s="211" t="inlineStr">
        <is>
          <t>Грунтовка антикоррозионная цинкнаполненная быстросохнущая, преобразователь ржавчины и окалины</t>
        </is>
      </c>
      <c r="D72" s="206" t="inlineStr">
        <is>
          <t>т</t>
        </is>
      </c>
      <c r="E72" s="252" t="n">
        <v>0.008756999999999999</v>
      </c>
      <c r="F72" s="100" t="n">
        <v>86794.72</v>
      </c>
      <c r="G72" s="100">
        <f>ROUND(F72*E72,2)</f>
        <v/>
      </c>
      <c r="H72" s="221">
        <f>G72/$G$89</f>
        <v/>
      </c>
      <c r="I72" s="100">
        <f>ROUND(F72*Прил.10!$D$12,2)</f>
        <v/>
      </c>
      <c r="J72" s="100">
        <f>ROUND(I72*E72,2)</f>
        <v/>
      </c>
    </row>
    <row r="73" outlineLevel="1" ht="38.25" customFormat="1" customHeight="1" s="77">
      <c r="A73" s="206">
        <f>A72+1</f>
        <v/>
      </c>
      <c r="B73" s="151" t="inlineStr">
        <is>
          <t>11.1.03.06-0095</t>
        </is>
      </c>
      <c r="C73" s="211" t="inlineStr">
        <is>
          <t>Доска обрезная, хвойных пород, ширина 75-150 мм, толщина 44 мм и более, длина 4-6,5 м, сорт III</t>
        </is>
      </c>
      <c r="D73" s="206" t="inlineStr">
        <is>
          <t>м3</t>
        </is>
      </c>
      <c r="E73" s="252" t="n">
        <v>0.625063</v>
      </c>
      <c r="F73" s="100" t="n">
        <v>1056</v>
      </c>
      <c r="G73" s="100">
        <f>ROUND(F73*E73,2)</f>
        <v/>
      </c>
      <c r="H73" s="221">
        <f>G73/$G$89</f>
        <v/>
      </c>
      <c r="I73" s="100">
        <f>ROUND(F73*Прил.10!$D$12,2)</f>
        <v/>
      </c>
      <c r="J73" s="100">
        <f>ROUND(I73*E73,2)</f>
        <v/>
      </c>
    </row>
    <row r="74" outlineLevel="1" ht="14.25" customFormat="1" customHeight="1" s="77">
      <c r="A74" s="206">
        <f>A73+1</f>
        <v/>
      </c>
      <c r="B74" s="151" t="inlineStr">
        <is>
          <t>01.7.11.07-0054</t>
        </is>
      </c>
      <c r="C74" s="211" t="inlineStr">
        <is>
          <t>Электроды сварочные Э42, диаметр 6 мм</t>
        </is>
      </c>
      <c r="D74" s="206" t="inlineStr">
        <is>
          <t>т</t>
        </is>
      </c>
      <c r="E74" s="252" t="n">
        <v>0.056544</v>
      </c>
      <c r="F74" s="100" t="n">
        <v>9424</v>
      </c>
      <c r="G74" s="100">
        <f>ROUND(F74*E74,2)</f>
        <v/>
      </c>
      <c r="H74" s="221">
        <f>G74/$G$89</f>
        <v/>
      </c>
      <c r="I74" s="100">
        <f>ROUND(F74*Прил.10!$D$12,2)</f>
        <v/>
      </c>
      <c r="J74" s="100">
        <f>ROUND(I74*E74,2)</f>
        <v/>
      </c>
    </row>
    <row r="75" outlineLevel="1" ht="38.25" customFormat="1" customHeight="1" s="77">
      <c r="A75" s="206">
        <f>A74+1</f>
        <v/>
      </c>
      <c r="B75" s="151" t="inlineStr">
        <is>
          <t>11.1.02.04-0031</t>
        </is>
      </c>
      <c r="C75" s="211" t="inlineStr">
        <is>
          <t>Лесоматериалы круглые, хвойных пород, для строительства, диаметр 14-24 см, длина 3-6,5 м</t>
        </is>
      </c>
      <c r="D75" s="206" t="inlineStr">
        <is>
          <t>м3</t>
        </is>
      </c>
      <c r="E75" s="252" t="n">
        <v>0.65664</v>
      </c>
      <c r="F75" s="100" t="n">
        <v>558.33</v>
      </c>
      <c r="G75" s="100">
        <f>ROUND(F75*E75,2)</f>
        <v/>
      </c>
      <c r="H75" s="221">
        <f>G75/$G$89</f>
        <v/>
      </c>
      <c r="I75" s="100">
        <f>ROUND(F75*Прил.10!$D$12,2)</f>
        <v/>
      </c>
      <c r="J75" s="100">
        <f>ROUND(I75*E75,2)</f>
        <v/>
      </c>
    </row>
    <row r="76" outlineLevel="1" ht="14.25" customFormat="1" customHeight="1" s="77">
      <c r="A76" s="206">
        <f>A75+1</f>
        <v/>
      </c>
      <c r="B76" s="151" t="inlineStr">
        <is>
          <t>01.7.07.12-0024</t>
        </is>
      </c>
      <c r="C76" s="211" t="inlineStr">
        <is>
          <t>Пленка полиэтиленовая, толщина 0,15 мм</t>
        </is>
      </c>
      <c r="D76" s="206" t="inlineStr">
        <is>
          <t>м2</t>
        </is>
      </c>
      <c r="E76" s="252" t="n">
        <v>95.68259999999999</v>
      </c>
      <c r="F76" s="100" t="n">
        <v>3.62</v>
      </c>
      <c r="G76" s="100">
        <f>ROUND(F76*E76,2)</f>
        <v/>
      </c>
      <c r="H76" s="221">
        <f>G76/$G$89</f>
        <v/>
      </c>
      <c r="I76" s="100">
        <f>ROUND(F76*Прил.10!$D$12,2)</f>
        <v/>
      </c>
      <c r="J76" s="100">
        <f>ROUND(I76*E76,2)</f>
        <v/>
      </c>
    </row>
    <row r="77" outlineLevel="1" ht="14.25" customFormat="1" customHeight="1" s="77">
      <c r="A77" s="206">
        <f>A76+1</f>
        <v/>
      </c>
      <c r="B77" s="151" t="inlineStr">
        <is>
          <t>01.7.15.06-0111</t>
        </is>
      </c>
      <c r="C77" s="211" t="inlineStr">
        <is>
          <t>Гвозди строительные</t>
        </is>
      </c>
      <c r="D77" s="206" t="inlineStr">
        <is>
          <t>т</t>
        </is>
      </c>
      <c r="E77" s="252" t="n">
        <v>0.025512</v>
      </c>
      <c r="F77" s="100" t="n">
        <v>11978</v>
      </c>
      <c r="G77" s="100">
        <f>ROUND(F77*E77,2)</f>
        <v/>
      </c>
      <c r="H77" s="221">
        <f>G77/$G$89</f>
        <v/>
      </c>
      <c r="I77" s="100">
        <f>ROUND(F77*Прил.10!$D$12,2)</f>
        <v/>
      </c>
      <c r="J77" s="100">
        <f>ROUND(I77*E77,2)</f>
        <v/>
      </c>
    </row>
    <row r="78" outlineLevel="1" ht="14.25" customFormat="1" customHeight="1" s="77">
      <c r="A78" s="206">
        <f>A77+1</f>
        <v/>
      </c>
      <c r="B78" s="151" t="inlineStr">
        <is>
          <t>01.7.03.01-0001</t>
        </is>
      </c>
      <c r="C78" s="211" t="inlineStr">
        <is>
          <t>Вода</t>
        </is>
      </c>
      <c r="D78" s="206" t="inlineStr">
        <is>
          <t>м3</t>
        </is>
      </c>
      <c r="E78" s="252" t="n">
        <v>108.840207</v>
      </c>
      <c r="F78" s="100" t="n">
        <v>2.44</v>
      </c>
      <c r="G78" s="100">
        <f>ROUND(F78*E78,2)</f>
        <v/>
      </c>
      <c r="H78" s="221">
        <f>G78/$G$89</f>
        <v/>
      </c>
      <c r="I78" s="100">
        <f>ROUND(F78*Прил.10!$D$12,2)</f>
        <v/>
      </c>
      <c r="J78" s="100">
        <f>ROUND(I78*E78,2)</f>
        <v/>
      </c>
    </row>
    <row r="79" outlineLevel="1" ht="38.25" customFormat="1" customHeight="1" s="77">
      <c r="A79" s="206">
        <f>A78+1</f>
        <v/>
      </c>
      <c r="B79" s="151" t="inlineStr">
        <is>
          <t>11.1.03.01-0079</t>
        </is>
      </c>
      <c r="C79" s="211" t="inlineStr">
        <is>
          <t>Бруски обрезные, хвойных пород, длина 4-6,5 м, ширина 75-150 мм, толщина 40-75 мм, сорт III</t>
        </is>
      </c>
      <c r="D79" s="206" t="inlineStr">
        <is>
          <t>м3</t>
        </is>
      </c>
      <c r="E79" s="252" t="n">
        <v>0.20064</v>
      </c>
      <c r="F79" s="100" t="n">
        <v>1287</v>
      </c>
      <c r="G79" s="100">
        <f>ROUND(F79*E79,2)</f>
        <v/>
      </c>
      <c r="H79" s="221">
        <f>G79/$G$89</f>
        <v/>
      </c>
      <c r="I79" s="100">
        <f>ROUND(F79*Прил.10!$D$12,2)</f>
        <v/>
      </c>
      <c r="J79" s="100">
        <f>ROUND(I79*E79,2)</f>
        <v/>
      </c>
    </row>
    <row r="80" outlineLevel="1" ht="25.5" customFormat="1" customHeight="1" s="77">
      <c r="A80" s="206">
        <f>A79+1</f>
        <v/>
      </c>
      <c r="B80" s="151" t="inlineStr">
        <is>
          <t>08.3.03.06-0002</t>
        </is>
      </c>
      <c r="C80" s="211" t="inlineStr">
        <is>
          <t>Проволока горячекатаная в мотках, диаметр 6,3-6,5 мм</t>
        </is>
      </c>
      <c r="D80" s="206" t="inlineStr">
        <is>
          <t>т</t>
        </is>
      </c>
      <c r="E80" s="252" t="n">
        <v>0.032832</v>
      </c>
      <c r="F80" s="100" t="n">
        <v>4455.2</v>
      </c>
      <c r="G80" s="100">
        <f>ROUND(F80*E80,2)</f>
        <v/>
      </c>
      <c r="H80" s="221">
        <f>G80/$G$89</f>
        <v/>
      </c>
      <c r="I80" s="100">
        <f>ROUND(F80*Прил.10!$D$12,2)</f>
        <v/>
      </c>
      <c r="J80" s="100">
        <f>ROUND(I80*E80,2)</f>
        <v/>
      </c>
    </row>
    <row r="81" outlineLevel="1" ht="38.25" customFormat="1" customHeight="1" s="77">
      <c r="A81" s="206">
        <f>A80+1</f>
        <v/>
      </c>
      <c r="B81" s="151" t="inlineStr">
        <is>
          <t>11.1.03.06-0087</t>
        </is>
      </c>
      <c r="C81" s="211" t="inlineStr">
        <is>
          <t>Доска обрезная, хвойных пород, ширина 75-150 мм, толщина 25 мм, длина 4-6,5 м, сорт III</t>
        </is>
      </c>
      <c r="D81" s="206" t="inlineStr">
        <is>
          <t>м3</t>
        </is>
      </c>
      <c r="E81" s="252" t="n">
        <v>0.0696686</v>
      </c>
      <c r="F81" s="100" t="n">
        <v>1100</v>
      </c>
      <c r="G81" s="100">
        <f>ROUND(F81*E81,2)</f>
        <v/>
      </c>
      <c r="H81" s="221">
        <f>G81/$G$89</f>
        <v/>
      </c>
      <c r="I81" s="100">
        <f>ROUND(F81*Прил.10!$D$12,2)</f>
        <v/>
      </c>
      <c r="J81" s="100">
        <f>ROUND(I81*E81,2)</f>
        <v/>
      </c>
    </row>
    <row r="82" outlineLevel="1" ht="14.25" customFormat="1" customHeight="1" s="77">
      <c r="A82" s="206">
        <f>A81+1</f>
        <v/>
      </c>
      <c r="B82" s="151" t="inlineStr">
        <is>
          <t>01.3.01.03-0002</t>
        </is>
      </c>
      <c r="C82" s="211" t="inlineStr">
        <is>
          <t>Керосин для технических целей</t>
        </is>
      </c>
      <c r="D82" s="206" t="inlineStr">
        <is>
          <t>т</t>
        </is>
      </c>
      <c r="E82" s="252" t="n">
        <v>0.0239904</v>
      </c>
      <c r="F82" s="100" t="n">
        <v>2606.9</v>
      </c>
      <c r="G82" s="100">
        <f>ROUND(F82*E82,2)</f>
        <v/>
      </c>
      <c r="H82" s="221">
        <f>G82/$G$89</f>
        <v/>
      </c>
      <c r="I82" s="100">
        <f>ROUND(F82*Прил.10!$D$12,2)</f>
        <v/>
      </c>
      <c r="J82" s="100">
        <f>ROUND(I82*E82,2)</f>
        <v/>
      </c>
    </row>
    <row r="83" outlineLevel="1" ht="25.5" customFormat="1" customHeight="1" s="77">
      <c r="A83" s="206">
        <f>A82+1</f>
        <v/>
      </c>
      <c r="B83" s="151" t="inlineStr">
        <is>
          <t>03.1.02.03-0011</t>
        </is>
      </c>
      <c r="C83" s="211" t="inlineStr">
        <is>
          <t>Известь строительная негашеная комовая, сорт I</t>
        </is>
      </c>
      <c r="D83" s="206" t="inlineStr">
        <is>
          <t>т</t>
        </is>
      </c>
      <c r="E83" s="252" t="n">
        <v>0.041952</v>
      </c>
      <c r="F83" s="100" t="n">
        <v>734.5</v>
      </c>
      <c r="G83" s="100">
        <f>ROUND(F83*E83,2)</f>
        <v/>
      </c>
      <c r="H83" s="221">
        <f>G83/$G$89</f>
        <v/>
      </c>
      <c r="I83" s="100">
        <f>ROUND(F83*Прил.10!$D$12,2)</f>
        <v/>
      </c>
      <c r="J83" s="100">
        <f>ROUND(I83*E83,2)</f>
        <v/>
      </c>
    </row>
    <row r="84" outlineLevel="1" ht="14.25" customFormat="1" customHeight="1" s="77">
      <c r="A84" s="206">
        <f>A83+1</f>
        <v/>
      </c>
      <c r="B84" s="151" t="inlineStr">
        <is>
          <t>01.2.01.02-0054</t>
        </is>
      </c>
      <c r="C84" s="211" t="inlineStr">
        <is>
          <t>Битумы нефтяные строительные БН-90/10</t>
        </is>
      </c>
      <c r="D84" s="206" t="inlineStr">
        <is>
          <t>т</t>
        </is>
      </c>
      <c r="E84" s="252" t="n">
        <v>0.0159936</v>
      </c>
      <c r="F84" s="100" t="n">
        <v>1383.1</v>
      </c>
      <c r="G84" s="100">
        <f>ROUND(F84*E84,2)</f>
        <v/>
      </c>
      <c r="H84" s="221">
        <f>G84/$G$89</f>
        <v/>
      </c>
      <c r="I84" s="100">
        <f>ROUND(F84*Прил.10!$D$12,2)</f>
        <v/>
      </c>
      <c r="J84" s="100">
        <f>ROUND(I84*E84,2)</f>
        <v/>
      </c>
    </row>
    <row r="85" outlineLevel="1" ht="14.25" customFormat="1" customHeight="1" s="77">
      <c r="A85" s="206">
        <f>A84+1</f>
        <v/>
      </c>
      <c r="B85" s="151" t="inlineStr">
        <is>
          <t>07.2.07.02-0001</t>
        </is>
      </c>
      <c r="C85" s="211" t="inlineStr">
        <is>
          <t>Кондуктор инвентарный металлический</t>
        </is>
      </c>
      <c r="D85" s="206" t="inlineStr">
        <is>
          <t>шт</t>
        </is>
      </c>
      <c r="E85" s="252" t="n">
        <v>0.0339024</v>
      </c>
      <c r="F85" s="100" t="n">
        <v>346</v>
      </c>
      <c r="G85" s="100">
        <f>ROUND(F85*E85,2)</f>
        <v/>
      </c>
      <c r="H85" s="221">
        <f>G85/$G$89</f>
        <v/>
      </c>
      <c r="I85" s="100">
        <f>ROUND(F85*Прил.10!$D$12,2)</f>
        <v/>
      </c>
      <c r="J85" s="100">
        <f>ROUND(I85*E85,2)</f>
        <v/>
      </c>
    </row>
    <row r="86" outlineLevel="1" ht="14.25" customFormat="1" customHeight="1" s="77">
      <c r="A86" s="206">
        <f>A85+1</f>
        <v/>
      </c>
      <c r="B86" s="151" t="inlineStr">
        <is>
          <t>14.5.09.07-0030</t>
        </is>
      </c>
      <c r="C86" s="211" t="inlineStr">
        <is>
          <t>Растворитель Р-4</t>
        </is>
      </c>
      <c r="D86" s="206" t="inlineStr">
        <is>
          <t>кг</t>
        </is>
      </c>
      <c r="E86" s="252" t="n">
        <v>1.02165</v>
      </c>
      <c r="F86" s="100" t="n">
        <v>9.42</v>
      </c>
      <c r="G86" s="100">
        <f>ROUND(F86*E86,2)</f>
        <v/>
      </c>
      <c r="H86" s="221">
        <f>G86/$G$89</f>
        <v/>
      </c>
      <c r="I86" s="100">
        <f>ROUND(F86*Прил.10!$D$12,2)</f>
        <v/>
      </c>
      <c r="J86" s="100">
        <f>ROUND(I86*E86,2)</f>
        <v/>
      </c>
    </row>
    <row r="87" outlineLevel="1" ht="14.25" customFormat="1" customHeight="1" s="77">
      <c r="A87" s="206">
        <f>A86+1</f>
        <v/>
      </c>
      <c r="B87" s="151" t="inlineStr">
        <is>
          <t>01.7.20.08-0051</t>
        </is>
      </c>
      <c r="C87" s="211" t="inlineStr">
        <is>
          <t>Ветошь</t>
        </is>
      </c>
      <c r="D87" s="206" t="inlineStr">
        <is>
          <t>кг</t>
        </is>
      </c>
      <c r="E87" s="252" t="n">
        <v>0.09995999999999999</v>
      </c>
      <c r="F87" s="100" t="n">
        <v>1.82</v>
      </c>
      <c r="G87" s="100">
        <f>ROUND(F87*E87,2)</f>
        <v/>
      </c>
      <c r="H87" s="221">
        <f>G87/$G$89</f>
        <v/>
      </c>
      <c r="I87" s="100">
        <f>ROUND(F87*Прил.10!$D$12,2)</f>
        <v/>
      </c>
      <c r="J87" s="100">
        <f>ROUND(I87*E87,2)</f>
        <v/>
      </c>
    </row>
    <row r="88" customFormat="1" s="77">
      <c r="A88" s="206" t="n"/>
      <c r="B88" s="206" t="n"/>
      <c r="C88" s="211" t="inlineStr">
        <is>
          <t>Итого прочие материалы</t>
        </is>
      </c>
      <c r="D88" s="206" t="n"/>
      <c r="E88" s="212" t="n"/>
      <c r="F88" s="213" t="n"/>
      <c r="G88" s="100">
        <f>SUM(G59:G87)</f>
        <v/>
      </c>
      <c r="H88" s="221">
        <f>G88/G89</f>
        <v/>
      </c>
      <c r="I88" s="100" t="n"/>
      <c r="J88" s="100">
        <f>SUM(J59:J87)</f>
        <v/>
      </c>
      <c r="L88" s="256" t="n"/>
    </row>
    <row r="89" ht="14.25" customFormat="1" customHeight="1" s="77">
      <c r="A89" s="206" t="n"/>
      <c r="B89" s="206" t="n"/>
      <c r="C89" s="220" t="inlineStr">
        <is>
          <t>Итого по разделу «Материалы»</t>
        </is>
      </c>
      <c r="D89" s="206" t="n"/>
      <c r="E89" s="212" t="n"/>
      <c r="F89" s="213" t="n"/>
      <c r="G89" s="100">
        <f>G58+G88</f>
        <v/>
      </c>
      <c r="H89" s="221" t="n">
        <v>1</v>
      </c>
      <c r="I89" s="213" t="n"/>
      <c r="J89" s="100">
        <f>J58+J88</f>
        <v/>
      </c>
      <c r="K89" s="253" t="n"/>
      <c r="L89" s="82" t="n"/>
    </row>
    <row r="90" ht="14.25" customFormat="1" customHeight="1" s="77">
      <c r="A90" s="206" t="n"/>
      <c r="B90" s="206" t="n"/>
      <c r="C90" s="211" t="inlineStr">
        <is>
          <t>ИТОГО ПО РМ</t>
        </is>
      </c>
      <c r="D90" s="206" t="n"/>
      <c r="E90" s="212" t="n"/>
      <c r="F90" s="213" t="n"/>
      <c r="G90" s="100">
        <f>G14+G44+G89</f>
        <v/>
      </c>
      <c r="H90" s="221" t="n"/>
      <c r="I90" s="213" t="n"/>
      <c r="J90" s="100">
        <f>J14+J44+J89</f>
        <v/>
      </c>
    </row>
    <row r="91" ht="14.25" customFormat="1" customHeight="1" s="77">
      <c r="A91" s="206" t="n"/>
      <c r="B91" s="206" t="n"/>
      <c r="C91" s="211" t="inlineStr">
        <is>
          <t>Накладные расходы</t>
        </is>
      </c>
      <c r="D91" s="206" t="inlineStr">
        <is>
          <t>%</t>
        </is>
      </c>
      <c r="E91" s="80" t="n">
        <v>0.97</v>
      </c>
      <c r="F91" s="213" t="n"/>
      <c r="G91" s="100" t="n">
        <v>103020.99</v>
      </c>
      <c r="H91" s="221" t="n"/>
      <c r="I91" s="213" t="n"/>
      <c r="J91" s="100">
        <f>ROUND(E91*(J14+J16),2)</f>
        <v/>
      </c>
      <c r="K91" s="81" t="n"/>
    </row>
    <row r="92" ht="14.25" customFormat="1" customHeight="1" s="77">
      <c r="A92" s="206" t="n"/>
      <c r="B92" s="206" t="n"/>
      <c r="C92" s="211" t="inlineStr">
        <is>
          <t>Сметная прибыль</t>
        </is>
      </c>
      <c r="D92" s="206" t="inlineStr">
        <is>
          <t>%</t>
        </is>
      </c>
      <c r="E92" s="80" t="n">
        <v>0.54</v>
      </c>
      <c r="F92" s="213" t="n"/>
      <c r="G92" s="100" t="n">
        <v>57558.81</v>
      </c>
      <c r="H92" s="221" t="n"/>
      <c r="I92" s="213" t="n"/>
      <c r="J92" s="100">
        <f>ROUND(E92*(J14+J16),2)</f>
        <v/>
      </c>
      <c r="K92" s="81" t="n"/>
    </row>
    <row r="93" ht="14.25" customFormat="1" customHeight="1" s="77">
      <c r="A93" s="206" t="n"/>
      <c r="B93" s="206" t="n"/>
      <c r="C93" s="211" t="inlineStr">
        <is>
          <t>Итого СМР (с НР и СП)</t>
        </is>
      </c>
      <c r="D93" s="206" t="n"/>
      <c r="E93" s="212" t="n"/>
      <c r="F93" s="213" t="n"/>
      <c r="G93" s="100">
        <f>G14+G44+G89+G91+G92</f>
        <v/>
      </c>
      <c r="H93" s="221" t="n"/>
      <c r="I93" s="213" t="n"/>
      <c r="J93" s="100">
        <f>J14+J44+J89+J91+J92</f>
        <v/>
      </c>
      <c r="L93" s="82" t="n"/>
    </row>
    <row r="94" ht="14.25" customFormat="1" customHeight="1" s="77">
      <c r="A94" s="206" t="n"/>
      <c r="B94" s="206" t="n"/>
      <c r="C94" s="211" t="inlineStr">
        <is>
          <t>ВСЕГО СМР + ОБОРУДОВАНИЕ</t>
        </is>
      </c>
      <c r="D94" s="206" t="n"/>
      <c r="E94" s="212" t="n"/>
      <c r="F94" s="213" t="n"/>
      <c r="G94" s="100">
        <f>G93+G49</f>
        <v/>
      </c>
      <c r="H94" s="221" t="n"/>
      <c r="I94" s="213" t="n"/>
      <c r="J94" s="100">
        <f>J93+J49</f>
        <v/>
      </c>
      <c r="L94" s="81" t="n"/>
    </row>
    <row r="95" ht="14.25" customFormat="1" customHeight="1" s="77">
      <c r="A95" s="206" t="n"/>
      <c r="B95" s="206" t="n"/>
      <c r="C95" s="211" t="inlineStr">
        <is>
          <t>ИТОГО ПОКАЗАТЕЛЬ НА ЕД. ИЗМ.</t>
        </is>
      </c>
      <c r="D95" s="206" t="inlineStr">
        <is>
          <t>ед.</t>
        </is>
      </c>
      <c r="E95" s="83">
        <f>'Прил.1 Сравнит табл'!D15</f>
        <v/>
      </c>
      <c r="F95" s="213" t="n"/>
      <c r="G95" s="100">
        <f>G94/E95</f>
        <v/>
      </c>
      <c r="H95" s="221" t="n"/>
      <c r="I95" s="213" t="n"/>
      <c r="J95" s="100">
        <f>J94/E95</f>
        <v/>
      </c>
      <c r="L95" s="251" t="n"/>
    </row>
    <row r="97" ht="14.25" customFormat="1" customHeight="1" s="77">
      <c r="A97" s="84" t="n"/>
    </row>
    <row r="98" ht="14.25" customFormat="1" customHeight="1" s="77">
      <c r="A98" s="88" t="inlineStr">
        <is>
          <t>Составил ______________________   Е. М. Добровольская</t>
        </is>
      </c>
      <c r="B98" s="77" t="n"/>
    </row>
    <row r="99" ht="14.25" customFormat="1" customHeight="1" s="77">
      <c r="A99" s="89" t="inlineStr">
        <is>
          <t xml:space="preserve">                         (подпись, инициалы, фамилия)</t>
        </is>
      </c>
      <c r="B99" s="77" t="n"/>
    </row>
    <row r="100" ht="14.25" customFormat="1" customHeight="1" s="77">
      <c r="A100" s="88" t="n"/>
      <c r="B100" s="77" t="n"/>
    </row>
    <row r="101" ht="14.25" customFormat="1" customHeight="1" s="77">
      <c r="A101" s="88" t="inlineStr">
        <is>
          <t>Проверил ______________________        А.В. Костянецкая</t>
        </is>
      </c>
      <c r="B101" s="77" t="n"/>
    </row>
    <row r="102" ht="14.25" customFormat="1" customHeight="1" s="77">
      <c r="A102" s="89" t="inlineStr">
        <is>
          <t xml:space="preserve">                        (подпись, инициалы, фамилия)</t>
        </is>
      </c>
      <c r="B102" s="77" t="n"/>
    </row>
  </sheetData>
  <mergeCells count="19">
    <mergeCell ref="H9:H10"/>
    <mergeCell ref="B15:H15"/>
    <mergeCell ref="C9:C10"/>
    <mergeCell ref="E9:E10"/>
    <mergeCell ref="A7:H7"/>
    <mergeCell ref="B9:B10"/>
    <mergeCell ref="D9:D10"/>
    <mergeCell ref="B51:J51"/>
    <mergeCell ref="B18:H18"/>
    <mergeCell ref="B45:J45"/>
    <mergeCell ref="B52:H52"/>
    <mergeCell ref="B12:H12"/>
    <mergeCell ref="D6:J6"/>
    <mergeCell ref="F9:G9"/>
    <mergeCell ref="A4:H4"/>
    <mergeCell ref="B17:H17"/>
    <mergeCell ref="A9:A10"/>
    <mergeCell ref="B46:J4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90" min="1" max="1"/>
    <col width="14.85546875" customWidth="1" style="90" min="2" max="2"/>
    <col width="39.140625" customWidth="1" style="90" min="3" max="3"/>
    <col width="8.28515625" customWidth="1" style="90" min="4" max="4"/>
    <col width="13.5703125" customWidth="1" style="90" min="5" max="5"/>
    <col width="12.42578125" customWidth="1" style="90" min="6" max="6"/>
    <col width="14.140625" customWidth="1" style="9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90">
      <c r="A6" s="228">
        <f>'Прил.1 Сравнит табл'!B7</f>
        <v/>
      </c>
    </row>
    <row r="7">
      <c r="A7" s="88" t="n"/>
      <c r="B7" s="88" t="n"/>
      <c r="C7" s="88" t="n"/>
      <c r="D7" s="88" t="n"/>
      <c r="E7" s="88" t="n"/>
      <c r="F7" s="88" t="n"/>
      <c r="G7" s="88" t="n"/>
    </row>
    <row r="8" ht="30" customHeight="1" s="9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6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6" t="n"/>
    </row>
    <row r="9">
      <c r="A9" s="238" t="n"/>
      <c r="B9" s="238" t="n"/>
      <c r="C9" s="238" t="n"/>
      <c r="D9" s="238" t="n"/>
      <c r="E9" s="238" t="n"/>
      <c r="F9" s="206" t="inlineStr">
        <is>
          <t>на ед. изм.</t>
        </is>
      </c>
      <c r="G9" s="206" t="inlineStr">
        <is>
          <t>общая</t>
        </is>
      </c>
    </row>
    <row r="10">
      <c r="A10" s="206" t="n">
        <v>1</v>
      </c>
      <c r="B10" s="206" t="n">
        <v>2</v>
      </c>
      <c r="C10" s="206" t="n">
        <v>3</v>
      </c>
      <c r="D10" s="206" t="n">
        <v>4</v>
      </c>
      <c r="E10" s="206" t="n">
        <v>5</v>
      </c>
      <c r="F10" s="206" t="n">
        <v>6</v>
      </c>
      <c r="G10" s="206" t="n">
        <v>7</v>
      </c>
    </row>
    <row r="11" ht="15" customHeight="1" s="90">
      <c r="A11" s="50" t="n"/>
      <c r="B11" s="211" t="inlineStr">
        <is>
          <t>ИНЖЕНЕРНОЕ ОБОРУДОВАНИЕ</t>
        </is>
      </c>
      <c r="C11" s="235" t="n"/>
      <c r="D11" s="235" t="n"/>
      <c r="E11" s="235" t="n"/>
      <c r="F11" s="235" t="n"/>
      <c r="G11" s="236" t="n"/>
    </row>
    <row r="12" ht="27" customHeight="1" s="90">
      <c r="A12" s="206" t="n"/>
      <c r="B12" s="220" t="n"/>
      <c r="C12" s="211" t="inlineStr">
        <is>
          <t>ИТОГО ИНЖЕНЕРНОЕ ОБОРУДОВАНИЕ</t>
        </is>
      </c>
      <c r="D12" s="220" t="n"/>
      <c r="E12" s="9" t="n"/>
      <c r="F12" s="213" t="n"/>
      <c r="G12" s="213" t="n">
        <v>0</v>
      </c>
    </row>
    <row r="13">
      <c r="A13" s="206" t="n"/>
      <c r="B13" s="211" t="inlineStr">
        <is>
          <t>ТЕХНОЛОГИЧЕСКОЕ ОБОРУДОВАНИЕ</t>
        </is>
      </c>
      <c r="C13" s="235" t="n"/>
      <c r="D13" s="235" t="n"/>
      <c r="E13" s="235" t="n"/>
      <c r="F13" s="235" t="n"/>
      <c r="G13" s="236" t="n"/>
    </row>
    <row r="14" ht="25.5" customHeight="1" s="90">
      <c r="A14" s="206" t="n"/>
      <c r="B14" s="13" t="n"/>
      <c r="C14" s="13" t="inlineStr">
        <is>
          <t>ИТОГО ТЕХНОЛОГИЧЕСКОЕ ОБОРУДОВАНИЕ</t>
        </is>
      </c>
      <c r="D14" s="13" t="n"/>
      <c r="E14" s="14" t="n"/>
      <c r="F14" s="213" t="n"/>
      <c r="G14" s="100" t="n">
        <v>0</v>
      </c>
    </row>
    <row r="15" ht="19.5" customHeight="1" s="90">
      <c r="A15" s="206" t="n"/>
      <c r="B15" s="211" t="n"/>
      <c r="C15" s="211" t="inlineStr">
        <is>
          <t>Всего по разделу «Оборудование»</t>
        </is>
      </c>
      <c r="D15" s="211" t="n"/>
      <c r="E15" s="225" t="n"/>
      <c r="F15" s="213" t="n"/>
      <c r="G15" s="100">
        <f>G12+G14</f>
        <v/>
      </c>
    </row>
    <row r="16">
      <c r="A16" s="84" t="n"/>
      <c r="B16" s="12" t="n"/>
      <c r="C16" s="84" t="n"/>
      <c r="D16" s="84" t="n"/>
      <c r="E16" s="84" t="n"/>
      <c r="F16" s="84" t="n"/>
      <c r="G16" s="84" t="n"/>
    </row>
    <row r="17" s="90">
      <c r="A17" s="88" t="inlineStr">
        <is>
          <t>Составил ______________________   Е. М. Добровольская</t>
        </is>
      </c>
      <c r="B17" s="77" t="n"/>
      <c r="C17" s="77" t="n"/>
      <c r="D17" s="84" t="n"/>
      <c r="E17" s="84" t="n"/>
      <c r="F17" s="84" t="n"/>
      <c r="G17" s="84" t="n"/>
    </row>
    <row r="18" s="90">
      <c r="A18" s="89" t="inlineStr">
        <is>
          <t xml:space="preserve">                         (подпись, инициалы, фамилия)</t>
        </is>
      </c>
      <c r="B18" s="77" t="n"/>
      <c r="C18" s="77" t="n"/>
      <c r="D18" s="84" t="n"/>
      <c r="E18" s="84" t="n"/>
      <c r="F18" s="84" t="n"/>
      <c r="G18" s="84" t="n"/>
    </row>
    <row r="19" s="90">
      <c r="A19" s="88" t="n"/>
      <c r="B19" s="77" t="n"/>
      <c r="C19" s="77" t="n"/>
      <c r="D19" s="84" t="n"/>
      <c r="E19" s="84" t="n"/>
      <c r="F19" s="84" t="n"/>
      <c r="G19" s="84" t="n"/>
    </row>
    <row r="20" s="90">
      <c r="A20" s="88" t="inlineStr">
        <is>
          <t>Проверил ______________________        А.В. Костянецкая</t>
        </is>
      </c>
      <c r="B20" s="77" t="n"/>
      <c r="C20" s="77" t="n"/>
      <c r="D20" s="84" t="n"/>
      <c r="E20" s="84" t="n"/>
      <c r="F20" s="84" t="n"/>
      <c r="G20" s="84" t="n"/>
    </row>
    <row r="21" s="90">
      <c r="A21" s="89" t="inlineStr">
        <is>
          <t xml:space="preserve">                        (подпись, инициалы, фамилия)</t>
        </is>
      </c>
      <c r="B21" s="77" t="n"/>
      <c r="C21" s="77" t="n"/>
      <c r="D21" s="84" t="n"/>
      <c r="E21" s="84" t="n"/>
      <c r="F21" s="84" t="n"/>
      <c r="G21" s="8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90" min="1" max="1"/>
    <col width="22.42578125" customWidth="1" style="90" min="2" max="2"/>
    <col width="37.140625" customWidth="1" style="90" min="3" max="3"/>
    <col width="49" customWidth="1" style="90" min="4" max="4"/>
    <col width="9.140625" customWidth="1" style="90" min="5" max="5"/>
    <col width="9.140625" customWidth="1" style="90" min="6" max="16384"/>
  </cols>
  <sheetData>
    <row r="1" ht="15.75" customHeight="1" s="90">
      <c r="A1" s="106" t="n"/>
      <c r="B1" s="106" t="n"/>
      <c r="C1" s="106" t="n"/>
      <c r="D1" s="106" t="inlineStr">
        <is>
          <t>Приложение №7</t>
        </is>
      </c>
    </row>
    <row r="2" ht="15.75" customHeight="1" s="90">
      <c r="A2" s="106" t="n"/>
      <c r="B2" s="106" t="n"/>
      <c r="C2" s="106" t="n"/>
      <c r="D2" s="106" t="n"/>
    </row>
    <row r="3" ht="15.75" customHeight="1" s="90">
      <c r="A3" s="106" t="n"/>
      <c r="B3" s="122" t="inlineStr">
        <is>
          <t>Расчет показателя УНЦ</t>
        </is>
      </c>
      <c r="C3" s="106" t="n"/>
      <c r="D3" s="106" t="n"/>
    </row>
    <row r="4" ht="15.75" customHeight="1" s="90">
      <c r="A4" s="106" t="n"/>
      <c r="B4" s="106" t="n"/>
      <c r="C4" s="106" t="n"/>
      <c r="D4" s="106" t="n"/>
    </row>
    <row r="5" ht="15.75" customHeight="1" s="90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5.75" customHeight="1" s="90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90">
      <c r="A7" s="106" t="n"/>
      <c r="B7" s="106" t="n"/>
      <c r="C7" s="106" t="n"/>
      <c r="D7" s="106" t="n"/>
    </row>
    <row r="8">
      <c r="A8" s="195" t="inlineStr">
        <is>
          <t>Код показателя</t>
        </is>
      </c>
      <c r="B8" s="195" t="inlineStr">
        <is>
          <t>Наименование показателя</t>
        </is>
      </c>
      <c r="C8" s="195" t="inlineStr">
        <is>
          <t>Наименование РМ, входящих в состав показателя</t>
        </is>
      </c>
      <c r="D8" s="195" t="inlineStr">
        <is>
          <t>Норматив цены на 01.01.2023, тыс.руб.</t>
        </is>
      </c>
    </row>
    <row r="9">
      <c r="A9" s="238" t="n"/>
      <c r="B9" s="238" t="n"/>
      <c r="C9" s="238" t="n"/>
      <c r="D9" s="238" t="n"/>
    </row>
    <row r="10" ht="15.75" customHeight="1" s="90">
      <c r="A10" s="195" t="n">
        <v>1</v>
      </c>
      <c r="B10" s="195" t="n">
        <v>2</v>
      </c>
      <c r="C10" s="195" t="n">
        <v>3</v>
      </c>
      <c r="D10" s="195" t="n">
        <v>4</v>
      </c>
    </row>
    <row r="11" ht="31.5" customHeight="1" s="90">
      <c r="A11" s="195" t="inlineStr">
        <is>
          <t>И1,3</t>
        </is>
      </c>
      <c r="B11" s="195" t="inlineStr">
        <is>
          <t>Устройство фундаментов</t>
        </is>
      </c>
      <c r="C11" s="233">
        <f>D5</f>
        <v/>
      </c>
      <c r="D11" s="186">
        <f>'Прил.4 РМ'!C41/1000</f>
        <v/>
      </c>
    </row>
    <row r="13">
      <c r="A13" s="88" t="inlineStr">
        <is>
          <t>Составил ______________________   Е. М. Добровольская</t>
        </is>
      </c>
      <c r="B13" s="77" t="n"/>
      <c r="C13" s="77" t="n"/>
      <c r="D13" s="84" t="n"/>
    </row>
    <row r="14">
      <c r="A14" s="89" t="inlineStr">
        <is>
          <t xml:space="preserve">                         (подпись, инициалы, фамилия)</t>
        </is>
      </c>
      <c r="B14" s="77" t="n"/>
      <c r="C14" s="77" t="n"/>
      <c r="D14" s="84" t="n"/>
    </row>
    <row r="15">
      <c r="A15" s="88" t="n"/>
      <c r="B15" s="77" t="n"/>
      <c r="C15" s="77" t="n"/>
      <c r="D15" s="84" t="n"/>
    </row>
    <row r="16">
      <c r="A16" s="88" t="inlineStr">
        <is>
          <t>Проверил ______________________        А.В. Костянецкая</t>
        </is>
      </c>
      <c r="B16" s="77" t="n"/>
      <c r="C16" s="77" t="n"/>
      <c r="D16" s="84" t="n"/>
    </row>
    <row r="17" ht="20.25" customHeight="1" s="90">
      <c r="A17" s="89" t="inlineStr">
        <is>
          <t xml:space="preserve">                        (подпись, инициалы, фамилия)</t>
        </is>
      </c>
      <c r="B17" s="77" t="n"/>
      <c r="C17" s="77" t="n"/>
      <c r="D17" s="8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4" zoomScale="60" zoomScaleNormal="70" workbookViewId="0">
      <selection activeCell="D25" sqref="D25"/>
    </sheetView>
  </sheetViews>
  <sheetFormatPr baseColWidth="8" defaultRowHeight="15"/>
  <cols>
    <col width="40.7109375" customWidth="1" style="90" min="2" max="2"/>
    <col width="37" customWidth="1" style="90" min="3" max="3"/>
    <col width="32" customWidth="1" style="90" min="4" max="4"/>
  </cols>
  <sheetData>
    <row r="4" ht="15.75" customHeight="1" s="90">
      <c r="B4" s="191" t="inlineStr">
        <is>
          <t>Приложение № 10</t>
        </is>
      </c>
    </row>
    <row r="5" ht="18.75" customHeight="1" s="90">
      <c r="B5" s="40" t="n"/>
    </row>
    <row r="6" ht="15.75" customHeight="1" s="90">
      <c r="B6" s="192" t="inlineStr">
        <is>
          <t>Используемые индексы изменений сметной стоимости и нормы сопутствующих затрат</t>
        </is>
      </c>
    </row>
    <row r="7">
      <c r="B7" s="229" t="n"/>
    </row>
    <row r="8" ht="47.25" customHeight="1" s="90">
      <c r="B8" s="195" t="inlineStr">
        <is>
          <t>Наименование индекса / норм сопутствующих затрат</t>
        </is>
      </c>
      <c r="C8" s="195" t="inlineStr">
        <is>
          <t>Дата применения и обоснование индекса / норм сопутствующих затрат</t>
        </is>
      </c>
      <c r="D8" s="195" t="inlineStr">
        <is>
          <t>Размер индекса / норма сопутствующих затрат</t>
        </is>
      </c>
    </row>
    <row r="9" ht="15.75" customHeight="1" s="90">
      <c r="B9" s="195" t="n">
        <v>1</v>
      </c>
      <c r="C9" s="195" t="n">
        <v>2</v>
      </c>
      <c r="D9" s="195" t="n">
        <v>3</v>
      </c>
    </row>
    <row r="10" ht="31.5" customHeight="1" s="90">
      <c r="B10" s="195" t="inlineStr">
        <is>
          <t xml:space="preserve">Индекс изменения сметной стоимости на 1 квартал 2023 года. ОЗП </t>
        </is>
      </c>
      <c r="C10" s="195" t="inlineStr">
        <is>
          <t>Письмо Минстроя России от от 30.03.2023г. №17106-ИФ/09 прил.1</t>
        </is>
      </c>
      <c r="D10" s="195" t="n">
        <v>44.29</v>
      </c>
    </row>
    <row r="11" ht="31.5" customHeight="1" s="90">
      <c r="B11" s="195" t="inlineStr">
        <is>
          <t>Индекс изменения сметной стоимости на 1 квартал 2023 года. ЭМ</t>
        </is>
      </c>
      <c r="C11" s="195" t="inlineStr">
        <is>
          <t>Письмо Минстроя России от от 30.03.2023г. №17106-ИФ/09 прил.1</t>
        </is>
      </c>
      <c r="D11" s="195" t="n">
        <v>13.47</v>
      </c>
    </row>
    <row r="12" ht="31.5" customHeight="1" s="90">
      <c r="B12" s="195" t="inlineStr">
        <is>
          <t>Индекс изменения сметной стоимости на 1 квартал 2023 года. МАТ</t>
        </is>
      </c>
      <c r="C12" s="195" t="inlineStr">
        <is>
          <t>Письмо Минстроя России от от 30.03.2023г. №17106-ИФ/09 прил.1</t>
        </is>
      </c>
      <c r="D12" s="195" t="n">
        <v>8.039999999999999</v>
      </c>
    </row>
    <row r="13" ht="31.5" customHeight="1" s="90">
      <c r="B13" s="195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195" t="n">
        <v>6.26</v>
      </c>
    </row>
    <row r="14" ht="94.5" customHeight="1" s="90">
      <c r="B14" s="195" t="inlineStr">
        <is>
          <t>Временные здания и сооружения</t>
        </is>
      </c>
      <c r="C14" s="195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8" t="n">
        <v>0.039</v>
      </c>
    </row>
    <row r="15" ht="94.5" customHeight="1" s="90">
      <c r="B15" s="195" t="inlineStr">
        <is>
          <t>Дополнительные затраты при производстве строительно-монтажных работ в зимнее время</t>
        </is>
      </c>
      <c r="C15" s="195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8" t="n">
        <v>0.021</v>
      </c>
    </row>
    <row r="16" ht="31.5" customHeight="1" s="90">
      <c r="B16" s="195" t="inlineStr">
        <is>
          <t>Строительный контроль</t>
        </is>
      </c>
      <c r="C16" s="195" t="inlineStr">
        <is>
          <t>Постановление Правительства РФ от 21.06.10 г. № 468</t>
        </is>
      </c>
      <c r="D16" s="48" t="n">
        <v>0.0214</v>
      </c>
    </row>
    <row r="17" ht="36.75" customHeight="1" s="90">
      <c r="B17" s="195" t="inlineStr">
        <is>
          <t>Авторский надзор - 0,2%</t>
        </is>
      </c>
      <c r="C17" s="195" t="inlineStr">
        <is>
          <t>Приказ от 4.08.2020 № 421/пр п.173</t>
        </is>
      </c>
      <c r="D17" s="48" t="n">
        <v>0.002</v>
      </c>
    </row>
    <row r="18" ht="36.75" customHeight="1" s="90">
      <c r="B18" s="195" t="inlineStr">
        <is>
          <t>Непредвиденные расходы</t>
        </is>
      </c>
      <c r="C18" s="195" t="inlineStr">
        <is>
          <t>Приказ от 4.08.2020 № 421/пр п.179</t>
        </is>
      </c>
      <c r="D18" s="48" t="n">
        <v>0.03</v>
      </c>
    </row>
    <row r="19" ht="18.75" customHeight="1" s="90">
      <c r="B19" s="41" t="n"/>
    </row>
    <row r="20" ht="18.75" customHeight="1" s="90">
      <c r="B20" s="41" t="n"/>
    </row>
    <row r="21" ht="18.75" customHeight="1" s="90">
      <c r="B21" s="41" t="n"/>
    </row>
    <row r="22" ht="18.75" customHeight="1" s="90">
      <c r="B22" s="41" t="n"/>
    </row>
    <row r="25">
      <c r="B25" s="88" t="inlineStr">
        <is>
          <t>Составил ______________________        Е. М. Добровольская</t>
        </is>
      </c>
      <c r="C25" s="77" t="n"/>
    </row>
    <row r="26">
      <c r="B26" s="89" t="inlineStr">
        <is>
          <t xml:space="preserve">                         (подпись, инициалы, фамилия)</t>
        </is>
      </c>
      <c r="C26" s="77" t="n"/>
    </row>
    <row r="27">
      <c r="B27" s="88" t="n"/>
      <c r="C27" s="77" t="n"/>
    </row>
    <row r="28">
      <c r="B28" s="88" t="inlineStr">
        <is>
          <t>Проверил ______________________        А.В. Костянецкая</t>
        </is>
      </c>
      <c r="C28" s="77" t="n"/>
    </row>
    <row r="29">
      <c r="B29" s="89" t="inlineStr">
        <is>
          <t xml:space="preserve">                        (подпись, инициалы, фамилия)</t>
        </is>
      </c>
      <c r="C29" s="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7" sqref="E7"/>
    </sheetView>
  </sheetViews>
  <sheetFormatPr baseColWidth="8" defaultRowHeight="15"/>
  <cols>
    <col width="9.140625" customWidth="1" style="90" min="1" max="1"/>
    <col width="44.85546875" customWidth="1" style="90" min="2" max="2"/>
    <col width="13" customWidth="1" style="90" min="3" max="3"/>
    <col width="22.85546875" customWidth="1" style="90" min="4" max="4"/>
    <col width="21.5703125" customWidth="1" style="90" min="5" max="5"/>
    <col width="43.85546875" customWidth="1" style="90" min="6" max="6"/>
    <col width="9.140625" customWidth="1" style="90" min="7" max="7"/>
  </cols>
  <sheetData>
    <row r="2" ht="18" customHeight="1" s="90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9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90">
      <c r="A7" s="25" t="inlineStr">
        <is>
          <t>1.1</t>
        </is>
      </c>
      <c r="B7" s="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186" t="n">
        <v>47872.94</v>
      </c>
      <c r="F7" s="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90">
      <c r="A8" s="25" t="inlineStr">
        <is>
          <t>1.2</t>
        </is>
      </c>
      <c r="B8" s="46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29">
        <f>1973/12</f>
        <v/>
      </c>
      <c r="F8" s="46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6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29" t="n">
        <v>1</v>
      </c>
      <c r="F9" s="46" t="n"/>
      <c r="G9" s="32" t="n"/>
    </row>
    <row r="10">
      <c r="A10" s="25" t="inlineStr">
        <is>
          <t>1.4</t>
        </is>
      </c>
      <c r="B10" s="46" t="inlineStr">
        <is>
          <t>Средний разряд работ</t>
        </is>
      </c>
      <c r="C10" s="28" t="n"/>
      <c r="D10" s="28" t="n"/>
      <c r="E10" s="259" t="n">
        <v>4.1</v>
      </c>
      <c r="F10" s="46" t="inlineStr">
        <is>
          <t>РТМ</t>
        </is>
      </c>
      <c r="G10" s="32" t="n"/>
    </row>
    <row r="11" ht="75" customHeight="1" s="90">
      <c r="A11" s="25" t="inlineStr">
        <is>
          <t>1.5</t>
        </is>
      </c>
      <c r="B11" s="46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260" t="n">
        <v>1.359</v>
      </c>
      <c r="F11" s="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9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261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9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2025-01-24T12:00:10Z</dcterms:modified>
  <cp:lastModifiedBy>Николай Трофименко</cp:lastModifiedBy>
  <cp:lastPrinted>2023-11-24T11:25:16Z</cp:lastPrinted>
</cp:coreProperties>
</file>