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12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Прил.3!$A$1:$H$66</definedName>
    <definedName name="_xlnm.Print_Area" localSheetId="6">'Прил.4 РМ'!$A$1:$E$48</definedName>
    <definedName name="_xlnm.Print_Area" localSheetId="7">'Прил.5 Расчет СМР и ОБ'!$A$1:$J$84</definedName>
    <definedName name="_xlnm.Print_Area" localSheetId="8">'Прил.6 Расчет ОБ'!$A$1:$G$22</definedName>
    <definedName name="_xlnm.Print_Area" localSheetId="14">ФОТи.тек.!$A$1:$F$13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29" i="13"/>
  <c r="E24" i="13"/>
  <c r="E21" i="13"/>
  <c r="E16" i="13"/>
  <c r="E13" i="13"/>
  <c r="E8" i="13"/>
  <c r="B36" i="12"/>
  <c r="D35" i="12"/>
  <c r="B35" i="12"/>
  <c r="D34" i="12"/>
  <c r="B34" i="12"/>
  <c r="D33" i="12"/>
  <c r="B33" i="12"/>
  <c r="D32" i="12"/>
  <c r="B32" i="12"/>
  <c r="D30" i="12"/>
  <c r="B30" i="12"/>
  <c r="D28" i="12"/>
  <c r="B28" i="12"/>
  <c r="D27" i="12"/>
  <c r="B27" i="12"/>
  <c r="D26" i="12"/>
  <c r="B26" i="12"/>
  <c r="D24" i="12"/>
  <c r="B24" i="12"/>
  <c r="D23" i="12"/>
  <c r="B23" i="12"/>
  <c r="D22" i="12"/>
  <c r="B22" i="12"/>
  <c r="D21" i="12"/>
  <c r="C21" i="12"/>
  <c r="B21" i="12"/>
  <c r="B20" i="12"/>
  <c r="D19" i="12"/>
  <c r="C19" i="12"/>
  <c r="B19" i="12"/>
  <c r="B18" i="12"/>
  <c r="D17" i="12"/>
  <c r="C17" i="12"/>
  <c r="B17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A4" i="12"/>
  <c r="A2" i="12"/>
  <c r="D11" i="10"/>
  <c r="C11" i="10"/>
  <c r="D5" i="10"/>
  <c r="G16" i="9"/>
  <c r="G15" i="9"/>
  <c r="G14" i="9"/>
  <c r="F14" i="9"/>
  <c r="G13" i="9"/>
  <c r="F13" i="9"/>
  <c r="J75" i="8"/>
  <c r="G75" i="8"/>
  <c r="E75" i="8"/>
  <c r="J74" i="8"/>
  <c r="G74" i="8"/>
  <c r="J73" i="8"/>
  <c r="G73" i="8"/>
  <c r="J72" i="8"/>
  <c r="J71" i="8"/>
  <c r="J70" i="8"/>
  <c r="G70" i="8"/>
  <c r="J69" i="8"/>
  <c r="G69" i="8"/>
  <c r="J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E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E48" i="8"/>
  <c r="J47" i="8"/>
  <c r="I47" i="8"/>
  <c r="H47" i="8"/>
  <c r="G47" i="8"/>
  <c r="J46" i="8"/>
  <c r="H46" i="8"/>
  <c r="G46" i="8"/>
  <c r="J45" i="8"/>
  <c r="I45" i="8"/>
  <c r="H45" i="8"/>
  <c r="G45" i="8"/>
  <c r="E45" i="8"/>
  <c r="J44" i="8"/>
  <c r="I44" i="8"/>
  <c r="H44" i="8"/>
  <c r="G44" i="8"/>
  <c r="J43" i="8"/>
  <c r="I43" i="8"/>
  <c r="H43" i="8"/>
  <c r="G43" i="8"/>
  <c r="E43" i="8"/>
  <c r="J42" i="8"/>
  <c r="I42" i="8"/>
  <c r="H42" i="8"/>
  <c r="G42" i="8"/>
  <c r="J39" i="8"/>
  <c r="H39" i="8"/>
  <c r="G39" i="8"/>
  <c r="J38" i="8"/>
  <c r="H38" i="8"/>
  <c r="G38" i="8"/>
  <c r="J37" i="8"/>
  <c r="H37" i="8"/>
  <c r="G37" i="8"/>
  <c r="J36" i="8"/>
  <c r="H36" i="8"/>
  <c r="G36" i="8"/>
  <c r="F36" i="8"/>
  <c r="J35" i="8"/>
  <c r="H35" i="8"/>
  <c r="G35" i="8"/>
  <c r="J34" i="8"/>
  <c r="H34" i="8"/>
  <c r="G34" i="8"/>
  <c r="F34" i="8"/>
  <c r="J31" i="8"/>
  <c r="G31" i="8"/>
  <c r="J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18" i="8"/>
  <c r="I18" i="8"/>
  <c r="G18" i="8"/>
  <c r="J16" i="8"/>
  <c r="G16" i="8"/>
  <c r="E16" i="8"/>
  <c r="J15" i="8"/>
  <c r="I15" i="8"/>
  <c r="H15" i="8"/>
  <c r="G15" i="8"/>
  <c r="E15" i="8"/>
  <c r="J14" i="8"/>
  <c r="I14" i="8"/>
  <c r="H14" i="8"/>
  <c r="G14" i="8"/>
  <c r="E14" i="8"/>
  <c r="J13" i="8"/>
  <c r="I13" i="8"/>
  <c r="H13" i="8"/>
  <c r="E13" i="8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E30" i="7"/>
  <c r="C30" i="7"/>
  <c r="E29" i="7"/>
  <c r="C29" i="7"/>
  <c r="E27" i="7"/>
  <c r="C27" i="7"/>
  <c r="E26" i="7"/>
  <c r="C26" i="7"/>
  <c r="E25" i="7"/>
  <c r="C25" i="7"/>
  <c r="E24" i="7"/>
  <c r="D24" i="7"/>
  <c r="C24" i="7"/>
  <c r="C23" i="7"/>
  <c r="E22" i="7"/>
  <c r="D22" i="7"/>
  <c r="C22" i="7"/>
  <c r="C21" i="7"/>
  <c r="E20" i="7"/>
  <c r="D20" i="7"/>
  <c r="C20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B8" i="7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A49" i="6"/>
  <c r="H48" i="6"/>
  <c r="A48" i="6"/>
  <c r="H47" i="6"/>
  <c r="A47" i="6"/>
  <c r="H46" i="6"/>
  <c r="A46" i="6"/>
  <c r="H45" i="6"/>
  <c r="A45" i="6"/>
  <c r="H44" i="6"/>
  <c r="A44" i="6"/>
  <c r="H43" i="6"/>
  <c r="F43" i="6"/>
  <c r="A43" i="6"/>
  <c r="H42" i="6"/>
  <c r="A42" i="6"/>
  <c r="H41" i="6"/>
  <c r="A41" i="6"/>
  <c r="H40" i="6"/>
  <c r="A40" i="6"/>
  <c r="H39" i="6"/>
  <c r="A39" i="6"/>
  <c r="H38" i="6"/>
  <c r="A38" i="6"/>
  <c r="H37" i="6"/>
  <c r="F37" i="6"/>
  <c r="A37" i="6"/>
  <c r="H36" i="6"/>
  <c r="A36" i="6"/>
  <c r="H35" i="6"/>
  <c r="F35" i="6"/>
  <c r="A35" i="6"/>
  <c r="H34" i="6"/>
  <c r="A34" i="6"/>
  <c r="H33" i="6"/>
  <c r="F33" i="6"/>
  <c r="A33" i="6"/>
  <c r="H32" i="6"/>
  <c r="A32" i="6"/>
  <c r="H31" i="6"/>
  <c r="H30" i="6"/>
  <c r="H29" i="6"/>
  <c r="A29" i="6"/>
  <c r="H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8" i="6"/>
  <c r="H17" i="6"/>
  <c r="H16" i="6"/>
  <c r="A16" i="6"/>
  <c r="H15" i="6"/>
  <c r="A15" i="6"/>
  <c r="H14" i="6"/>
  <c r="A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B7" i="5"/>
  <c r="B6" i="5"/>
  <c r="D23" i="4"/>
  <c r="D22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<sst xmlns="http://schemas.openxmlformats.org/spreadsheetml/2006/main" count="892" uniqueCount="471">
  <si>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</si>
  <si>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</si>
  <si>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</si>
  <si>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</si>
  <si>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</si>
  <si>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</si>
  <si>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</si>
  <si>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</si>
  <si>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</si>
  <si>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</si>
  <si>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</si>
  <si>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</si>
  <si>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</si>
  <si>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</si>
  <si>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</si>
  <si>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</si>
  <si>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</si>
  <si>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</si>
  <si>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</si>
  <si>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</si>
  <si>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</si>
  <si>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</si>
  <si>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</si>
  <si>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</si>
  <si>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</si>
  <si>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</si>
  <si>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</si>
  <si>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</si>
  <si>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</si>
  <si>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</si>
  <si>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</si>
  <si>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</si>
  <si>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</si>
  <si>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</si>
  <si>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</si>
  <si>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</si>
  <si>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</si>
  <si>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</si>
  <si>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</si>
  <si>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</si>
  <si>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</si>
  <si>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</si>
  <si>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</si>
  <si>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</si>
  <si>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</si>
  <si>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</si>
  <si>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</si>
  <si>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</si>
  <si>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ТТ на три фазы без устройства фундамента напряжение 220(150) кВ</t>
  </si>
  <si>
    <t>Сопоставимый уровень цен: 2 квартал 2017 года</t>
  </si>
  <si>
    <t>Единица измерения  — 1 ед.</t>
  </si>
  <si>
    <t>Параметр</t>
  </si>
  <si>
    <t>Объект-представитель</t>
  </si>
  <si>
    <t>Наименование объекта-представителя</t>
  </si>
  <si>
    <t xml:space="preserve">ПС 220кВ Славянская </t>
  </si>
  <si>
    <t>Наименование субъекта Российской Федерации</t>
  </si>
  <si>
    <t>Тюменская область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</si>
  <si>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</si>
  <si>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</si>
  <si>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</si>
  <si>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</si>
  <si>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ТГФМ-220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</si>
  <si>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</si>
  <si>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</si>
  <si>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</si>
  <si>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</si>
  <si>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</si>
  <si>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</si>
  <si>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</si>
  <si>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</si>
  <si>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</si>
  <si>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</si>
  <si>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</si>
  <si>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</si>
  <si>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</si>
  <si>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</si>
  <si>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</si>
  <si>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</si>
  <si>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</si>
  <si>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</si>
  <si>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</si>
  <si>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</si>
  <si>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</si>
  <si>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</si>
  <si>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</si>
  <si>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</si>
  <si>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</si>
  <si>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</si>
  <si>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</si>
  <si>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</si>
  <si>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02-02-09</t>
  </si>
  <si>
    <t xml:space="preserve">Здание совмещенное ОПУ с КРУЭ 220 кВ.  Электротехнические решения </t>
  </si>
  <si>
    <t>Всего по объекту:</t>
  </si>
  <si>
    <t>Всего по объекту в сопоставимом уровне цен 2 кв. 2017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</si>
  <si>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</si>
  <si>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</si>
  <si>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</si>
  <si>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</si>
  <si>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</si>
  <si>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</si>
  <si>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</si>
  <si>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</si>
  <si>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</si>
  <si>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</si>
  <si>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</si>
  <si>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</si>
  <si>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</si>
  <si>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10-3-1</t>
  </si>
  <si>
    <t>Инженер I категории</t>
  </si>
  <si>
    <t>чел.-ч.</t>
  </si>
  <si>
    <t>10-3-2</t>
  </si>
  <si>
    <t>Инженер II категории</t>
  </si>
  <si>
    <t>1-4-0</t>
  </si>
  <si>
    <t>Затраты труда рабочих (средний разряд работы 4,0)</t>
  </si>
  <si>
    <t>1-3-8</t>
  </si>
  <si>
    <t>Затраты труда рабочих (средний разряд работы 3,8)</t>
  </si>
  <si>
    <t>Затраты труда машинистов</t>
  </si>
  <si>
    <t>чел.-ч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</si>
  <si>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</si>
  <si>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</si>
  <si>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</si>
  <si>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</si>
  <si>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91.14.02-001</t>
  </si>
  <si>
    <t>Автомобили бортовые, грузоподъемность до 5 т</t>
  </si>
  <si>
    <t>91.06.06-042</t>
  </si>
  <si>
    <t>Подъемники гидравлические, высота подъема 10 м</t>
  </si>
  <si>
    <t>91.01.04-003</t>
  </si>
  <si>
    <t>Установки однобаровые на тракторе, мощность 79 кВт (108 л.с.), ширина щели 14 см</t>
  </si>
  <si>
    <t>91.17.04-233</t>
  </si>
  <si>
    <t>Установки для сварки: ручной дуговой (постоянного тока)</t>
  </si>
  <si>
    <t>91.13.03-111</t>
  </si>
  <si>
    <t>Спецавтомашины, грузоподъемность до 8 т, вездеходы</t>
  </si>
  <si>
    <t>91.06.01-003</t>
  </si>
  <si>
    <t>Домкраты гидравлические, грузоподъемность 63-100 т</t>
  </si>
  <si>
    <t>91.17.04-036</t>
  </si>
  <si>
    <t>Агрегаты сварочные передвижные номинальным сварочным током 250-400 А: с дизельным двигателем</t>
  </si>
  <si>
    <t>Прайс из СД ОП</t>
  </si>
  <si>
    <t>Трансформатор тока 220</t>
  </si>
  <si>
    <t>шт</t>
  </si>
  <si>
    <t>Шкаф промежуточных зажимов
ШЗВ-60 УХЛ1</t>
  </si>
  <si>
    <t>шт.</t>
  </si>
  <si>
    <t>Материалы</t>
  </si>
  <si>
    <t>20.2.10.03-0006</t>
  </si>
  <si>
    <t>Наконечники кабельные медные соединительные</t>
  </si>
  <si>
    <t>100 шт</t>
  </si>
  <si>
    <t>21.1.06.10-0411</t>
  </si>
  <si>
    <t>Кабель силовой с медными жилами ВВГнг(A)-LS 5х16мк(N, РЕ)-1000</t>
  </si>
  <si>
    <t>1000 м</t>
  </si>
  <si>
    <t>21.2.01.02-0094</t>
  </si>
  <si>
    <t>Провод неизолированный для воздушных линий электропередачи АС 300/39</t>
  </si>
  <si>
    <t>т</t>
  </si>
  <si>
    <t>21.1.08.03-0574</t>
  </si>
  <si>
    <t>Кабель контрольный КВВГЭнг(А)-LS 4x2,5</t>
  </si>
  <si>
    <t>20.5.04.06-0003</t>
  </si>
  <si>
    <t>Зажим разъемный ответвительный РОА-300-1</t>
  </si>
  <si>
    <t>05.1.01.10-0131</t>
  </si>
  <si>
    <t>Лотки каналов и тоннелей железобетонные для прокладки коммуникаций</t>
  </si>
  <si>
    <t>м3</t>
  </si>
  <si>
    <t>20.1.01.02-0066</t>
  </si>
  <si>
    <t>Зажим аппаратный прессуемый: А4А-300-2</t>
  </si>
  <si>
    <t>100 шт.</t>
  </si>
  <si>
    <t>08.3.07.01-0064</t>
  </si>
  <si>
    <t>Сталь полосовая: горячекатаная, марки Ст3, толщина 2-6 мм, ширина 30-40 мм, перфорированная</t>
  </si>
  <si>
    <t>м</t>
  </si>
  <si>
    <t>08.3.07.01-0076</t>
  </si>
  <si>
    <t>Сталь полосовая, марка стали: Ст3сп шириной 50-200 мм толщиной 4-5 мм</t>
  </si>
  <si>
    <t>01.7.17.11-0001</t>
  </si>
  <si>
    <t>Бумага шлифовальная</t>
  </si>
  <si>
    <t>кг</t>
  </si>
  <si>
    <t>01.7.15.03-0034</t>
  </si>
  <si>
    <t>Болты с гайками и шайбами оцинкованные, диаметр: 12 мм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</si>
  <si>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</si>
  <si>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</si>
  <si>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</si>
  <si>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</si>
  <si>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08.4.03.02-0004</t>
  </si>
  <si>
    <t>Горячекатаная арматурная сталь гладкая класса А-I, диаметром: 12 мм</t>
  </si>
  <si>
    <t>14.4.02.09-0001</t>
  </si>
  <si>
    <t>Краска</t>
  </si>
  <si>
    <t>01.7.20.08-0031</t>
  </si>
  <si>
    <t>Бязь суровая арт. 6804</t>
  </si>
  <si>
    <t>10 м2</t>
  </si>
  <si>
    <t>01.3.01.06-0050</t>
  </si>
  <si>
    <t>Смазка универсальная тугоплавкая УТ (консталин жировой)</t>
  </si>
  <si>
    <t>21.2.03.09-0003</t>
  </si>
  <si>
    <t>Провод медный для заземления (ПВ-3 10мм2-135гр/м)</t>
  </si>
  <si>
    <t>01.7.11.07-0034</t>
  </si>
  <si>
    <t>Электроды диаметром: 4 мм Э42А</t>
  </si>
  <si>
    <t>14.4.02.09-0301</t>
  </si>
  <si>
    <t>Краска "Цинол"</t>
  </si>
  <si>
    <t>999-9950</t>
  </si>
  <si>
    <t>Вспомогательные ненормируемые ресурсы (2% от Оплаты труда рабочих)</t>
  </si>
  <si>
    <t>руб</t>
  </si>
  <si>
    <t>01.7.15.03-0031</t>
  </si>
  <si>
    <t>Болты с гайками и шайбами оцинкованные, диаметр: 6 мм (М5)</t>
  </si>
  <si>
    <t>01.7.15.07-0014</t>
  </si>
  <si>
    <t>Дюбели распорные полипропиленовые</t>
  </si>
  <si>
    <t>08.3.05.02-0101</t>
  </si>
  <si>
    <t>Сталь листовая углеродистая обыкновенного качества марки ВСт3пс5 толщиной: 4-6 мм</t>
  </si>
  <si>
    <t>01.7.15.14-0043</t>
  </si>
  <si>
    <t>Шуруп самонарезающий: (LN) 3,5/11 мм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</si>
  <si>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</si>
  <si>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</si>
  <si>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</si>
  <si>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</si>
  <si>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</si>
  <si>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</si>
  <si>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</si>
  <si>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</si>
  <si>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</si>
  <si>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</si>
  <si>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</si>
  <si>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</si>
  <si>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</si>
  <si>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</si>
  <si>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</si>
  <si>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</si>
  <si>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</si>
  <si>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</si>
  <si>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</si>
  <si>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</si>
  <si>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</si>
  <si>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</si>
  <si>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</si>
  <si>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</si>
  <si>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</si>
  <si>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</si>
  <si>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</si>
  <si>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</si>
  <si>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</si>
  <si>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</si>
  <si>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</si>
  <si>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</si>
  <si>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</si>
  <si>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</si>
  <si>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</si>
  <si>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</si>
  <si>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</si>
  <si>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</si>
  <si>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</si>
  <si>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</si>
  <si>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</si>
  <si>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</si>
  <si>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ТТ на три фазы без устройства фундамента напряжение 220(150)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</si>
  <si>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</si>
  <si>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</si>
  <si>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</si>
  <si>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</si>
  <si>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</si>
  <si>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</si>
  <si>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</si>
  <si>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</si>
  <si>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</si>
  <si>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</si>
  <si>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</si>
  <si>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</si>
  <si>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БЦ.14.562</t>
  </si>
  <si>
    <t>Трансформатор тока 220 кВ</t>
  </si>
  <si>
    <t>Итого основное оборудование</t>
  </si>
  <si>
    <t>БЦ.30_1.149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</si>
  <si>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</si>
  <si>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</si>
  <si>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</si>
  <si>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</si>
  <si>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</si>
  <si>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</si>
  <si>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</si>
  <si>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</si>
  <si>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</si>
  <si>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</si>
  <si>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</si>
  <si>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</si>
  <si>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</si>
  <si>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</si>
  <si>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</si>
  <si>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</si>
  <si>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</si>
  <si>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</si>
  <si>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</si>
  <si>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</si>
  <si>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</si>
  <si>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</si>
  <si>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</si>
  <si>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</si>
  <si>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</si>
  <si>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</si>
  <si>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</si>
  <si>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</si>
  <si>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И10-01-4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</si>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</sst>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3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BFBFBF"/>
      <name val="Calibri"/>
    </font>
    <font>
      <b/>
      <sz val="14"/>
      <color rgb="FF000000"/>
      <name val="Times New Roman"/>
    </font>
    <font>
      <b/>
      <sz val="12"/>
      <color rgb="FF000000"/>
      <name val="Calibri"/>
    </font>
    <font>
      <b/>
      <sz val="12"/>
      <color rgb="FF000000"/>
      <name val="Times New Roman"/>
    </font>
    <font>
      <sz val="11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0" fontId="1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170" fontId="20" fillId="4" borderId="0" xfId="0" applyNumberFormat="1" applyFont="1" applyFill="1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71" fontId="13" fillId="4" borderId="0" xfId="0" applyNumberFormat="1" applyFont="1" applyFill="1"/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172" fontId="21" fillId="0" borderId="0" xfId="0" applyNumberFormat="1" applyFont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10" fontId="0" fillId="0" borderId="0" xfId="0" applyNumberFormat="1"/>
    <xf numFmtId="173" fontId="0" fillId="0" borderId="0" xfId="0" applyNumberFormat="1"/>
    <xf numFmtId="168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4" fontId="1" fillId="0" borderId="12" xfId="0" applyNumberFormat="1" applyFont="1" applyBorder="1" applyAlignment="1">
      <alignment horizontal="right" vertical="center" wrapText="1"/>
    </xf>
    <xf numFmtId="4" fontId="4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4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455893</xdr:colOff>
      <xdr:row>18</xdr:row>
      <xdr:rowOff>79562</xdr:rowOff>
    </xdr:from>
    <xdr:to>
      <xdr:col>2</xdr:col>
      <xdr:colOff>1394385</xdr:colOff>
      <xdr:row>21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805" y="520065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397623</xdr:colOff>
      <xdr:row>15</xdr:row>
      <xdr:rowOff>90207</xdr:rowOff>
    </xdr:from>
    <xdr:to>
      <xdr:col>2</xdr:col>
      <xdr:colOff>1300817</xdr:colOff>
      <xdr:row>17</xdr:row>
      <xdr:rowOff>45795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35" y="463979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859306</xdr:colOff>
      <xdr:row>62</xdr:row>
      <xdr:rowOff>90768</xdr:rowOff>
    </xdr:from>
    <xdr:to>
      <xdr:col>2</xdr:col>
      <xdr:colOff>809999</xdr:colOff>
      <xdr:row>65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894" y="15700562"/>
          <a:ext cx="936811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27829</xdr:colOff>
      <xdr:row>59</xdr:row>
      <xdr:rowOff>135031</xdr:rowOff>
    </xdr:from>
    <xdr:to>
      <xdr:col>2</xdr:col>
      <xdr:colOff>929342</xdr:colOff>
      <xdr:row>61</xdr:row>
      <xdr:rowOff>90619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535" y="15173325"/>
          <a:ext cx="901513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885079</xdr:colOff>
      <xdr:row>43</xdr:row>
      <xdr:rowOff>84045</xdr:rowOff>
    </xdr:from>
    <xdr:to>
      <xdr:col>1</xdr:col>
      <xdr:colOff>1823571</xdr:colOff>
      <xdr:row>46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304" y="118188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41</xdr:row>
      <xdr:rowOff>29135</xdr:rowOff>
    </xdr:from>
    <xdr:to>
      <xdr:col>1</xdr:col>
      <xdr:colOff>1839820</xdr:colOff>
      <xdr:row>42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1" y="11382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971364</xdr:colOff>
      <xdr:row>80</xdr:row>
      <xdr:rowOff>68357</xdr:rowOff>
    </xdr:from>
    <xdr:to>
      <xdr:col>2</xdr:col>
      <xdr:colOff>408268</xdr:colOff>
      <xdr:row>83</xdr:row>
      <xdr:rowOff>52482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364" y="2033979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1013946</xdr:colOff>
      <xdr:row>77</xdr:row>
      <xdr:rowOff>35858</xdr:rowOff>
    </xdr:from>
    <xdr:to>
      <xdr:col>2</xdr:col>
      <xdr:colOff>415552</xdr:colOff>
      <xdr:row>79</xdr:row>
      <xdr:rowOff>10496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946" y="19747005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808879</xdr:colOff>
      <xdr:row>18</xdr:row>
      <xdr:rowOff>74520</xdr:rowOff>
    </xdr:from>
    <xdr:to>
      <xdr:col>2</xdr:col>
      <xdr:colOff>756771</xdr:colOff>
      <xdr:row>21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879" y="44655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3176</xdr:colOff>
      <xdr:row>16</xdr:row>
      <xdr:rowOff>19610</xdr:rowOff>
    </xdr:from>
    <xdr:to>
      <xdr:col>2</xdr:col>
      <xdr:colOff>906370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40296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827929</xdr:colOff>
      <xdr:row>13</xdr:row>
      <xdr:rowOff>93570</xdr:rowOff>
    </xdr:from>
    <xdr:to>
      <xdr:col>1</xdr:col>
      <xdr:colOff>1766421</xdr:colOff>
      <xdr:row>16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954" y="36082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927101</xdr:colOff>
      <xdr:row>11</xdr:row>
      <xdr:rowOff>19610</xdr:rowOff>
    </xdr:from>
    <xdr:to>
      <xdr:col>1</xdr:col>
      <xdr:colOff>1830295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126" y="31533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1066054</xdr:colOff>
      <xdr:row>26</xdr:row>
      <xdr:rowOff>64995</xdr:rowOff>
    </xdr:from>
    <xdr:to>
      <xdr:col>1</xdr:col>
      <xdr:colOff>2004546</xdr:colOff>
      <xdr:row>29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654" y="88756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23</xdr:row>
      <xdr:rowOff>76760</xdr:rowOff>
    </xdr:from>
    <xdr:to>
      <xdr:col>1</xdr:col>
      <xdr:colOff>1877920</xdr:colOff>
      <xdr:row>25</xdr:row>
      <xdr:rowOff>32348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326" y="831588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2" t="s">
        <v>0</v>
      </c>
      <c r="B2" s="242"/>
      <c r="C2" s="242"/>
    </row>
    <row r="3" spans="1:3" x14ac:dyDescent="0.25">
      <c r="A3" s="1"/>
      <c r="B3" s="1"/>
      <c r="C3" s="1"/>
    </row>
    <row r="4" spans="1:3" x14ac:dyDescent="0.25">
      <c r="A4" s="243" t="s">
        <v>1</v>
      </c>
      <c r="B4" s="243"/>
      <c r="C4" s="24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44" t="s">
        <v>3</v>
      </c>
      <c r="C6" s="244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6" t="s">
        <v>8</v>
      </c>
      <c r="B10" s="117" t="s">
        <v>9</v>
      </c>
      <c r="C10" s="3">
        <f>'4.5 РМ'!B36/1000</f>
        <v>2107.9514274749999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25" sqref="D25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282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42" t="s">
        <v>283</v>
      </c>
      <c r="B3" s="242"/>
      <c r="C3" s="242"/>
      <c r="D3" s="242"/>
    </row>
    <row r="4" spans="1:5" ht="24.75" customHeight="1" x14ac:dyDescent="0.25">
      <c r="A4" s="175"/>
      <c r="B4" s="175"/>
      <c r="C4" s="175"/>
      <c r="D4" s="175"/>
    </row>
    <row r="5" spans="1:5" ht="47.25" customHeight="1" x14ac:dyDescent="0.25">
      <c r="A5" s="245" t="s">
        <v>284</v>
      </c>
      <c r="B5" s="245"/>
      <c r="C5" s="245"/>
      <c r="D5" s="207" t="str">
        <f>'Прил.5 Расчет СМР и ОБ'!D6:J6</f>
        <v>ТТ на три фазы без устройства фундамента напряжение 220(150) кВ</v>
      </c>
    </row>
    <row r="6" spans="1:5" ht="19.899999999999999" customHeight="1" x14ac:dyDescent="0.25">
      <c r="A6" s="245" t="s">
        <v>285</v>
      </c>
      <c r="B6" s="245"/>
      <c r="C6" s="245"/>
      <c r="D6" s="207"/>
    </row>
    <row r="7" spans="1:5" x14ac:dyDescent="0.25">
      <c r="A7" s="208"/>
      <c r="B7" s="208"/>
      <c r="C7" s="208"/>
      <c r="D7" s="208"/>
    </row>
    <row r="8" spans="1:5" ht="14.45" customHeight="1" x14ac:dyDescent="0.25">
      <c r="A8" s="255" t="s">
        <v>5</v>
      </c>
      <c r="B8" s="255" t="s">
        <v>6</v>
      </c>
      <c r="C8" s="255" t="s">
        <v>286</v>
      </c>
      <c r="D8" s="255" t="s">
        <v>287</v>
      </c>
    </row>
    <row r="9" spans="1:5" ht="15" customHeight="1" x14ac:dyDescent="0.25">
      <c r="A9" s="255"/>
      <c r="B9" s="255"/>
      <c r="C9" s="255"/>
      <c r="D9" s="255"/>
    </row>
    <row r="10" spans="1:5" x14ac:dyDescent="0.25">
      <c r="A10" s="209">
        <v>1</v>
      </c>
      <c r="B10" s="209">
        <v>2</v>
      </c>
      <c r="C10" s="209">
        <v>3</v>
      </c>
      <c r="D10" s="209">
        <v>4</v>
      </c>
    </row>
    <row r="11" spans="1:5" ht="41.45" customHeight="1" x14ac:dyDescent="0.25">
      <c r="A11" s="209" t="s">
        <v>288</v>
      </c>
      <c r="B11" s="209" t="s">
        <v>289</v>
      </c>
      <c r="C11" s="239" t="str">
        <f>D5</f>
        <v>ТТ на три фазы без устройства фундамента напряжение 220(150) кВ</v>
      </c>
      <c r="D11" s="210">
        <f>'Прил.4 РМ'!C41/1000</f>
        <v>7617.1431499999999</v>
      </c>
      <c r="E11" s="121"/>
    </row>
    <row r="12" spans="1:5" x14ac:dyDescent="0.25">
      <c r="A12" s="211"/>
      <c r="B12" s="212"/>
      <c r="C12" s="211"/>
      <c r="D12" s="211"/>
    </row>
    <row r="13" spans="1:5" s="224" customFormat="1" x14ac:dyDescent="0.25">
      <c r="B13" s="208" t="s">
        <v>469</v>
      </c>
      <c r="C13" s="213"/>
    </row>
    <row r="14" spans="1:5" s="224" customFormat="1" x14ac:dyDescent="0.25">
      <c r="B14" s="33" t="s">
        <v>77</v>
      </c>
      <c r="C14" s="213"/>
    </row>
    <row r="15" spans="1:5" s="224" customFormat="1" x14ac:dyDescent="0.25">
      <c r="B15" s="208"/>
      <c r="C15" s="213"/>
    </row>
    <row r="16" spans="1:5" s="224" customFormat="1" x14ac:dyDescent="0.25">
      <c r="B16" s="208" t="s">
        <v>470</v>
      </c>
      <c r="C16" s="213"/>
    </row>
    <row r="17" spans="2:3" s="224" customFormat="1" x14ac:dyDescent="0.25">
      <c r="B17" s="33" t="s">
        <v>78</v>
      </c>
      <c r="C17" s="21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6" zoomScale="60" zoomScaleNormal="100" workbookViewId="0">
      <selection activeCell="D25" sqref="D25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50" t="s">
        <v>290</v>
      </c>
      <c r="C4" s="250"/>
      <c r="D4" s="250"/>
    </row>
    <row r="5" spans="2:4" ht="18.75" customHeight="1" x14ac:dyDescent="0.25">
      <c r="B5" s="133"/>
    </row>
    <row r="6" spans="2:4" ht="15.75" customHeight="1" x14ac:dyDescent="0.25">
      <c r="B6" s="256" t="s">
        <v>291</v>
      </c>
      <c r="C6" s="256"/>
      <c r="D6" s="256"/>
    </row>
    <row r="7" spans="2:4" ht="18.75" customHeight="1" x14ac:dyDescent="0.25">
      <c r="B7" s="134"/>
    </row>
    <row r="8" spans="2:4" ht="47.25" customHeight="1" x14ac:dyDescent="0.25">
      <c r="B8" s="135" t="s">
        <v>292</v>
      </c>
      <c r="C8" s="135" t="s">
        <v>293</v>
      </c>
      <c r="D8" s="135" t="s">
        <v>294</v>
      </c>
    </row>
    <row r="9" spans="2:4" ht="15.75" customHeight="1" x14ac:dyDescent="0.25">
      <c r="B9" s="135">
        <v>1</v>
      </c>
      <c r="C9" s="135">
        <v>2</v>
      </c>
      <c r="D9" s="135">
        <v>3</v>
      </c>
    </row>
    <row r="10" spans="2:4" ht="31.5" customHeight="1" x14ac:dyDescent="0.25">
      <c r="B10" s="135" t="s">
        <v>295</v>
      </c>
      <c r="C10" s="135" t="s">
        <v>296</v>
      </c>
      <c r="D10" s="135">
        <v>44.29</v>
      </c>
    </row>
    <row r="11" spans="2:4" ht="31.5" customHeight="1" x14ac:dyDescent="0.25">
      <c r="B11" s="135" t="s">
        <v>297</v>
      </c>
      <c r="C11" s="135" t="s">
        <v>296</v>
      </c>
      <c r="D11" s="135">
        <v>13.47</v>
      </c>
    </row>
    <row r="12" spans="2:4" ht="31.5" customHeight="1" x14ac:dyDescent="0.25">
      <c r="B12" s="135" t="s">
        <v>298</v>
      </c>
      <c r="C12" s="135" t="s">
        <v>296</v>
      </c>
      <c r="D12" s="135">
        <v>8.0399999999999991</v>
      </c>
    </row>
    <row r="13" spans="2:4" ht="31.5" customHeight="1" x14ac:dyDescent="0.25">
      <c r="B13" s="135" t="s">
        <v>299</v>
      </c>
      <c r="C13" s="199" t="s">
        <v>300</v>
      </c>
      <c r="D13" s="135">
        <v>6.26</v>
      </c>
    </row>
    <row r="14" spans="2:4" ht="89.25" customHeight="1" x14ac:dyDescent="0.25">
      <c r="B14" s="135" t="s">
        <v>301</v>
      </c>
      <c r="C14" s="135" t="s">
        <v>302</v>
      </c>
      <c r="D14" s="139">
        <v>3.9E-2</v>
      </c>
    </row>
    <row r="15" spans="2:4" ht="78.75" customHeight="1" x14ac:dyDescent="0.25">
      <c r="B15" s="135" t="s">
        <v>303</v>
      </c>
      <c r="C15" s="135" t="s">
        <v>304</v>
      </c>
      <c r="D15" s="139">
        <v>2.1000000000000001E-2</v>
      </c>
    </row>
    <row r="16" spans="2:4" ht="15.75" customHeight="1" x14ac:dyDescent="0.25">
      <c r="B16" s="135" t="s">
        <v>229</v>
      </c>
      <c r="C16" s="135"/>
      <c r="D16" s="135" t="s">
        <v>305</v>
      </c>
    </row>
    <row r="17" spans="2:4" ht="31.5" customHeight="1" x14ac:dyDescent="0.25">
      <c r="B17" s="135" t="s">
        <v>306</v>
      </c>
      <c r="C17" s="135" t="s">
        <v>307</v>
      </c>
      <c r="D17" s="139">
        <v>2.1399999999999999E-2</v>
      </c>
    </row>
    <row r="18" spans="2:4" ht="31.5" customHeight="1" x14ac:dyDescent="0.25">
      <c r="B18" s="135" t="s">
        <v>235</v>
      </c>
      <c r="C18" s="135" t="s">
        <v>308</v>
      </c>
      <c r="D18" s="139">
        <v>2E-3</v>
      </c>
    </row>
    <row r="19" spans="2:4" ht="24" customHeight="1" x14ac:dyDescent="0.25">
      <c r="B19" s="135" t="s">
        <v>237</v>
      </c>
      <c r="C19" s="135" t="s">
        <v>309</v>
      </c>
      <c r="D19" s="139">
        <v>0.03</v>
      </c>
    </row>
    <row r="20" spans="2:4" ht="18.75" customHeight="1" x14ac:dyDescent="0.25">
      <c r="B20" s="134"/>
    </row>
    <row r="21" spans="2:4" ht="18.75" customHeight="1" x14ac:dyDescent="0.25">
      <c r="B21" s="134"/>
    </row>
    <row r="22" spans="2:4" ht="18.75" customHeight="1" x14ac:dyDescent="0.25">
      <c r="B22" s="134"/>
    </row>
    <row r="23" spans="2:4" ht="18.75" customHeight="1" x14ac:dyDescent="0.25">
      <c r="B23" s="134"/>
    </row>
    <row r="26" spans="2:4" s="224" customFormat="1" x14ac:dyDescent="0.25">
      <c r="B26" s="208" t="s">
        <v>469</v>
      </c>
      <c r="C26" s="213"/>
    </row>
    <row r="27" spans="2:4" s="224" customFormat="1" x14ac:dyDescent="0.25">
      <c r="B27" s="33" t="s">
        <v>77</v>
      </c>
      <c r="C27" s="213"/>
    </row>
    <row r="28" spans="2:4" s="224" customFormat="1" x14ac:dyDescent="0.25">
      <c r="B28" s="208"/>
      <c r="C28" s="213"/>
    </row>
    <row r="29" spans="2:4" s="224" customFormat="1" x14ac:dyDescent="0.25">
      <c r="B29" s="208" t="s">
        <v>470</v>
      </c>
      <c r="C29" s="213"/>
    </row>
    <row r="30" spans="2:4" s="224" customFormat="1" x14ac:dyDescent="0.25">
      <c r="B30" s="33" t="s">
        <v>78</v>
      </c>
      <c r="C30" s="213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8" t="s">
        <v>204</v>
      </c>
      <c r="B1" s="248"/>
      <c r="C1" s="248"/>
      <c r="D1" s="248"/>
    </row>
    <row r="2" spans="1:10" x14ac:dyDescent="0.25">
      <c r="A2" s="287" t="str">
        <f>'4.1 Отдел 1'!A10</f>
        <v>B1-01-05-1</v>
      </c>
      <c r="B2" s="287"/>
      <c r="C2" s="287"/>
      <c r="D2" s="287"/>
    </row>
    <row r="3" spans="1:10" x14ac:dyDescent="0.25">
      <c r="A3" s="288"/>
      <c r="B3" s="288"/>
      <c r="C3" s="288"/>
      <c r="D3" s="288"/>
    </row>
    <row r="4" spans="1:10" ht="51.75" customHeight="1" x14ac:dyDescent="0.25">
      <c r="A4" s="245" t="e">
        <f>#REF!</f>
        <v>#REF!</v>
      </c>
      <c r="B4" s="245"/>
      <c r="C4" s="245"/>
      <c r="D4" s="245"/>
    </row>
    <row r="5" spans="1:10" ht="15" customHeight="1" x14ac:dyDescent="0.25">
      <c r="A5" s="245"/>
      <c r="B5" s="265"/>
      <c r="C5" s="265"/>
      <c r="D5" s="265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205</v>
      </c>
      <c r="B7" s="2" t="s">
        <v>102</v>
      </c>
      <c r="C7" s="2" t="s">
        <v>310</v>
      </c>
      <c r="D7" s="2" t="s">
        <v>311</v>
      </c>
    </row>
    <row r="8" spans="1:10" x14ac:dyDescent="0.25">
      <c r="A8" s="25" t="s">
        <v>209</v>
      </c>
      <c r="B8" s="26">
        <f>'Прил.5 Расчет СМР и ОБ'!G16</f>
        <v>11791.28</v>
      </c>
      <c r="C8" s="27">
        <f t="shared" ref="C8:C15" si="0">B8/$B$21</f>
        <v>0.14003706166377</v>
      </c>
      <c r="D8" s="27">
        <f t="shared" ref="D8:D15" si="1">B8/$B$35</f>
        <v>5.5937152281180002E-3</v>
      </c>
      <c r="I8" s="28"/>
      <c r="J8" s="28"/>
    </row>
    <row r="9" spans="1:10" x14ac:dyDescent="0.25">
      <c r="A9" s="25" t="s">
        <v>210</v>
      </c>
      <c r="B9" s="26">
        <f>'Прил.5 Расчет СМР и ОБ'!G24</f>
        <v>11650.99</v>
      </c>
      <c r="C9" s="27">
        <f t="shared" si="0"/>
        <v>0.13837093216970001</v>
      </c>
      <c r="D9" s="27">
        <f t="shared" si="1"/>
        <v>5.5271624612128999E-3</v>
      </c>
      <c r="I9" s="28"/>
      <c r="J9" s="28"/>
    </row>
    <row r="10" spans="1:10" x14ac:dyDescent="0.25">
      <c r="A10" s="25" t="s">
        <v>211</v>
      </c>
      <c r="B10" s="26">
        <f>'Прил.5 Расчет СМР и ОБ'!G30</f>
        <v>739.16</v>
      </c>
      <c r="C10" s="27">
        <f t="shared" si="0"/>
        <v>8.7785036484071995E-3</v>
      </c>
      <c r="D10" s="27">
        <f t="shared" si="1"/>
        <v>3.5065324104047001E-4</v>
      </c>
      <c r="I10" s="28"/>
      <c r="J10" s="28"/>
    </row>
    <row r="11" spans="1:10" x14ac:dyDescent="0.25">
      <c r="A11" s="25" t="s">
        <v>212</v>
      </c>
      <c r="B11" s="26">
        <f>B9+B10</f>
        <v>12390.15</v>
      </c>
      <c r="C11" s="27">
        <f t="shared" si="0"/>
        <v>0.14714943581810999</v>
      </c>
      <c r="D11" s="27">
        <f t="shared" si="1"/>
        <v>5.8778157022534002E-3</v>
      </c>
      <c r="I11" s="28"/>
      <c r="J11" s="28"/>
    </row>
    <row r="12" spans="1:10" x14ac:dyDescent="0.25">
      <c r="A12" s="25" t="s">
        <v>213</v>
      </c>
      <c r="B12" s="26">
        <f>'Прил.5 Расчет СМР и ОБ'!G18</f>
        <v>2286.9</v>
      </c>
      <c r="C12" s="27">
        <f t="shared" si="0"/>
        <v>2.7159965357355001E-2</v>
      </c>
      <c r="D12" s="27">
        <f t="shared" si="1"/>
        <v>1.0848921707552999E-3</v>
      </c>
      <c r="I12" s="28"/>
      <c r="J12" s="28"/>
    </row>
    <row r="13" spans="1:10" x14ac:dyDescent="0.25">
      <c r="A13" s="25" t="s">
        <v>214</v>
      </c>
      <c r="B13" s="26">
        <f>'Прил.5 Расчет СМР и ОБ'!G46</f>
        <v>33720.94</v>
      </c>
      <c r="C13" s="27">
        <f t="shared" si="0"/>
        <v>0.40048080905043998</v>
      </c>
      <c r="D13" s="27">
        <f t="shared" si="1"/>
        <v>1.5997019457128999E-2</v>
      </c>
      <c r="I13" s="28"/>
      <c r="J13" s="28"/>
    </row>
    <row r="14" spans="1:10" x14ac:dyDescent="0.25">
      <c r="A14" s="25" t="s">
        <v>215</v>
      </c>
      <c r="B14" s="26">
        <f>'Прил.5 Расчет СМР и ОБ'!G68</f>
        <v>5913.23</v>
      </c>
      <c r="C14" s="27">
        <f t="shared" si="0"/>
        <v>7.0227435371056995E-2</v>
      </c>
      <c r="D14" s="27">
        <f t="shared" si="1"/>
        <v>2.8052022086122001E-3</v>
      </c>
      <c r="I14" s="28"/>
      <c r="J14" s="28"/>
    </row>
    <row r="15" spans="1:10" x14ac:dyDescent="0.25">
      <c r="A15" s="25" t="s">
        <v>216</v>
      </c>
      <c r="B15" s="26">
        <f>B13+B14</f>
        <v>39634.17</v>
      </c>
      <c r="C15" s="27">
        <f t="shared" si="0"/>
        <v>0.47070824442149001</v>
      </c>
      <c r="D15" s="27">
        <f t="shared" si="1"/>
        <v>1.8802221665741001E-2</v>
      </c>
      <c r="I15" s="28"/>
      <c r="J15" s="28"/>
    </row>
    <row r="16" spans="1:10" x14ac:dyDescent="0.25">
      <c r="A16" s="25" t="s">
        <v>217</v>
      </c>
      <c r="B16" s="26">
        <f>B8+B11+B15</f>
        <v>63815.6</v>
      </c>
      <c r="C16" s="27"/>
      <c r="D16" s="27"/>
      <c r="I16" s="28"/>
      <c r="J16" s="28"/>
    </row>
    <row r="17" spans="1:10" x14ac:dyDescent="0.25">
      <c r="A17" s="25" t="s">
        <v>218</v>
      </c>
      <c r="B17" s="26">
        <f>'Прил.5 Расчет СМР и ОБ'!G72</f>
        <v>8194.0494096439998</v>
      </c>
      <c r="C17" s="27">
        <f>B17/$B$21</f>
        <v>9.7315185667229007E-2</v>
      </c>
      <c r="D17" s="27">
        <f>B17/$B$35</f>
        <v>3.8872097823711002E-3</v>
      </c>
      <c r="I17" s="28"/>
      <c r="J17" s="28"/>
    </row>
    <row r="18" spans="1:10" x14ac:dyDescent="0.25">
      <c r="A18" s="25" t="s">
        <v>219</v>
      </c>
      <c r="B18" s="29">
        <f>B17/(B8+B12)</f>
        <v>0.58203897163156004</v>
      </c>
      <c r="C18" s="27"/>
      <c r="D18" s="27"/>
      <c r="I18" s="28"/>
      <c r="J18" s="28"/>
    </row>
    <row r="19" spans="1:10" x14ac:dyDescent="0.25">
      <c r="A19" s="25" t="s">
        <v>220</v>
      </c>
      <c r="B19" s="26">
        <f>'Прил.5 Расчет СМР и ОБ'!G71</f>
        <v>12191.488916945</v>
      </c>
      <c r="C19" s="27">
        <f>B19/$B$21</f>
        <v>0.14479007242940001</v>
      </c>
      <c r="D19" s="27">
        <f>B19/$B$35</f>
        <v>5.7835720301906996E-3</v>
      </c>
      <c r="I19" s="28"/>
      <c r="J19" s="28"/>
    </row>
    <row r="20" spans="1:10" x14ac:dyDescent="0.25">
      <c r="A20" s="25" t="s">
        <v>221</v>
      </c>
      <c r="B20" s="29">
        <f>B19/(B8+B12)</f>
        <v>0.86598473076384996</v>
      </c>
      <c r="C20" s="27"/>
      <c r="D20" s="27"/>
      <c r="J20" s="28"/>
    </row>
    <row r="21" spans="1:10" x14ac:dyDescent="0.25">
      <c r="A21" s="25" t="s">
        <v>222</v>
      </c>
      <c r="B21" s="26">
        <f>B16+B17+B19</f>
        <v>84201.138326589004</v>
      </c>
      <c r="C21" s="27">
        <f>B21/$B$21</f>
        <v>1</v>
      </c>
      <c r="D21" s="27">
        <f>B21/$B$35</f>
        <v>3.9944534408674001E-2</v>
      </c>
      <c r="J21" s="28"/>
    </row>
    <row r="22" spans="1:10" ht="26.45" customHeight="1" x14ac:dyDescent="0.25">
      <c r="A22" s="25" t="s">
        <v>223</v>
      </c>
      <c r="B22" s="26">
        <f>'Прил.6 Расчет ОБ'!G16</f>
        <v>1954217.24</v>
      </c>
      <c r="C22" s="27"/>
      <c r="D22" s="27">
        <f>B22/$B$35</f>
        <v>0.92706938809346995</v>
      </c>
      <c r="J22" s="28"/>
    </row>
    <row r="23" spans="1:10" ht="26.45" customHeight="1" x14ac:dyDescent="0.25">
      <c r="A23" s="25" t="s">
        <v>224</v>
      </c>
      <c r="B23" s="26">
        <f>'Прил.6 Расчет ОБ'!G15</f>
        <v>1954217.24</v>
      </c>
      <c r="C23" s="27"/>
      <c r="D23" s="27">
        <f>B23/$B$35</f>
        <v>0.92706938809346995</v>
      </c>
      <c r="J23" s="28"/>
    </row>
    <row r="24" spans="1:10" x14ac:dyDescent="0.25">
      <c r="A24" s="25" t="s">
        <v>225</v>
      </c>
      <c r="B24" s="26">
        <f>'Прил.5 Расчет СМР и ОБ'!G74</f>
        <v>2038418.3783266</v>
      </c>
      <c r="C24" s="27"/>
      <c r="D24" s="27">
        <f>B24/$B$35</f>
        <v>0.96701392250215001</v>
      </c>
      <c r="J24" s="28"/>
    </row>
    <row r="25" spans="1:10" ht="26.45" customHeight="1" x14ac:dyDescent="0.25">
      <c r="A25" s="25" t="s">
        <v>226</v>
      </c>
      <c r="B25" s="26"/>
      <c r="C25" s="27"/>
      <c r="D25" s="27"/>
      <c r="J25" s="28"/>
    </row>
    <row r="26" spans="1:10" x14ac:dyDescent="0.25">
      <c r="A26" s="25" t="s">
        <v>312</v>
      </c>
      <c r="B26" s="26">
        <f>'4.7 Прил.6 Расчет Прочие'!I9*1000</f>
        <v>278.41007999999999</v>
      </c>
      <c r="C26" s="27"/>
      <c r="D26" s="27">
        <f>B26/$B$35</f>
        <v>1.3207613627676999E-4</v>
      </c>
      <c r="J26" s="28"/>
    </row>
    <row r="27" spans="1:10" x14ac:dyDescent="0.25">
      <c r="A27" s="25" t="s">
        <v>313</v>
      </c>
      <c r="B27" s="26">
        <f>'4.7 Прил.6 Расчет Прочие'!I11*1000</f>
        <v>86.950678710000005</v>
      </c>
      <c r="C27" s="27"/>
      <c r="D27" s="27">
        <f>B27/$B$35</f>
        <v>4.1248900509133003E-5</v>
      </c>
      <c r="J27" s="28"/>
    </row>
    <row r="28" spans="1:10" x14ac:dyDescent="0.25">
      <c r="A28" s="25" t="s">
        <v>314</v>
      </c>
      <c r="B28" s="26">
        <f>'4.7 Прил.6 Расчет Прочие'!I12*1000</f>
        <v>5470.4031199999999</v>
      </c>
      <c r="C28" s="27"/>
      <c r="D28" s="27">
        <f>B28/$B$35</f>
        <v>2.5951276906569002E-3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306</v>
      </c>
      <c r="B30" s="26">
        <f>'4.7 Прил.6 Расчет Прочие'!I14*1000</f>
        <v>2300.6417510043998</v>
      </c>
      <c r="C30" s="27"/>
      <c r="D30" s="27">
        <f>B30/$B$35</f>
        <v>1.0914111781789001E-3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315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236</v>
      </c>
      <c r="B33" s="26">
        <f>B24+B26+B27+B28+B30+B32</f>
        <v>2046554.7839563</v>
      </c>
      <c r="C33" s="27"/>
      <c r="D33" s="27">
        <f>B33/$B$35</f>
        <v>0.97087378640777</v>
      </c>
      <c r="J33" s="28"/>
    </row>
    <row r="34" spans="1:10" x14ac:dyDescent="0.25">
      <c r="A34" s="25" t="s">
        <v>237</v>
      </c>
      <c r="B34" s="26">
        <f>B33*3%</f>
        <v>61396.643518689001</v>
      </c>
      <c r="C34" s="27"/>
      <c r="D34" s="27">
        <f>B34/$B$35</f>
        <v>2.9126213592233E-2</v>
      </c>
      <c r="J34" s="28"/>
    </row>
    <row r="35" spans="1:10" x14ac:dyDescent="0.25">
      <c r="A35" s="25" t="s">
        <v>238</v>
      </c>
      <c r="B35" s="26">
        <f>B33+B34</f>
        <v>2107951.4274749998</v>
      </c>
      <c r="C35" s="27"/>
      <c r="D35" s="27">
        <f>B35/$B$35</f>
        <v>1</v>
      </c>
      <c r="J35" s="28"/>
    </row>
    <row r="36" spans="1:10" x14ac:dyDescent="0.25">
      <c r="A36" s="25" t="s">
        <v>239</v>
      </c>
      <c r="B36" s="26">
        <f>B35</f>
        <v>2107951.4274749998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316</v>
      </c>
      <c r="B38" s="30"/>
      <c r="C38" s="30"/>
      <c r="D38" s="30"/>
    </row>
    <row r="39" spans="1:10" x14ac:dyDescent="0.25">
      <c r="A39" s="31" t="s">
        <v>317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318</v>
      </c>
      <c r="B41" s="30"/>
      <c r="C41" s="30"/>
      <c r="D41" s="30"/>
    </row>
    <row r="42" spans="1:10" x14ac:dyDescent="0.25">
      <c r="A42" s="31" t="s">
        <v>319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tabSelected="1" view="pageBreakPreview" topLeftCell="A13" workbookViewId="0">
      <selection activeCell="D25" sqref="D2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9" t="s">
        <v>320</v>
      </c>
      <c r="B2" s="289"/>
      <c r="C2" s="289"/>
      <c r="D2" s="289"/>
      <c r="E2" s="289"/>
      <c r="F2" s="289"/>
    </row>
    <row r="4" spans="1:7" ht="18" customHeight="1" x14ac:dyDescent="0.25">
      <c r="A4" s="122" t="s">
        <v>321</v>
      </c>
    </row>
    <row r="5" spans="1:7" x14ac:dyDescent="0.25">
      <c r="A5" s="58" t="s">
        <v>13</v>
      </c>
      <c r="B5" s="58" t="s">
        <v>322</v>
      </c>
      <c r="C5" s="58" t="s">
        <v>323</v>
      </c>
      <c r="D5" s="58" t="s">
        <v>324</v>
      </c>
      <c r="E5" s="58" t="s">
        <v>325</v>
      </c>
      <c r="F5" s="58" t="s">
        <v>326</v>
      </c>
    </row>
    <row r="6" spans="1:7" x14ac:dyDescent="0.25">
      <c r="A6" s="214">
        <v>1</v>
      </c>
      <c r="B6" s="214">
        <v>2</v>
      </c>
      <c r="C6" s="214">
        <v>3</v>
      </c>
      <c r="D6" s="214">
        <v>4</v>
      </c>
      <c r="E6" s="214">
        <v>5</v>
      </c>
      <c r="F6" s="214">
        <v>6</v>
      </c>
    </row>
    <row r="7" spans="1:7" ht="105" customHeight="1" x14ac:dyDescent="0.25">
      <c r="A7" s="215" t="s">
        <v>327</v>
      </c>
      <c r="B7" s="216" t="s">
        <v>328</v>
      </c>
      <c r="C7" s="217" t="s">
        <v>329</v>
      </c>
      <c r="D7" s="217" t="s">
        <v>330</v>
      </c>
      <c r="E7" s="218">
        <v>47872.94</v>
      </c>
      <c r="F7" s="216" t="s">
        <v>331</v>
      </c>
    </row>
    <row r="8" spans="1:7" ht="30" customHeight="1" x14ac:dyDescent="0.25">
      <c r="A8" s="215" t="s">
        <v>332</v>
      </c>
      <c r="B8" s="216" t="s">
        <v>333</v>
      </c>
      <c r="C8" s="217" t="s">
        <v>334</v>
      </c>
      <c r="D8" s="217" t="s">
        <v>335</v>
      </c>
      <c r="E8" s="218">
        <f>1973/12</f>
        <v>164.41666666667001</v>
      </c>
      <c r="F8" s="216" t="s">
        <v>336</v>
      </c>
      <c r="G8" s="124"/>
    </row>
    <row r="9" spans="1:7" x14ac:dyDescent="0.25">
      <c r="A9" s="215" t="s">
        <v>337</v>
      </c>
      <c r="B9" s="216" t="s">
        <v>338</v>
      </c>
      <c r="C9" s="217" t="s">
        <v>339</v>
      </c>
      <c r="D9" s="217" t="s">
        <v>330</v>
      </c>
      <c r="E9" s="218">
        <v>1</v>
      </c>
      <c r="F9" s="216"/>
      <c r="G9" s="125"/>
    </row>
    <row r="10" spans="1:7" x14ac:dyDescent="0.25">
      <c r="A10" s="215" t="s">
        <v>340</v>
      </c>
      <c r="B10" s="216" t="s">
        <v>341</v>
      </c>
      <c r="C10" s="217"/>
      <c r="D10" s="217"/>
      <c r="E10" s="219">
        <v>4</v>
      </c>
      <c r="F10" s="216" t="s">
        <v>342</v>
      </c>
      <c r="G10" s="125"/>
    </row>
    <row r="11" spans="1:7" ht="75" customHeight="1" x14ac:dyDescent="0.25">
      <c r="A11" s="215" t="s">
        <v>343</v>
      </c>
      <c r="B11" s="216" t="s">
        <v>344</v>
      </c>
      <c r="C11" s="217" t="s">
        <v>345</v>
      </c>
      <c r="D11" s="217" t="s">
        <v>330</v>
      </c>
      <c r="E11" s="220">
        <v>1.34</v>
      </c>
      <c r="F11" s="216" t="s">
        <v>346</v>
      </c>
    </row>
    <row r="12" spans="1:7" ht="75" customHeight="1" x14ac:dyDescent="0.25">
      <c r="A12" s="215" t="s">
        <v>347</v>
      </c>
      <c r="B12" s="221" t="s">
        <v>348</v>
      </c>
      <c r="C12" s="217" t="s">
        <v>349</v>
      </c>
      <c r="D12" s="217" t="s">
        <v>330</v>
      </c>
      <c r="E12" s="222">
        <v>1.139</v>
      </c>
      <c r="F12" s="223" t="s">
        <v>350</v>
      </c>
      <c r="G12" s="125" t="s">
        <v>351</v>
      </c>
    </row>
    <row r="13" spans="1:7" ht="60" customHeight="1" x14ac:dyDescent="0.25">
      <c r="A13" s="215" t="s">
        <v>352</v>
      </c>
      <c r="B13" s="131" t="s">
        <v>353</v>
      </c>
      <c r="C13" s="217" t="s">
        <v>354</v>
      </c>
      <c r="D13" s="217" t="s">
        <v>355</v>
      </c>
      <c r="E13" s="132">
        <f>((E7*E9/E8)*E11)*E12</f>
        <v>444.39870291576</v>
      </c>
      <c r="F13" s="216" t="s">
        <v>356</v>
      </c>
    </row>
    <row r="14" spans="1:7" x14ac:dyDescent="0.25">
      <c r="A14" s="224"/>
      <c r="B14" s="225" t="s">
        <v>108</v>
      </c>
      <c r="C14" s="224"/>
      <c r="D14" s="224"/>
      <c r="E14" s="224"/>
      <c r="F14" s="224"/>
    </row>
    <row r="15" spans="1:7" ht="90" customHeight="1" x14ac:dyDescent="0.25">
      <c r="A15" s="215" t="s">
        <v>327</v>
      </c>
      <c r="B15" s="216" t="s">
        <v>328</v>
      </c>
      <c r="C15" s="217" t="s">
        <v>329</v>
      </c>
      <c r="D15" s="217" t="s">
        <v>330</v>
      </c>
      <c r="E15" s="218">
        <v>47872.94</v>
      </c>
      <c r="F15" s="216" t="s">
        <v>357</v>
      </c>
    </row>
    <row r="16" spans="1:7" ht="30" customHeight="1" x14ac:dyDescent="0.25">
      <c r="A16" s="215" t="s">
        <v>332</v>
      </c>
      <c r="B16" s="216" t="s">
        <v>333</v>
      </c>
      <c r="C16" s="217" t="s">
        <v>334</v>
      </c>
      <c r="D16" s="217" t="s">
        <v>335</v>
      </c>
      <c r="E16" s="218">
        <f>1973/12</f>
        <v>164.41666666667001</v>
      </c>
      <c r="F16" s="216" t="s">
        <v>336</v>
      </c>
    </row>
    <row r="17" spans="1:6" x14ac:dyDescent="0.25">
      <c r="A17" s="215" t="s">
        <v>337</v>
      </c>
      <c r="B17" s="216" t="s">
        <v>338</v>
      </c>
      <c r="C17" s="217" t="s">
        <v>339</v>
      </c>
      <c r="D17" s="217" t="s">
        <v>330</v>
      </c>
      <c r="E17" s="218">
        <v>1</v>
      </c>
      <c r="F17" s="216"/>
    </row>
    <row r="18" spans="1:6" x14ac:dyDescent="0.25">
      <c r="A18" s="215" t="s">
        <v>340</v>
      </c>
      <c r="B18" s="216" t="s">
        <v>341</v>
      </c>
      <c r="C18" s="217"/>
      <c r="D18" s="217"/>
      <c r="E18" s="219">
        <v>1</v>
      </c>
      <c r="F18" s="216" t="s">
        <v>342</v>
      </c>
    </row>
    <row r="19" spans="1:6" ht="75" customHeight="1" x14ac:dyDescent="0.25">
      <c r="A19" s="215" t="s">
        <v>343</v>
      </c>
      <c r="B19" s="216" t="s">
        <v>344</v>
      </c>
      <c r="C19" s="217" t="s">
        <v>345</v>
      </c>
      <c r="D19" s="217" t="s">
        <v>330</v>
      </c>
      <c r="E19" s="220">
        <v>2.15</v>
      </c>
      <c r="F19" s="216" t="s">
        <v>358</v>
      </c>
    </row>
    <row r="20" spans="1:6" ht="75" customHeight="1" x14ac:dyDescent="0.25">
      <c r="A20" s="215" t="s">
        <v>347</v>
      </c>
      <c r="B20" s="221" t="s">
        <v>348</v>
      </c>
      <c r="C20" s="217" t="s">
        <v>349</v>
      </c>
      <c r="D20" s="217" t="s">
        <v>330</v>
      </c>
      <c r="E20" s="222">
        <v>1.139</v>
      </c>
      <c r="F20" s="223" t="s">
        <v>350</v>
      </c>
    </row>
    <row r="21" spans="1:6" ht="60" customHeight="1" x14ac:dyDescent="0.25">
      <c r="A21" s="215" t="s">
        <v>352</v>
      </c>
      <c r="B21" s="131" t="s">
        <v>359</v>
      </c>
      <c r="C21" s="217" t="s">
        <v>354</v>
      </c>
      <c r="D21" s="217" t="s">
        <v>355</v>
      </c>
      <c r="E21" s="132">
        <f>((E15*E17/E16)*E19)*E20</f>
        <v>713.02776960364997</v>
      </c>
      <c r="F21" s="216" t="s">
        <v>356</v>
      </c>
    </row>
    <row r="22" spans="1:6" x14ac:dyDescent="0.25">
      <c r="A22" s="224"/>
      <c r="B22" s="225" t="s">
        <v>111</v>
      </c>
      <c r="C22" s="224"/>
      <c r="D22" s="224"/>
      <c r="E22" s="224"/>
      <c r="F22" s="224"/>
    </row>
    <row r="23" spans="1:6" ht="90" customHeight="1" x14ac:dyDescent="0.25">
      <c r="A23" s="215" t="s">
        <v>327</v>
      </c>
      <c r="B23" s="216" t="s">
        <v>328</v>
      </c>
      <c r="C23" s="217" t="s">
        <v>329</v>
      </c>
      <c r="D23" s="217" t="s">
        <v>330</v>
      </c>
      <c r="E23" s="218">
        <v>47872.94</v>
      </c>
      <c r="F23" s="216" t="s">
        <v>357</v>
      </c>
    </row>
    <row r="24" spans="1:6" ht="30" customHeight="1" x14ac:dyDescent="0.25">
      <c r="A24" s="215" t="s">
        <v>332</v>
      </c>
      <c r="B24" s="216" t="s">
        <v>333</v>
      </c>
      <c r="C24" s="217" t="s">
        <v>334</v>
      </c>
      <c r="D24" s="217" t="s">
        <v>335</v>
      </c>
      <c r="E24" s="218">
        <f>1973/12</f>
        <v>164.41666666667001</v>
      </c>
      <c r="F24" s="216" t="s">
        <v>336</v>
      </c>
    </row>
    <row r="25" spans="1:6" x14ac:dyDescent="0.25">
      <c r="A25" s="215" t="s">
        <v>337</v>
      </c>
      <c r="B25" s="216" t="s">
        <v>338</v>
      </c>
      <c r="C25" s="217" t="s">
        <v>339</v>
      </c>
      <c r="D25" s="217" t="s">
        <v>330</v>
      </c>
      <c r="E25" s="218">
        <v>1</v>
      </c>
      <c r="F25" s="216"/>
    </row>
    <row r="26" spans="1:6" x14ac:dyDescent="0.25">
      <c r="A26" s="215" t="s">
        <v>340</v>
      </c>
      <c r="B26" s="216" t="s">
        <v>341</v>
      </c>
      <c r="C26" s="217"/>
      <c r="D26" s="217"/>
      <c r="E26" s="219">
        <v>1</v>
      </c>
      <c r="F26" s="216" t="s">
        <v>342</v>
      </c>
    </row>
    <row r="27" spans="1:6" ht="75" customHeight="1" x14ac:dyDescent="0.25">
      <c r="A27" s="215" t="s">
        <v>343</v>
      </c>
      <c r="B27" s="216" t="s">
        <v>344</v>
      </c>
      <c r="C27" s="217" t="s">
        <v>345</v>
      </c>
      <c r="D27" s="217" t="s">
        <v>330</v>
      </c>
      <c r="E27" s="220">
        <v>1.96</v>
      </c>
      <c r="F27" s="216" t="s">
        <v>358</v>
      </c>
    </row>
    <row r="28" spans="1:6" ht="75" customHeight="1" x14ac:dyDescent="0.25">
      <c r="A28" s="215" t="s">
        <v>347</v>
      </c>
      <c r="B28" s="221" t="s">
        <v>348</v>
      </c>
      <c r="C28" s="217" t="s">
        <v>349</v>
      </c>
      <c r="D28" s="217" t="s">
        <v>330</v>
      </c>
      <c r="E28" s="222">
        <v>1.139</v>
      </c>
      <c r="F28" s="223" t="s">
        <v>350</v>
      </c>
    </row>
    <row r="29" spans="1:6" ht="60" customHeight="1" x14ac:dyDescent="0.25">
      <c r="A29" s="215" t="s">
        <v>352</v>
      </c>
      <c r="B29" s="131" t="s">
        <v>359</v>
      </c>
      <c r="C29" s="217" t="s">
        <v>354</v>
      </c>
      <c r="D29" s="217" t="s">
        <v>355</v>
      </c>
      <c r="E29" s="132">
        <f>((E23*E25/E24)*E27)*E28</f>
        <v>650.01601322007002</v>
      </c>
      <c r="F29" s="216" t="s">
        <v>356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90" t="s">
        <v>360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</row>
    <row r="2" spans="1:15" ht="29.25" customHeight="1" x14ac:dyDescent="0.25">
      <c r="A2" s="291" t="s">
        <v>361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</row>
    <row r="3" spans="1:15" ht="30.75" customHeight="1" x14ac:dyDescent="0.25">
      <c r="A3" s="152" t="s">
        <v>362</v>
      </c>
      <c r="B3" s="153">
        <v>2007</v>
      </c>
      <c r="C3" s="153">
        <v>2008</v>
      </c>
      <c r="D3" s="153">
        <v>2009</v>
      </c>
      <c r="E3" s="153">
        <v>2010</v>
      </c>
      <c r="F3" s="153">
        <v>2011</v>
      </c>
      <c r="G3" s="154">
        <v>2012</v>
      </c>
      <c r="H3" s="154">
        <v>2013</v>
      </c>
      <c r="I3" s="154">
        <v>2014</v>
      </c>
      <c r="J3" s="154">
        <v>2015</v>
      </c>
      <c r="K3" s="154">
        <v>2016</v>
      </c>
      <c r="L3" s="154">
        <v>2017</v>
      </c>
      <c r="M3" s="154">
        <v>2018</v>
      </c>
      <c r="N3" s="154">
        <v>2019</v>
      </c>
      <c r="O3" s="154">
        <v>2020</v>
      </c>
    </row>
    <row r="4" spans="1:15" x14ac:dyDescent="0.25">
      <c r="A4" s="155" t="s">
        <v>363</v>
      </c>
      <c r="B4" s="156">
        <f t="shared" ref="B4:O4" si="0">B15^(1/12)</f>
        <v>1.0136015752351999</v>
      </c>
      <c r="C4" s="157">
        <f t="shared" si="0"/>
        <v>1.0148854522991999</v>
      </c>
      <c r="D4" s="157">
        <f t="shared" si="0"/>
        <v>1.0040741237835999</v>
      </c>
      <c r="E4" s="157">
        <f t="shared" si="0"/>
        <v>1.0064340301100001</v>
      </c>
      <c r="F4" s="157">
        <f t="shared" si="0"/>
        <v>1.0070531864112999</v>
      </c>
      <c r="G4" s="157">
        <f t="shared" si="0"/>
        <v>1.0054973670825</v>
      </c>
      <c r="H4" s="157">
        <f t="shared" si="0"/>
        <v>1.0048675505653</v>
      </c>
      <c r="I4" s="157">
        <f t="shared" si="0"/>
        <v>1.0039944005553001</v>
      </c>
      <c r="J4" s="157">
        <f t="shared" si="0"/>
        <v>1.0088859305371001</v>
      </c>
      <c r="K4" s="157">
        <f t="shared" si="0"/>
        <v>1.0051042407585</v>
      </c>
      <c r="L4" s="157">
        <f t="shared" si="0"/>
        <v>1.0035947364110001</v>
      </c>
      <c r="M4" s="157">
        <f t="shared" si="0"/>
        <v>1.0037548121811</v>
      </c>
      <c r="N4" s="157">
        <f t="shared" si="0"/>
        <v>1.0035947364110001</v>
      </c>
      <c r="O4" s="157">
        <f t="shared" si="0"/>
        <v>1.00343437929</v>
      </c>
    </row>
    <row r="5" spans="1:15" x14ac:dyDescent="0.25">
      <c r="A5" s="158" t="s">
        <v>364</v>
      </c>
      <c r="B5" s="156">
        <f t="shared" ref="B5:O5" si="1">B4*B4</f>
        <v>1.0273881533192999</v>
      </c>
      <c r="C5" s="157">
        <f t="shared" si="1"/>
        <v>1.0299924812886001</v>
      </c>
      <c r="D5" s="157">
        <f t="shared" si="1"/>
        <v>1.0081648460518999</v>
      </c>
      <c r="E5" s="157">
        <f t="shared" si="1"/>
        <v>1.0129094569635</v>
      </c>
      <c r="F5" s="157">
        <f t="shared" si="1"/>
        <v>1.0141561202611999</v>
      </c>
      <c r="G5" s="157">
        <f t="shared" si="1"/>
        <v>1.0110249552099</v>
      </c>
      <c r="H5" s="157">
        <f t="shared" si="1"/>
        <v>1.0097587941791999</v>
      </c>
      <c r="I5" s="157">
        <f t="shared" si="1"/>
        <v>1.0080047563464001</v>
      </c>
      <c r="J5" s="157">
        <f t="shared" si="1"/>
        <v>1.0178508208357999</v>
      </c>
      <c r="K5" s="157">
        <f t="shared" si="1"/>
        <v>1.0102345347906001</v>
      </c>
      <c r="L5" s="157">
        <f t="shared" si="1"/>
        <v>1.0072023949519999</v>
      </c>
      <c r="M5" s="157">
        <f t="shared" si="1"/>
        <v>1.0075237229767999</v>
      </c>
      <c r="N5" s="157">
        <f t="shared" si="1"/>
        <v>1.0072023949519999</v>
      </c>
      <c r="O5" s="157">
        <f t="shared" si="1"/>
        <v>1.0068805535412</v>
      </c>
    </row>
    <row r="6" spans="1:15" ht="15.75" customHeight="1" x14ac:dyDescent="0.25">
      <c r="A6" s="159" t="s">
        <v>365</v>
      </c>
      <c r="B6" s="160">
        <f t="shared" ref="B6:O6" si="2">B4*B4*B4</f>
        <v>1.0413622505824001</v>
      </c>
      <c r="C6" s="161">
        <f t="shared" si="2"/>
        <v>1.0453243852373</v>
      </c>
      <c r="D6" s="161">
        <f t="shared" si="2"/>
        <v>1.0122722344290001</v>
      </c>
      <c r="E6" s="161">
        <f t="shared" si="2"/>
        <v>1.0194265469082999</v>
      </c>
      <c r="F6" s="161">
        <f t="shared" si="2"/>
        <v>1.0213091524275999</v>
      </c>
      <c r="G6" s="161">
        <f t="shared" si="2"/>
        <v>1.0165829305183001</v>
      </c>
      <c r="H6" s="161">
        <f t="shared" si="2"/>
        <v>1.0146738461686999</v>
      </c>
      <c r="I6" s="161">
        <f t="shared" si="2"/>
        <v>1.0120311311049</v>
      </c>
      <c r="J6" s="161">
        <f t="shared" si="2"/>
        <v>1.0268953725269001</v>
      </c>
      <c r="K6" s="161">
        <f t="shared" si="2"/>
        <v>1.0153910150787</v>
      </c>
      <c r="L6" s="161">
        <f t="shared" si="2"/>
        <v>1.0108230220743999</v>
      </c>
      <c r="M6" s="161">
        <f t="shared" si="2"/>
        <v>1.0113067853246001</v>
      </c>
      <c r="N6" s="161">
        <f t="shared" si="2"/>
        <v>1.0108230220743999</v>
      </c>
      <c r="O6" s="161">
        <f t="shared" si="2"/>
        <v>1.0103385632618</v>
      </c>
    </row>
    <row r="7" spans="1:15" x14ac:dyDescent="0.25">
      <c r="A7" s="155" t="s">
        <v>366</v>
      </c>
      <c r="B7" s="162">
        <f t="shared" ref="B7:O7" si="3">B4*B4*B4*B4</f>
        <v>1.0555264175807999</v>
      </c>
      <c r="C7" s="163">
        <f t="shared" si="3"/>
        <v>1.0608845115109999</v>
      </c>
      <c r="D7" s="163">
        <f t="shared" si="3"/>
        <v>1.0163963568148999</v>
      </c>
      <c r="E7" s="163">
        <f t="shared" si="3"/>
        <v>1.0259855680059999</v>
      </c>
      <c r="F7" s="163">
        <f t="shared" si="3"/>
        <v>1.0285126362632999</v>
      </c>
      <c r="G7" s="163">
        <f t="shared" si="3"/>
        <v>1.0221714600572001</v>
      </c>
      <c r="H7" s="163">
        <f t="shared" si="3"/>
        <v>1.0196128224222001</v>
      </c>
      <c r="I7" s="163">
        <f t="shared" si="3"/>
        <v>1.0160735888170001</v>
      </c>
      <c r="J7" s="163">
        <f t="shared" si="3"/>
        <v>1.0360202934761</v>
      </c>
      <c r="K7" s="163">
        <f t="shared" si="3"/>
        <v>1.0205738152835999</v>
      </c>
      <c r="L7" s="163">
        <f t="shared" si="3"/>
        <v>1.0144566643970001</v>
      </c>
      <c r="M7" s="163">
        <f t="shared" si="3"/>
        <v>1.015104052361</v>
      </c>
      <c r="N7" s="163">
        <f t="shared" si="3"/>
        <v>1.0144566643970001</v>
      </c>
      <c r="O7" s="163">
        <f t="shared" si="3"/>
        <v>1.0138084490993999</v>
      </c>
    </row>
    <row r="8" spans="1:15" x14ac:dyDescent="0.25">
      <c r="A8" s="158" t="s">
        <v>367</v>
      </c>
      <c r="B8" s="156">
        <f t="shared" ref="B8:O8" si="4">B4*B4*B4*B4*B4</f>
        <v>1.0698832395622999</v>
      </c>
      <c r="C8" s="157">
        <f t="shared" si="4"/>
        <v>1.0766762573021</v>
      </c>
      <c r="D8" s="157">
        <f t="shared" si="4"/>
        <v>1.0205372813858</v>
      </c>
      <c r="E8" s="157">
        <f t="shared" si="4"/>
        <v>1.0325867900429999</v>
      </c>
      <c r="F8" s="157">
        <f t="shared" si="4"/>
        <v>1.0357669276132999</v>
      </c>
      <c r="G8" s="157">
        <f t="shared" si="4"/>
        <v>1.0277907117944001</v>
      </c>
      <c r="H8" s="157">
        <f t="shared" si="4"/>
        <v>1.0245758393924</v>
      </c>
      <c r="I8" s="157">
        <f t="shared" si="4"/>
        <v>1.0201321937243999</v>
      </c>
      <c r="J8" s="157">
        <f t="shared" si="4"/>
        <v>1.0452262978389</v>
      </c>
      <c r="K8" s="157">
        <f t="shared" si="4"/>
        <v>1.0257830697485999</v>
      </c>
      <c r="L8" s="157">
        <f t="shared" si="4"/>
        <v>1.0181033687059</v>
      </c>
      <c r="M8" s="157">
        <f t="shared" si="4"/>
        <v>1.018915577422</v>
      </c>
      <c r="N8" s="157">
        <f t="shared" si="4"/>
        <v>1.0181033687059</v>
      </c>
      <c r="O8" s="157">
        <f t="shared" si="4"/>
        <v>1.0172902518411</v>
      </c>
    </row>
    <row r="9" spans="1:15" ht="15.75" customHeight="1" x14ac:dyDescent="0.25">
      <c r="A9" s="159" t="s">
        <v>368</v>
      </c>
      <c r="B9" s="160">
        <f t="shared" ref="B9:O9" si="5">B4*B4*B4*B4*B4*B4</f>
        <v>1.0844353369380999</v>
      </c>
      <c r="C9" s="161">
        <f t="shared" si="5"/>
        <v>1.0927030703717999</v>
      </c>
      <c r="D9" s="161">
        <f t="shared" si="5"/>
        <v>1.0246950765959999</v>
      </c>
      <c r="E9" s="161">
        <f t="shared" si="5"/>
        <v>1.0392304845413001</v>
      </c>
      <c r="F9" s="161">
        <f t="shared" si="5"/>
        <v>1.0430723848323999</v>
      </c>
      <c r="G9" s="161">
        <f t="shared" si="5"/>
        <v>1.0334408546211</v>
      </c>
      <c r="H9" s="161">
        <f t="shared" si="5"/>
        <v>1.0295630140987</v>
      </c>
      <c r="I9" s="161">
        <f t="shared" si="5"/>
        <v>1.0242070103255001</v>
      </c>
      <c r="J9" s="161">
        <f t="shared" si="5"/>
        <v>1.0545141061170999</v>
      </c>
      <c r="K9" s="161">
        <f t="shared" si="5"/>
        <v>1.0310189135026</v>
      </c>
      <c r="L9" s="161">
        <f t="shared" si="5"/>
        <v>1.0217631819555999</v>
      </c>
      <c r="M9" s="161">
        <f t="shared" si="5"/>
        <v>1.0227414140436</v>
      </c>
      <c r="N9" s="161">
        <f t="shared" si="5"/>
        <v>1.0217631819555999</v>
      </c>
      <c r="O9" s="161">
        <f t="shared" si="5"/>
        <v>1.020784012414</v>
      </c>
    </row>
    <row r="10" spans="1:15" x14ac:dyDescent="0.25">
      <c r="A10" s="155" t="s">
        <v>369</v>
      </c>
      <c r="B10" s="162">
        <f t="shared" ref="B10:O10" si="6">B4*B4*B4*B4*B4*B4*B4</f>
        <v>1.0991853657612001</v>
      </c>
      <c r="C10" s="163">
        <f t="shared" si="6"/>
        <v>1.1089684498029999</v>
      </c>
      <c r="D10" s="163">
        <f t="shared" si="6"/>
        <v>1.0288698111785</v>
      </c>
      <c r="E10" s="163">
        <f t="shared" si="6"/>
        <v>1.0459169247700999</v>
      </c>
      <c r="F10" s="163">
        <f t="shared" si="6"/>
        <v>1.0504293688032</v>
      </c>
      <c r="G10" s="163">
        <f t="shared" si="6"/>
        <v>1.039122058357</v>
      </c>
      <c r="H10" s="163">
        <f t="shared" si="6"/>
        <v>1.0345744641300001</v>
      </c>
      <c r="I10" s="163">
        <f t="shared" si="6"/>
        <v>1.0282981033764</v>
      </c>
      <c r="J10" s="163">
        <f t="shared" si="6"/>
        <v>1.0638844452145</v>
      </c>
      <c r="K10" s="163">
        <f t="shared" si="6"/>
        <v>1.0362814822636</v>
      </c>
      <c r="L10" s="163">
        <f t="shared" si="6"/>
        <v>1.0254361512692001</v>
      </c>
      <c r="M10" s="163">
        <f t="shared" si="6"/>
        <v>1.0265816159633001</v>
      </c>
      <c r="N10" s="163">
        <f t="shared" si="6"/>
        <v>1.0254361512692001</v>
      </c>
      <c r="O10" s="163">
        <f t="shared" si="6"/>
        <v>1.0242897718857999</v>
      </c>
    </row>
    <row r="11" spans="1:15" x14ac:dyDescent="0.25">
      <c r="A11" s="158" t="s">
        <v>370</v>
      </c>
      <c r="B11" s="156">
        <f t="shared" ref="B11:O11" si="7">B4*B4*B4*B4*B4*B4*B4*B4</f>
        <v>1.1141360182110001</v>
      </c>
      <c r="C11" s="157">
        <f t="shared" si="7"/>
        <v>1.1254759467638999</v>
      </c>
      <c r="D11" s="157">
        <f t="shared" si="7"/>
        <v>1.0330615541465</v>
      </c>
      <c r="E11" s="157">
        <f t="shared" si="7"/>
        <v>1.0526463857566</v>
      </c>
      <c r="F11" s="157">
        <f t="shared" si="7"/>
        <v>1.0578382429533</v>
      </c>
      <c r="G11" s="157">
        <f t="shared" si="7"/>
        <v>1.0448344937553999</v>
      </c>
      <c r="H11" s="157">
        <f t="shared" si="7"/>
        <v>1.0396103076478</v>
      </c>
      <c r="I11" s="157">
        <f t="shared" si="7"/>
        <v>1.0324055378915</v>
      </c>
      <c r="J11" s="157">
        <f t="shared" si="7"/>
        <v>1.0733380484941999</v>
      </c>
      <c r="K11" s="157">
        <f t="shared" si="7"/>
        <v>1.0415709124426</v>
      </c>
      <c r="L11" s="157">
        <f t="shared" si="7"/>
        <v>1.0291223239394001</v>
      </c>
      <c r="M11" s="157">
        <f t="shared" si="7"/>
        <v>1.0304362371197999</v>
      </c>
      <c r="N11" s="157">
        <f t="shared" si="7"/>
        <v>1.0291223239394001</v>
      </c>
      <c r="O11" s="157">
        <f t="shared" si="7"/>
        <v>1.0278075714654</v>
      </c>
    </row>
    <row r="12" spans="1:15" ht="15.75" customHeight="1" x14ac:dyDescent="0.25">
      <c r="A12" s="159" t="s">
        <v>371</v>
      </c>
      <c r="B12" s="160">
        <f t="shared" ref="B12:O12" si="8">B4*B4*B4*B4*B4*B4*B4*B4*B4</f>
        <v>1.1292900230848999</v>
      </c>
      <c r="C12" s="161">
        <f t="shared" si="8"/>
        <v>1.1422291652834</v>
      </c>
      <c r="D12" s="161">
        <f t="shared" si="8"/>
        <v>1.0372703747942</v>
      </c>
      <c r="E12" s="161">
        <f t="shared" si="8"/>
        <v>1.0594191442978</v>
      </c>
      <c r="F12" s="161">
        <f t="shared" si="8"/>
        <v>1.0652993732739</v>
      </c>
      <c r="G12" s="161">
        <f t="shared" si="8"/>
        <v>1.050578332508</v>
      </c>
      <c r="H12" s="161">
        <f t="shared" si="8"/>
        <v>1.0446706633884999</v>
      </c>
      <c r="I12" s="161">
        <f t="shared" si="8"/>
        <v>1.0365293791454</v>
      </c>
      <c r="J12" s="161">
        <f t="shared" si="8"/>
        <v>1.082875655836</v>
      </c>
      <c r="K12" s="161">
        <f t="shared" si="8"/>
        <v>1.0468873411466999</v>
      </c>
      <c r="L12" s="161">
        <f t="shared" si="8"/>
        <v>1.0328217474287</v>
      </c>
      <c r="M12" s="161">
        <f t="shared" si="8"/>
        <v>1.0343053316549</v>
      </c>
      <c r="N12" s="161">
        <f t="shared" si="8"/>
        <v>1.0328217474287</v>
      </c>
      <c r="O12" s="161">
        <f t="shared" si="8"/>
        <v>1.0313374525029999</v>
      </c>
    </row>
    <row r="13" spans="1:15" x14ac:dyDescent="0.25">
      <c r="A13" s="155" t="s">
        <v>372</v>
      </c>
      <c r="B13" s="162">
        <f t="shared" ref="B13:O13" si="9">B4*B4*B4*B4*B4*B4*B4*B4*B4*B4</f>
        <v>1.1446501462962999</v>
      </c>
      <c r="C13" s="163">
        <f t="shared" si="9"/>
        <v>1.159231763038</v>
      </c>
      <c r="D13" s="163">
        <f t="shared" si="9"/>
        <v>1.0414963426982999</v>
      </c>
      <c r="E13" s="163">
        <f t="shared" si="9"/>
        <v>1.0662354789713</v>
      </c>
      <c r="F13" s="163">
        <f t="shared" si="9"/>
        <v>1.0728131283374001</v>
      </c>
      <c r="G13" s="163">
        <f t="shared" si="9"/>
        <v>1.0563537472508</v>
      </c>
      <c r="H13" s="163">
        <f t="shared" si="9"/>
        <v>1.0497556506667001</v>
      </c>
      <c r="I13" s="163">
        <f t="shared" si="9"/>
        <v>1.0406696926729999</v>
      </c>
      <c r="J13" s="163">
        <f t="shared" si="9"/>
        <v>1.0924980136941</v>
      </c>
      <c r="K13" s="163">
        <f t="shared" si="9"/>
        <v>1.0522309061829</v>
      </c>
      <c r="L13" s="163">
        <f t="shared" si="9"/>
        <v>1.0365344693703</v>
      </c>
      <c r="M13" s="163">
        <f t="shared" si="9"/>
        <v>1.0381889539132001</v>
      </c>
      <c r="N13" s="163">
        <f t="shared" si="9"/>
        <v>1.0365344693703</v>
      </c>
      <c r="O13" s="163">
        <f t="shared" si="9"/>
        <v>1.0348794564909001</v>
      </c>
    </row>
    <row r="14" spans="1:15" x14ac:dyDescent="0.25">
      <c r="A14" s="158" t="s">
        <v>373</v>
      </c>
      <c r="B14" s="156">
        <f t="shared" ref="B14:O14" si="10">B4*B4*B4*B4*B4*B4*B4*B4*B4*B4*B4</f>
        <v>1.1602191913791</v>
      </c>
      <c r="C14" s="157">
        <f t="shared" si="10"/>
        <v>1.1764874521504001</v>
      </c>
      <c r="D14" s="157">
        <f t="shared" si="10"/>
        <v>1.0457395277185999</v>
      </c>
      <c r="E14" s="157">
        <f t="shared" si="10"/>
        <v>1.0730956701473999</v>
      </c>
      <c r="F14" s="157">
        <f t="shared" si="10"/>
        <v>1.0803798793160999</v>
      </c>
      <c r="G14" s="157">
        <f t="shared" si="10"/>
        <v>1.0621609115684001</v>
      </c>
      <c r="H14" s="157">
        <f t="shared" si="10"/>
        <v>1.0548653893776001</v>
      </c>
      <c r="I14" s="157">
        <f t="shared" si="10"/>
        <v>1.0448265442714</v>
      </c>
      <c r="J14" s="157">
        <f t="shared" si="10"/>
        <v>1.1022058751557</v>
      </c>
      <c r="K14" s="157">
        <f t="shared" si="10"/>
        <v>1.0576017460614999</v>
      </c>
      <c r="L14" s="157">
        <f t="shared" si="10"/>
        <v>1.0402605375686</v>
      </c>
      <c r="M14" s="157">
        <f t="shared" si="10"/>
        <v>1.0420871584436999</v>
      </c>
      <c r="N14" s="157">
        <f t="shared" si="10"/>
        <v>1.0402605375686</v>
      </c>
      <c r="O14" s="157">
        <f t="shared" si="10"/>
        <v>1.0384336250640001</v>
      </c>
    </row>
    <row r="15" spans="1:15" ht="15.75" customHeight="1" x14ac:dyDescent="0.25">
      <c r="A15" s="164" t="s">
        <v>374</v>
      </c>
      <c r="B15" s="165">
        <f>117.6/100</f>
        <v>1.1759999999999999</v>
      </c>
      <c r="C15" s="166">
        <v>1.194</v>
      </c>
      <c r="D15" s="166">
        <v>1.05</v>
      </c>
      <c r="E15" s="166">
        <f>1.08</f>
        <v>1.08</v>
      </c>
      <c r="F15" s="166">
        <v>1.0880000000000001</v>
      </c>
      <c r="G15" s="166">
        <v>1.0680000000000001</v>
      </c>
      <c r="H15" s="166">
        <v>1.06</v>
      </c>
      <c r="I15" s="166">
        <v>1.0489999999999999</v>
      </c>
      <c r="J15" s="166">
        <v>1.1120000000000001</v>
      </c>
      <c r="K15" s="166">
        <v>1.0629999999999999</v>
      </c>
      <c r="L15" s="166">
        <v>1.044</v>
      </c>
      <c r="M15" s="166">
        <v>1.046</v>
      </c>
      <c r="N15" s="166">
        <v>1.044</v>
      </c>
      <c r="O15" s="166">
        <v>1.042</v>
      </c>
    </row>
    <row r="16" spans="1:15" ht="29.25" customHeight="1" x14ac:dyDescent="0.25">
      <c r="A16" s="292" t="s">
        <v>375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</row>
    <row r="18" spans="13:13" x14ac:dyDescent="0.25">
      <c r="M18" s="167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9" t="s">
        <v>376</v>
      </c>
      <c r="B2" s="289"/>
      <c r="C2" s="289"/>
      <c r="D2" s="289"/>
      <c r="E2" s="289"/>
      <c r="F2" s="289"/>
    </row>
    <row r="4" spans="1:7" ht="18" customHeight="1" x14ac:dyDescent="0.25">
      <c r="A4" s="122" t="s">
        <v>321</v>
      </c>
    </row>
    <row r="5" spans="1:7" x14ac:dyDescent="0.25">
      <c r="A5" s="58" t="s">
        <v>13</v>
      </c>
      <c r="B5" s="58" t="s">
        <v>322</v>
      </c>
      <c r="C5" s="58" t="s">
        <v>323</v>
      </c>
      <c r="D5" s="58" t="s">
        <v>324</v>
      </c>
      <c r="E5" s="58" t="s">
        <v>325</v>
      </c>
      <c r="F5" s="58" t="s">
        <v>326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23" t="s">
        <v>327</v>
      </c>
      <c r="B7" s="63" t="s">
        <v>328</v>
      </c>
      <c r="C7" s="54" t="s">
        <v>329</v>
      </c>
      <c r="D7" s="54" t="s">
        <v>330</v>
      </c>
      <c r="E7" s="61">
        <v>43361</v>
      </c>
      <c r="F7" s="63" t="s">
        <v>357</v>
      </c>
    </row>
    <row r="8" spans="1:7" ht="30" customHeight="1" x14ac:dyDescent="0.25">
      <c r="A8" s="123" t="s">
        <v>332</v>
      </c>
      <c r="B8" s="63" t="s">
        <v>333</v>
      </c>
      <c r="C8" s="54" t="s">
        <v>334</v>
      </c>
      <c r="D8" s="54" t="s">
        <v>335</v>
      </c>
      <c r="E8" s="61">
        <f>1973/12</f>
        <v>164.41666666667001</v>
      </c>
      <c r="F8" s="63" t="s">
        <v>336</v>
      </c>
      <c r="G8" s="124"/>
    </row>
    <row r="9" spans="1:7" x14ac:dyDescent="0.25">
      <c r="A9" s="123" t="s">
        <v>337</v>
      </c>
      <c r="B9" s="63" t="s">
        <v>338</v>
      </c>
      <c r="C9" s="54" t="s">
        <v>339</v>
      </c>
      <c r="D9" s="54" t="s">
        <v>330</v>
      </c>
      <c r="E9" s="61">
        <v>1</v>
      </c>
      <c r="F9" s="63"/>
      <c r="G9" s="125"/>
    </row>
    <row r="10" spans="1:7" x14ac:dyDescent="0.25">
      <c r="A10" s="123" t="s">
        <v>340</v>
      </c>
      <c r="B10" s="63" t="s">
        <v>341</v>
      </c>
      <c r="C10" s="54"/>
      <c r="D10" s="54"/>
      <c r="E10" s="126">
        <v>1</v>
      </c>
      <c r="F10" s="63" t="s">
        <v>342</v>
      </c>
      <c r="G10" s="125"/>
    </row>
    <row r="11" spans="1:7" ht="75" customHeight="1" x14ac:dyDescent="0.25">
      <c r="A11" s="123" t="s">
        <v>343</v>
      </c>
      <c r="B11" s="63" t="s">
        <v>344</v>
      </c>
      <c r="C11" s="54" t="s">
        <v>345</v>
      </c>
      <c r="D11" s="54" t="s">
        <v>330</v>
      </c>
      <c r="E11" s="127">
        <v>2.15</v>
      </c>
      <c r="F11" s="63" t="s">
        <v>358</v>
      </c>
    </row>
    <row r="12" spans="1:7" ht="75" customHeight="1" x14ac:dyDescent="0.25">
      <c r="A12" s="123" t="s">
        <v>347</v>
      </c>
      <c r="B12" s="128" t="s">
        <v>348</v>
      </c>
      <c r="C12" s="54" t="s">
        <v>349</v>
      </c>
      <c r="D12" s="54" t="s">
        <v>330</v>
      </c>
      <c r="E12" s="129">
        <v>1.139</v>
      </c>
      <c r="F12" s="130" t="s">
        <v>350</v>
      </c>
      <c r="G12" s="125" t="s">
        <v>351</v>
      </c>
    </row>
    <row r="13" spans="1:7" ht="60" customHeight="1" x14ac:dyDescent="0.25">
      <c r="A13" s="123" t="s">
        <v>352</v>
      </c>
      <c r="B13" s="131" t="s">
        <v>359</v>
      </c>
      <c r="C13" s="54" t="s">
        <v>354</v>
      </c>
      <c r="D13" s="54" t="s">
        <v>355</v>
      </c>
      <c r="E13" s="132">
        <f>((E7*E9/E8)*E11)*E12</f>
        <v>645.82616229093003</v>
      </c>
      <c r="F13" s="63" t="s">
        <v>356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4" t="s">
        <v>377</v>
      </c>
      <c r="B1" s="294"/>
      <c r="C1" s="294"/>
      <c r="D1" s="294"/>
      <c r="E1" s="294"/>
      <c r="F1" s="294"/>
      <c r="G1" s="294"/>
      <c r="H1" s="294"/>
      <c r="I1" s="294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45" t="e">
        <f>#REF!</f>
        <v>#REF!</v>
      </c>
      <c r="B3" s="245"/>
      <c r="C3" s="245"/>
      <c r="D3" s="245"/>
      <c r="E3" s="245"/>
      <c r="F3" s="245"/>
      <c r="G3" s="245"/>
      <c r="H3" s="245"/>
      <c r="I3" s="245"/>
    </row>
    <row r="4" spans="1:13" s="4" customFormat="1" ht="15.75" customHeight="1" x14ac:dyDescent="0.2">
      <c r="A4" s="287"/>
      <c r="B4" s="287"/>
      <c r="C4" s="287"/>
      <c r="D4" s="287"/>
      <c r="E4" s="287"/>
      <c r="F4" s="287"/>
      <c r="G4" s="287"/>
      <c r="H4" s="287"/>
      <c r="I4" s="287"/>
    </row>
    <row r="5" spans="1:13" s="36" customFormat="1" ht="36.6" customHeight="1" x14ac:dyDescent="0.35">
      <c r="A5" s="295" t="s">
        <v>13</v>
      </c>
      <c r="B5" s="295" t="s">
        <v>378</v>
      </c>
      <c r="C5" s="295" t="s">
        <v>379</v>
      </c>
      <c r="D5" s="295" t="s">
        <v>380</v>
      </c>
      <c r="E5" s="285" t="s">
        <v>381</v>
      </c>
      <c r="F5" s="285"/>
      <c r="G5" s="285"/>
      <c r="H5" s="285"/>
      <c r="I5" s="285"/>
    </row>
    <row r="6" spans="1:13" s="30" customFormat="1" ht="31.5" customHeight="1" x14ac:dyDescent="0.2">
      <c r="A6" s="295"/>
      <c r="B6" s="295"/>
      <c r="C6" s="295"/>
      <c r="D6" s="295"/>
      <c r="E6" s="37" t="s">
        <v>86</v>
      </c>
      <c r="F6" s="37" t="s">
        <v>87</v>
      </c>
      <c r="G6" s="37" t="s">
        <v>43</v>
      </c>
      <c r="H6" s="37" t="s">
        <v>382</v>
      </c>
      <c r="I6" s="37" t="s">
        <v>383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225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384</v>
      </c>
      <c r="C9" s="8" t="s">
        <v>385</v>
      </c>
      <c r="D9" s="113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386</v>
      </c>
      <c r="C11" s="8" t="s">
        <v>303</v>
      </c>
      <c r="D11" s="113">
        <v>2.1000000000000001E-2</v>
      </c>
      <c r="E11" s="32">
        <f>(E8+E9)*D11</f>
        <v>8.6950678710000007E-2</v>
      </c>
      <c r="F11" s="32"/>
      <c r="G11" s="32"/>
      <c r="H11" s="32" t="s">
        <v>387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388</v>
      </c>
      <c r="C12" s="8" t="s">
        <v>389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390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307</v>
      </c>
      <c r="C14" s="8" t="s">
        <v>391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392</v>
      </c>
      <c r="C16" s="8" t="s">
        <v>393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394</v>
      </c>
    </row>
    <row r="17" spans="1:10" s="30" customFormat="1" ht="81.75" customHeight="1" x14ac:dyDescent="0.2">
      <c r="A17" s="38">
        <v>7</v>
      </c>
      <c r="B17" s="8" t="s">
        <v>392</v>
      </c>
      <c r="C17" s="8" t="s">
        <v>395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396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397</v>
      </c>
      <c r="C20" s="8" t="s">
        <v>237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398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316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317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318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319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00" t="s">
        <v>399</v>
      </c>
      <c r="O2" s="300"/>
    </row>
    <row r="3" spans="1:16" x14ac:dyDescent="0.25">
      <c r="A3" s="289" t="s">
        <v>400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</row>
    <row r="5" spans="1:16" ht="37.5" customHeight="1" x14ac:dyDescent="0.25">
      <c r="A5" s="301" t="s">
        <v>401</v>
      </c>
      <c r="B5" s="304" t="s">
        <v>402</v>
      </c>
      <c r="C5" s="307" t="s">
        <v>403</v>
      </c>
      <c r="D5" s="310" t="s">
        <v>404</v>
      </c>
      <c r="E5" s="311"/>
      <c r="F5" s="311"/>
      <c r="G5" s="311"/>
      <c r="H5" s="311"/>
      <c r="I5" s="310" t="s">
        <v>405</v>
      </c>
      <c r="J5" s="311"/>
      <c r="K5" s="311"/>
      <c r="L5" s="311"/>
      <c r="M5" s="311"/>
      <c r="N5" s="311"/>
      <c r="O5" s="54" t="s">
        <v>406</v>
      </c>
    </row>
    <row r="6" spans="1:16" s="57" customFormat="1" ht="150" customHeight="1" x14ac:dyDescent="0.25">
      <c r="A6" s="302"/>
      <c r="B6" s="305"/>
      <c r="C6" s="308"/>
      <c r="D6" s="307" t="s">
        <v>407</v>
      </c>
      <c r="E6" s="312" t="s">
        <v>408</v>
      </c>
      <c r="F6" s="313"/>
      <c r="G6" s="314"/>
      <c r="H6" s="55" t="s">
        <v>409</v>
      </c>
      <c r="I6" s="315" t="s">
        <v>410</v>
      </c>
      <c r="J6" s="315" t="s">
        <v>407</v>
      </c>
      <c r="K6" s="316" t="s">
        <v>408</v>
      </c>
      <c r="L6" s="316"/>
      <c r="M6" s="316"/>
      <c r="N6" s="55" t="s">
        <v>409</v>
      </c>
      <c r="O6" s="56" t="s">
        <v>411</v>
      </c>
    </row>
    <row r="7" spans="1:16" s="57" customFormat="1" ht="30.75" customHeight="1" x14ac:dyDescent="0.25">
      <c r="A7" s="303"/>
      <c r="B7" s="306"/>
      <c r="C7" s="309"/>
      <c r="D7" s="309"/>
      <c r="E7" s="54" t="s">
        <v>86</v>
      </c>
      <c r="F7" s="54" t="s">
        <v>87</v>
      </c>
      <c r="G7" s="54" t="s">
        <v>43</v>
      </c>
      <c r="H7" s="58" t="s">
        <v>412</v>
      </c>
      <c r="I7" s="315"/>
      <c r="J7" s="315"/>
      <c r="K7" s="54" t="s">
        <v>86</v>
      </c>
      <c r="L7" s="54" t="s">
        <v>87</v>
      </c>
      <c r="M7" s="54" t="s">
        <v>43</v>
      </c>
      <c r="N7" s="58" t="s">
        <v>412</v>
      </c>
      <c r="O7" s="54" t="s">
        <v>270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301" t="s">
        <v>413</v>
      </c>
      <c r="C9" s="60" t="s">
        <v>414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303"/>
      <c r="C10" s="63" t="s">
        <v>415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301" t="s">
        <v>416</v>
      </c>
      <c r="C11" s="63" t="s">
        <v>417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303"/>
      <c r="C12" s="63" t="s">
        <v>418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301" t="s">
        <v>419</v>
      </c>
      <c r="C13" s="60" t="s">
        <v>420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303"/>
      <c r="C14" s="63" t="s">
        <v>421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422</v>
      </c>
      <c r="C15" s="63" t="s">
        <v>423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424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425</v>
      </c>
    </row>
    <row r="19" spans="1:15" ht="30.75" customHeight="1" x14ac:dyDescent="0.25">
      <c r="L19" s="75"/>
    </row>
    <row r="20" spans="1:15" ht="15" customHeight="1" outlineLevel="1" x14ac:dyDescent="0.25">
      <c r="G20" s="299" t="s">
        <v>426</v>
      </c>
      <c r="H20" s="299"/>
      <c r="I20" s="299"/>
      <c r="J20" s="299"/>
      <c r="K20" s="299"/>
      <c r="L20" s="299"/>
      <c r="M20" s="299"/>
      <c r="N20" s="299"/>
    </row>
    <row r="21" spans="1:15" ht="15.75" customHeight="1" outlineLevel="1" x14ac:dyDescent="0.25">
      <c r="G21" s="76"/>
      <c r="H21" s="76" t="s">
        <v>427</v>
      </c>
      <c r="I21" s="76" t="s">
        <v>428</v>
      </c>
      <c r="J21" s="76" t="s">
        <v>429</v>
      </c>
      <c r="K21" s="77" t="s">
        <v>430</v>
      </c>
      <c r="L21" s="76" t="s">
        <v>431</v>
      </c>
      <c r="M21" s="76" t="s">
        <v>432</v>
      </c>
      <c r="N21" s="76" t="s">
        <v>433</v>
      </c>
      <c r="O21" s="70"/>
    </row>
    <row r="22" spans="1:15" ht="15.75" customHeight="1" outlineLevel="1" x14ac:dyDescent="0.25">
      <c r="G22" s="297" t="s">
        <v>434</v>
      </c>
      <c r="H22" s="296">
        <v>6.09</v>
      </c>
      <c r="I22" s="298">
        <v>6.44</v>
      </c>
      <c r="J22" s="296">
        <v>5.77</v>
      </c>
      <c r="K22" s="298">
        <v>5.77</v>
      </c>
      <c r="L22" s="296">
        <v>5.23</v>
      </c>
      <c r="M22" s="296">
        <v>5.77</v>
      </c>
      <c r="N22" s="78">
        <v>6.29</v>
      </c>
      <c r="O22" t="s">
        <v>435</v>
      </c>
    </row>
    <row r="23" spans="1:15" ht="15.75" customHeight="1" outlineLevel="1" x14ac:dyDescent="0.25">
      <c r="G23" s="297"/>
      <c r="H23" s="296"/>
      <c r="I23" s="298"/>
      <c r="J23" s="296"/>
      <c r="K23" s="298"/>
      <c r="L23" s="296"/>
      <c r="M23" s="296"/>
      <c r="N23" s="78">
        <v>6.56</v>
      </c>
      <c r="O23" t="s">
        <v>436</v>
      </c>
    </row>
    <row r="24" spans="1:15" ht="15.75" customHeight="1" outlineLevel="1" x14ac:dyDescent="0.25">
      <c r="G24" s="79" t="s">
        <v>437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412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438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439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382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17" t="s">
        <v>440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</row>
    <row r="4" spans="1:18" ht="36.75" customHeight="1" x14ac:dyDescent="0.25">
      <c r="A4" s="301" t="s">
        <v>401</v>
      </c>
      <c r="B4" s="304" t="s">
        <v>402</v>
      </c>
      <c r="C4" s="307" t="s">
        <v>441</v>
      </c>
      <c r="D4" s="307" t="s">
        <v>442</v>
      </c>
      <c r="E4" s="310" t="s">
        <v>443</v>
      </c>
      <c r="F4" s="311"/>
      <c r="G4" s="311"/>
      <c r="H4" s="311"/>
      <c r="I4" s="311"/>
      <c r="J4" s="311"/>
      <c r="K4" s="311"/>
      <c r="L4" s="311"/>
      <c r="M4" s="311"/>
      <c r="N4" s="318" t="s">
        <v>444</v>
      </c>
      <c r="O4" s="319"/>
      <c r="P4" s="319"/>
      <c r="Q4" s="319"/>
      <c r="R4" s="320"/>
    </row>
    <row r="5" spans="1:18" ht="60" customHeight="1" x14ac:dyDescent="0.25">
      <c r="A5" s="302"/>
      <c r="B5" s="305"/>
      <c r="C5" s="308"/>
      <c r="D5" s="308"/>
      <c r="E5" s="315" t="s">
        <v>445</v>
      </c>
      <c r="F5" s="315" t="s">
        <v>446</v>
      </c>
      <c r="G5" s="312" t="s">
        <v>408</v>
      </c>
      <c r="H5" s="313"/>
      <c r="I5" s="313"/>
      <c r="J5" s="314"/>
      <c r="K5" s="315" t="s">
        <v>447</v>
      </c>
      <c r="L5" s="315"/>
      <c r="M5" s="315"/>
      <c r="N5" s="81" t="s">
        <v>448</v>
      </c>
      <c r="O5" s="81" t="s">
        <v>449</v>
      </c>
      <c r="P5" s="81" t="s">
        <v>450</v>
      </c>
      <c r="Q5" s="82" t="s">
        <v>451</v>
      </c>
      <c r="R5" s="81" t="s">
        <v>452</v>
      </c>
    </row>
    <row r="6" spans="1:18" ht="49.5" customHeight="1" x14ac:dyDescent="0.25">
      <c r="A6" s="303"/>
      <c r="B6" s="306"/>
      <c r="C6" s="309"/>
      <c r="D6" s="309"/>
      <c r="E6" s="315"/>
      <c r="F6" s="315"/>
      <c r="G6" s="54" t="s">
        <v>86</v>
      </c>
      <c r="H6" s="54" t="s">
        <v>87</v>
      </c>
      <c r="I6" s="54" t="s">
        <v>43</v>
      </c>
      <c r="J6" s="54" t="s">
        <v>382</v>
      </c>
      <c r="K6" s="54" t="s">
        <v>448</v>
      </c>
      <c r="L6" s="54" t="s">
        <v>449</v>
      </c>
      <c r="M6" s="54" t="s">
        <v>450</v>
      </c>
      <c r="N6" s="54" t="s">
        <v>453</v>
      </c>
      <c r="O6" s="54" t="s">
        <v>454</v>
      </c>
      <c r="P6" s="54" t="s">
        <v>455</v>
      </c>
      <c r="Q6" s="55" t="s">
        <v>456</v>
      </c>
      <c r="R6" s="54" t="s">
        <v>457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301">
        <v>1</v>
      </c>
      <c r="B9" s="301" t="s">
        <v>458</v>
      </c>
      <c r="C9" s="321" t="s">
        <v>414</v>
      </c>
      <c r="D9" s="60" t="s">
        <v>459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303"/>
      <c r="B10" s="302"/>
      <c r="C10" s="322"/>
      <c r="D10" s="60" t="s">
        <v>460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301">
        <v>2</v>
      </c>
      <c r="B11" s="302"/>
      <c r="C11" s="321" t="s">
        <v>461</v>
      </c>
      <c r="D11" s="60" t="s">
        <v>459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303"/>
      <c r="B12" s="303"/>
      <c r="C12" s="322"/>
      <c r="D12" s="60" t="s">
        <v>460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301">
        <v>3</v>
      </c>
      <c r="B13" s="301" t="s">
        <v>416</v>
      </c>
      <c r="C13" s="323" t="s">
        <v>417</v>
      </c>
      <c r="D13" s="60" t="s">
        <v>462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303"/>
      <c r="B14" s="302"/>
      <c r="C14" s="324"/>
      <c r="D14" s="60" t="s">
        <v>460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301">
        <v>4</v>
      </c>
      <c r="B15" s="302"/>
      <c r="C15" s="325" t="s">
        <v>418</v>
      </c>
      <c r="D15" s="63" t="s">
        <v>462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303"/>
      <c r="B16" s="303"/>
      <c r="C16" s="326"/>
      <c r="D16" s="63" t="s">
        <v>460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301">
        <v>5</v>
      </c>
      <c r="B17" s="316" t="s">
        <v>419</v>
      </c>
      <c r="C17" s="321" t="s">
        <v>463</v>
      </c>
      <c r="D17" s="60" t="s">
        <v>464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303"/>
      <c r="B18" s="316"/>
      <c r="C18" s="322"/>
      <c r="D18" s="60" t="s">
        <v>460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301">
        <v>6</v>
      </c>
      <c r="B19" s="316"/>
      <c r="C19" s="321" t="s">
        <v>421</v>
      </c>
      <c r="D19" s="63" t="s">
        <v>462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303"/>
      <c r="B20" s="316"/>
      <c r="C20" s="322"/>
      <c r="D20" s="63" t="s">
        <v>460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301">
        <v>7</v>
      </c>
      <c r="B21" s="301" t="s">
        <v>422</v>
      </c>
      <c r="C21" s="321" t="s">
        <v>423</v>
      </c>
      <c r="D21" s="63" t="s">
        <v>465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303"/>
      <c r="B22" s="303"/>
      <c r="C22" s="322"/>
      <c r="D22" s="86" t="s">
        <v>460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466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7" t="s">
        <v>467</v>
      </c>
      <c r="E26" s="327"/>
      <c r="F26" s="327"/>
      <c r="G26" s="327"/>
      <c r="H26" s="327"/>
      <c r="I26" s="327"/>
      <c r="J26" s="327"/>
      <c r="K26" s="327"/>
      <c r="L26" s="75"/>
      <c r="R26" s="93"/>
    </row>
    <row r="27" spans="1:18" outlineLevel="1" x14ac:dyDescent="0.25">
      <c r="D27" s="94"/>
      <c r="E27" s="94" t="s">
        <v>427</v>
      </c>
      <c r="F27" s="94" t="s">
        <v>428</v>
      </c>
      <c r="G27" s="94" t="s">
        <v>429</v>
      </c>
      <c r="H27" s="95" t="s">
        <v>430</v>
      </c>
      <c r="I27" s="95" t="s">
        <v>431</v>
      </c>
      <c r="J27" s="95" t="s">
        <v>432</v>
      </c>
      <c r="K27" s="66" t="s">
        <v>433</v>
      </c>
    </row>
    <row r="28" spans="1:18" outlineLevel="1" x14ac:dyDescent="0.25">
      <c r="D28" s="328" t="s">
        <v>434</v>
      </c>
      <c r="E28" s="330">
        <v>6.09</v>
      </c>
      <c r="F28" s="332">
        <v>6.63</v>
      </c>
      <c r="G28" s="330">
        <v>5.77</v>
      </c>
      <c r="H28" s="334">
        <v>5.77</v>
      </c>
      <c r="I28" s="334">
        <v>6.35</v>
      </c>
      <c r="J28" s="330">
        <v>5.77</v>
      </c>
      <c r="K28" s="96">
        <v>6.29</v>
      </c>
      <c r="L28" t="s">
        <v>435</v>
      </c>
    </row>
    <row r="29" spans="1:18" outlineLevel="1" x14ac:dyDescent="0.25">
      <c r="D29" s="329"/>
      <c r="E29" s="331"/>
      <c r="F29" s="333"/>
      <c r="G29" s="331"/>
      <c r="H29" s="335"/>
      <c r="I29" s="335"/>
      <c r="J29" s="331"/>
      <c r="K29" s="96">
        <v>6.56</v>
      </c>
      <c r="L29" t="s">
        <v>436</v>
      </c>
    </row>
    <row r="30" spans="1:18" outlineLevel="1" x14ac:dyDescent="0.25">
      <c r="D30" s="97" t="s">
        <v>437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28" t="s">
        <v>412</v>
      </c>
      <c r="E31" s="330">
        <v>11.37</v>
      </c>
      <c r="F31" s="332">
        <v>13.56</v>
      </c>
      <c r="G31" s="330">
        <v>15.91</v>
      </c>
      <c r="H31" s="334">
        <v>15.91</v>
      </c>
      <c r="I31" s="334">
        <v>14.03</v>
      </c>
      <c r="J31" s="330">
        <v>15.91</v>
      </c>
      <c r="K31" s="96">
        <v>8.2899999999999991</v>
      </c>
      <c r="L31" t="s">
        <v>435</v>
      </c>
    </row>
    <row r="32" spans="1:18" outlineLevel="1" x14ac:dyDescent="0.25">
      <c r="D32" s="329"/>
      <c r="E32" s="331"/>
      <c r="F32" s="333"/>
      <c r="G32" s="331"/>
      <c r="H32" s="335"/>
      <c r="I32" s="335"/>
      <c r="J32" s="331"/>
      <c r="K32" s="96">
        <v>11.84</v>
      </c>
      <c r="L32" t="s">
        <v>436</v>
      </c>
    </row>
    <row r="33" spans="4:12" ht="15" customHeight="1" outlineLevel="1" x14ac:dyDescent="0.25">
      <c r="D33" s="98" t="s">
        <v>438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468</v>
      </c>
    </row>
    <row r="34" spans="4:12" outlineLevel="1" x14ac:dyDescent="0.25">
      <c r="D34" s="98" t="s">
        <v>439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468</v>
      </c>
    </row>
    <row r="35" spans="4:12" outlineLevel="1" x14ac:dyDescent="0.25">
      <c r="D35" s="97" t="s">
        <v>382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2" t="s">
        <v>10</v>
      </c>
      <c r="B2" s="242"/>
      <c r="C2" s="242"/>
      <c r="D2" s="24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45" t="str">
        <f>_xlfn.CONCAT(,'4.1 Отдел 1'!B10)</f>
        <v xml:space="preserve">Ячейки выключателя </v>
      </c>
      <c r="D4" s="245"/>
    </row>
    <row r="5" spans="1:4" x14ac:dyDescent="0.25">
      <c r="A5" s="5"/>
      <c r="B5" s="1"/>
      <c r="C5" s="1"/>
    </row>
    <row r="6" spans="1:4" x14ac:dyDescent="0.25">
      <c r="A6" s="242" t="s">
        <v>12</v>
      </c>
      <c r="B6" s="242"/>
      <c r="C6" s="242"/>
      <c r="D6" s="24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2107.9514274749999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1954.2172399999999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2107.9514274749999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6" t="s">
        <v>5</v>
      </c>
      <c r="B15" s="247" t="s">
        <v>15</v>
      </c>
      <c r="C15" s="247"/>
      <c r="D15" s="247"/>
    </row>
    <row r="16" spans="1:4" x14ac:dyDescent="0.25">
      <c r="A16" s="246"/>
      <c r="B16" s="246" t="s">
        <v>17</v>
      </c>
      <c r="C16" s="247" t="s">
        <v>28</v>
      </c>
      <c r="D16" s="247"/>
    </row>
    <row r="17" spans="1:4" ht="39" customHeight="1" x14ac:dyDescent="0.25">
      <c r="A17" s="246"/>
      <c r="B17" s="246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2107.9514274749999</v>
      </c>
      <c r="C18" s="3">
        <f>C11</f>
        <v>0</v>
      </c>
      <c r="D18" s="3">
        <f>C12</f>
        <v>1954.2172399999999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8" t="s">
        <v>29</v>
      </c>
      <c r="B2" s="248"/>
      <c r="C2" s="248"/>
      <c r="D2" s="248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6" zoomScale="60" zoomScaleNormal="85" workbookViewId="0">
      <selection activeCell="D25" sqref="D25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50" t="s">
        <v>45</v>
      </c>
      <c r="C2" s="250"/>
      <c r="D2" s="250"/>
    </row>
    <row r="3" spans="2:4" ht="18.75" customHeight="1" x14ac:dyDescent="0.25">
      <c r="B3" s="251" t="s">
        <v>46</v>
      </c>
      <c r="C3" s="251"/>
      <c r="D3" s="251"/>
    </row>
    <row r="4" spans="2:4" ht="84" customHeight="1" x14ac:dyDescent="0.25">
      <c r="B4" s="252" t="s">
        <v>47</v>
      </c>
      <c r="C4" s="252"/>
      <c r="D4" s="252"/>
    </row>
    <row r="5" spans="2:4" ht="18.75" customHeight="1" x14ac:dyDescent="0.25">
      <c r="B5" s="168"/>
      <c r="C5" s="168"/>
      <c r="D5" s="168"/>
    </row>
    <row r="6" spans="2:4" ht="41.25" customHeight="1" x14ac:dyDescent="0.25">
      <c r="B6" s="253" t="s">
        <v>48</v>
      </c>
      <c r="C6" s="253"/>
      <c r="D6" s="253"/>
    </row>
    <row r="7" spans="2:4" ht="15.75" customHeight="1" x14ac:dyDescent="0.25">
      <c r="B7" s="249" t="s">
        <v>49</v>
      </c>
      <c r="C7" s="249"/>
      <c r="D7" s="249"/>
    </row>
    <row r="8" spans="2:4" ht="15.75" customHeight="1" x14ac:dyDescent="0.25">
      <c r="B8" s="249" t="s">
        <v>50</v>
      </c>
      <c r="C8" s="249"/>
      <c r="D8" s="249"/>
    </row>
    <row r="9" spans="2:4" ht="18.75" customHeight="1" x14ac:dyDescent="0.25">
      <c r="B9" s="134"/>
    </row>
    <row r="10" spans="2:4" ht="15.75" customHeight="1" x14ac:dyDescent="0.25">
      <c r="B10" s="135" t="s">
        <v>33</v>
      </c>
      <c r="C10" s="135" t="s">
        <v>51</v>
      </c>
      <c r="D10" s="135" t="s">
        <v>52</v>
      </c>
    </row>
    <row r="11" spans="2:4" ht="31.5" customHeight="1" x14ac:dyDescent="0.25">
      <c r="B11" s="135">
        <v>1</v>
      </c>
      <c r="C11" s="150" t="s">
        <v>53</v>
      </c>
      <c r="D11" s="206" t="s">
        <v>54</v>
      </c>
    </row>
    <row r="12" spans="2:4" ht="31.5" customHeight="1" x14ac:dyDescent="0.25">
      <c r="B12" s="135">
        <v>2</v>
      </c>
      <c r="C12" s="150" t="s">
        <v>55</v>
      </c>
      <c r="D12" s="135" t="s">
        <v>56</v>
      </c>
    </row>
    <row r="13" spans="2:4" ht="15.75" customHeight="1" x14ac:dyDescent="0.25">
      <c r="B13" s="135">
        <v>3</v>
      </c>
      <c r="C13" s="150" t="s">
        <v>57</v>
      </c>
      <c r="D13" s="135" t="s">
        <v>58</v>
      </c>
    </row>
    <row r="14" spans="2:4" ht="15.75" customHeight="1" x14ac:dyDescent="0.25">
      <c r="B14" s="135">
        <v>4</v>
      </c>
      <c r="C14" s="150" t="s">
        <v>59</v>
      </c>
      <c r="D14" s="135">
        <v>2</v>
      </c>
    </row>
    <row r="15" spans="2:4" ht="94.5" customHeight="1" x14ac:dyDescent="0.25">
      <c r="B15" s="135">
        <v>5</v>
      </c>
      <c r="C15" s="136" t="s">
        <v>60</v>
      </c>
      <c r="D15" s="135" t="s">
        <v>61</v>
      </c>
    </row>
    <row r="16" spans="2:4" ht="78.75" customHeight="1" x14ac:dyDescent="0.25">
      <c r="B16" s="135">
        <v>6</v>
      </c>
      <c r="C16" s="136" t="s">
        <v>62</v>
      </c>
      <c r="D16" s="237">
        <f>SUM(D17:D20)</f>
        <v>7058.28</v>
      </c>
    </row>
    <row r="17" spans="2:7" ht="15.75" customHeight="1" x14ac:dyDescent="0.25">
      <c r="B17" s="169" t="s">
        <v>63</v>
      </c>
      <c r="C17" s="150" t="s">
        <v>64</v>
      </c>
      <c r="D17" s="237">
        <v>295.73</v>
      </c>
    </row>
    <row r="18" spans="2:7" ht="15.75" customHeight="1" x14ac:dyDescent="0.25">
      <c r="B18" s="169" t="s">
        <v>65</v>
      </c>
      <c r="C18" s="150" t="s">
        <v>66</v>
      </c>
      <c r="D18" s="237">
        <v>4817.8900000000003</v>
      </c>
    </row>
    <row r="19" spans="2:7" ht="15.75" customHeight="1" x14ac:dyDescent="0.25">
      <c r="B19" s="169" t="s">
        <v>67</v>
      </c>
      <c r="C19" s="150" t="s">
        <v>68</v>
      </c>
      <c r="D19" s="237"/>
    </row>
    <row r="20" spans="2:7" ht="15.75" customHeight="1" x14ac:dyDescent="0.25">
      <c r="B20" s="169" t="s">
        <v>69</v>
      </c>
      <c r="C20" s="150" t="s">
        <v>70</v>
      </c>
      <c r="D20" s="237">
        <v>1944.66</v>
      </c>
    </row>
    <row r="21" spans="2:7" ht="15.75" customHeight="1" x14ac:dyDescent="0.25">
      <c r="B21" s="135">
        <v>7</v>
      </c>
      <c r="C21" s="150" t="s">
        <v>71</v>
      </c>
      <c r="D21" s="238" t="s">
        <v>72</v>
      </c>
      <c r="G21" s="174"/>
    </row>
    <row r="22" spans="2:7" ht="110.25" customHeight="1" x14ac:dyDescent="0.25">
      <c r="B22" s="135">
        <v>8</v>
      </c>
      <c r="C22" s="136" t="s">
        <v>73</v>
      </c>
      <c r="D22" s="237">
        <f>D16</f>
        <v>7058.28</v>
      </c>
    </row>
    <row r="23" spans="2:7" ht="47.25" customHeight="1" x14ac:dyDescent="0.25">
      <c r="B23" s="135">
        <v>9</v>
      </c>
      <c r="C23" s="136" t="s">
        <v>74</v>
      </c>
      <c r="D23" s="237">
        <f>D22/D14</f>
        <v>3529.14</v>
      </c>
      <c r="G23" s="174"/>
    </row>
    <row r="24" spans="2:7" ht="110.25" hidden="1" customHeight="1" x14ac:dyDescent="0.25">
      <c r="B24" s="135">
        <v>10</v>
      </c>
      <c r="C24" s="150" t="s">
        <v>75</v>
      </c>
      <c r="D24" s="150" t="s">
        <v>76</v>
      </c>
    </row>
    <row r="25" spans="2:7" ht="37.5" customHeight="1" x14ac:dyDescent="0.25">
      <c r="B25" s="170"/>
      <c r="C25" s="171"/>
      <c r="D25" s="171"/>
    </row>
    <row r="26" spans="2:7" s="224" customFormat="1" x14ac:dyDescent="0.25">
      <c r="B26" s="208" t="s">
        <v>469</v>
      </c>
      <c r="C26" s="213"/>
    </row>
    <row r="27" spans="2:7" s="224" customFormat="1" x14ac:dyDescent="0.25">
      <c r="B27" s="33" t="s">
        <v>77</v>
      </c>
      <c r="C27" s="213"/>
    </row>
    <row r="28" spans="2:7" s="224" customFormat="1" x14ac:dyDescent="0.25">
      <c r="B28" s="208"/>
      <c r="C28" s="213"/>
    </row>
    <row r="29" spans="2:7" s="224" customFormat="1" x14ac:dyDescent="0.25">
      <c r="B29" s="208" t="s">
        <v>470</v>
      </c>
      <c r="C29" s="213"/>
    </row>
    <row r="30" spans="2:7" s="224" customFormat="1" x14ac:dyDescent="0.25">
      <c r="B30" s="33" t="s">
        <v>78</v>
      </c>
      <c r="C30" s="213"/>
    </row>
    <row r="31" spans="2:7" ht="15.75" customHeight="1" x14ac:dyDescent="0.25">
      <c r="B31" s="171"/>
      <c r="C31" s="171"/>
      <c r="D31" s="171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50" t="s">
        <v>79</v>
      </c>
      <c r="C3" s="250"/>
      <c r="D3" s="250"/>
      <c r="E3" s="250"/>
      <c r="F3" s="250"/>
      <c r="G3" s="250"/>
      <c r="H3" s="250"/>
      <c r="I3" s="250"/>
      <c r="J3" s="250"/>
      <c r="K3" s="250"/>
    </row>
    <row r="4" spans="2:11" ht="15.75" customHeight="1" x14ac:dyDescent="0.25">
      <c r="B4" s="256" t="s">
        <v>80</v>
      </c>
      <c r="C4" s="256"/>
      <c r="D4" s="256"/>
      <c r="E4" s="256"/>
      <c r="F4" s="256"/>
      <c r="G4" s="256"/>
      <c r="H4" s="256"/>
      <c r="I4" s="256"/>
      <c r="J4" s="256"/>
      <c r="K4" s="256"/>
    </row>
    <row r="5" spans="2:11" ht="15.75" customHeight="1" x14ac:dyDescent="0.25"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2:11" ht="15.75" customHeight="1" x14ac:dyDescent="0.25">
      <c r="B6" s="253" t="str">
        <f>'Прил.1 Сравнит табл'!B6:D6</f>
        <v>Наименование разрабатываемого показателя УНЦ - ТТ на три фазы без устройства фундамента напряжение 220(150) кВ</v>
      </c>
      <c r="C6" s="253"/>
      <c r="D6" s="253"/>
      <c r="E6" s="253"/>
      <c r="F6" s="253"/>
      <c r="G6" s="253"/>
      <c r="H6" s="253"/>
      <c r="I6" s="253"/>
      <c r="J6" s="253"/>
      <c r="K6" s="170"/>
    </row>
    <row r="7" spans="2:11" ht="15.75" customHeight="1" x14ac:dyDescent="0.25">
      <c r="B7" s="249" t="str">
        <f>'Прил.1 Сравнит табл'!B8</f>
        <v>Единица измерения  — 1 ед.</v>
      </c>
      <c r="C7" s="249"/>
      <c r="D7" s="249"/>
      <c r="E7" s="249"/>
      <c r="F7" s="249"/>
      <c r="G7" s="249"/>
      <c r="H7" s="249"/>
      <c r="I7" s="249"/>
      <c r="J7" s="249"/>
      <c r="K7" s="249"/>
    </row>
    <row r="8" spans="2:11" ht="18.75" customHeight="1" x14ac:dyDescent="0.25">
      <c r="B8" s="134"/>
    </row>
    <row r="9" spans="2:11" ht="15.75" customHeight="1" x14ac:dyDescent="0.25">
      <c r="B9" s="255" t="s">
        <v>33</v>
      </c>
      <c r="C9" s="255" t="s">
        <v>81</v>
      </c>
      <c r="D9" s="255" t="s">
        <v>82</v>
      </c>
      <c r="E9" s="255"/>
      <c r="F9" s="255"/>
      <c r="G9" s="255"/>
      <c r="H9" s="255"/>
      <c r="I9" s="255"/>
      <c r="J9" s="255"/>
    </row>
    <row r="10" spans="2:11" ht="15.75" customHeight="1" x14ac:dyDescent="0.25">
      <c r="B10" s="255"/>
      <c r="C10" s="255"/>
      <c r="D10" s="255" t="s">
        <v>83</v>
      </c>
      <c r="E10" s="255" t="s">
        <v>84</v>
      </c>
      <c r="F10" s="255" t="s">
        <v>85</v>
      </c>
      <c r="G10" s="255"/>
      <c r="H10" s="255"/>
      <c r="I10" s="255"/>
      <c r="J10" s="255"/>
    </row>
    <row r="11" spans="2:11" ht="58.5" customHeight="1" x14ac:dyDescent="0.25">
      <c r="B11" s="255"/>
      <c r="C11" s="255"/>
      <c r="D11" s="255"/>
      <c r="E11" s="255"/>
      <c r="F11" s="206" t="s">
        <v>86</v>
      </c>
      <c r="G11" s="206" t="s">
        <v>87</v>
      </c>
      <c r="H11" s="206" t="s">
        <v>43</v>
      </c>
      <c r="I11" s="206" t="s">
        <v>88</v>
      </c>
      <c r="J11" s="206" t="s">
        <v>89</v>
      </c>
    </row>
    <row r="12" spans="2:11" ht="94.5" customHeight="1" x14ac:dyDescent="0.25">
      <c r="B12" s="226">
        <v>1</v>
      </c>
      <c r="C12" s="206" t="s">
        <v>61</v>
      </c>
      <c r="D12" s="240" t="s">
        <v>90</v>
      </c>
      <c r="E12" s="241" t="s">
        <v>91</v>
      </c>
      <c r="F12" s="229">
        <f>31595*9.36/1000</f>
        <v>295.72919999999999</v>
      </c>
      <c r="G12" s="229"/>
      <c r="H12" s="229">
        <f>1125676*4.28/1000</f>
        <v>4817.8932800000002</v>
      </c>
      <c r="I12" s="229">
        <f>230957*8.42/1000</f>
        <v>1944.6579400000001</v>
      </c>
      <c r="J12" s="236">
        <f>SUM(F12:I12)</f>
        <v>7058.28042</v>
      </c>
    </row>
    <row r="13" spans="2:11" ht="15" customHeight="1" x14ac:dyDescent="0.25">
      <c r="B13" s="257" t="s">
        <v>92</v>
      </c>
      <c r="C13" s="257"/>
      <c r="D13" s="257"/>
      <c r="E13" s="257"/>
      <c r="F13" s="227">
        <f>SUM(F12)</f>
        <v>295.72919999999999</v>
      </c>
      <c r="G13" s="227"/>
      <c r="H13" s="227">
        <f>SUM(H12)</f>
        <v>4817.8932800000002</v>
      </c>
      <c r="I13" s="227">
        <f>SUM(I12)</f>
        <v>1944.6579400000001</v>
      </c>
      <c r="J13" s="227">
        <f>SUM(J12)</f>
        <v>7058.28042</v>
      </c>
    </row>
    <row r="14" spans="2:11" ht="15.75" customHeight="1" x14ac:dyDescent="0.25">
      <c r="B14" s="254" t="s">
        <v>93</v>
      </c>
      <c r="C14" s="254"/>
      <c r="D14" s="254"/>
      <c r="E14" s="254"/>
      <c r="F14" s="228">
        <f>F13</f>
        <v>295.72919999999999</v>
      </c>
      <c r="G14" s="228"/>
      <c r="H14" s="228">
        <f>H13</f>
        <v>4817.8932800000002</v>
      </c>
      <c r="I14" s="228">
        <f>I13</f>
        <v>1944.6579400000001</v>
      </c>
      <c r="J14" s="228">
        <f>J13</f>
        <v>7058.28042</v>
      </c>
    </row>
    <row r="18" spans="2:3" s="224" customFormat="1" x14ac:dyDescent="0.25">
      <c r="B18" s="208" t="s">
        <v>469</v>
      </c>
      <c r="C18" s="213"/>
    </row>
    <row r="19" spans="2:3" s="224" customFormat="1" x14ac:dyDescent="0.25">
      <c r="B19" s="33" t="s">
        <v>77</v>
      </c>
      <c r="C19" s="213"/>
    </row>
    <row r="20" spans="2:3" s="224" customFormat="1" x14ac:dyDescent="0.25">
      <c r="B20" s="208"/>
      <c r="C20" s="213"/>
    </row>
    <row r="21" spans="2:3" s="224" customFormat="1" x14ac:dyDescent="0.25">
      <c r="B21" s="208" t="s">
        <v>470</v>
      </c>
      <c r="C21" s="213"/>
    </row>
    <row r="22" spans="2:3" s="224" customFormat="1" x14ac:dyDescent="0.25">
      <c r="B22" s="33" t="s">
        <v>78</v>
      </c>
      <c r="C22" s="213"/>
    </row>
  </sheetData>
  <mergeCells count="12">
    <mergeCell ref="B3:K3"/>
    <mergeCell ref="B4:K4"/>
    <mergeCell ref="B7:K7"/>
    <mergeCell ref="B13:E13"/>
    <mergeCell ref="B6:J6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6"/>
  <sheetViews>
    <sheetView view="pageBreakPreview" topLeftCell="A49" zoomScale="85" workbookViewId="0">
      <selection activeCell="C13" sqref="C13"/>
    </sheetView>
  </sheetViews>
  <sheetFormatPr defaultRowHeight="15" x14ac:dyDescent="0.25"/>
  <cols>
    <col min="1" max="1" width="11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11.140625" customWidth="1"/>
    <col min="10" max="10" width="9.28515625" customWidth="1"/>
    <col min="11" max="11" width="13" customWidth="1"/>
    <col min="12" max="12" width="9.140625" customWidth="1"/>
  </cols>
  <sheetData>
    <row r="2" spans="1:11" ht="15.75" customHeight="1" x14ac:dyDescent="0.25">
      <c r="A2" s="250" t="s">
        <v>94</v>
      </c>
      <c r="B2" s="250"/>
      <c r="C2" s="250"/>
      <c r="D2" s="250"/>
      <c r="E2" s="250"/>
      <c r="F2" s="250"/>
      <c r="G2" s="250"/>
      <c r="H2" s="250"/>
    </row>
    <row r="3" spans="1:11" ht="18.75" customHeight="1" x14ac:dyDescent="0.25">
      <c r="A3" s="251" t="s">
        <v>95</v>
      </c>
      <c r="B3" s="251"/>
      <c r="C3" s="251"/>
      <c r="D3" s="251"/>
      <c r="E3" s="251"/>
      <c r="F3" s="251"/>
      <c r="G3" s="251"/>
      <c r="H3" s="251"/>
    </row>
    <row r="4" spans="1:11" ht="18.75" customHeight="1" x14ac:dyDescent="0.25">
      <c r="A4" s="173"/>
      <c r="B4" s="173"/>
      <c r="C4" s="173"/>
      <c r="D4" s="173"/>
      <c r="E4" s="173"/>
      <c r="F4" s="173"/>
      <c r="G4" s="173"/>
      <c r="H4" s="173"/>
    </row>
    <row r="5" spans="1:11" x14ac:dyDescent="0.25">
      <c r="B5" s="145"/>
    </row>
    <row r="6" spans="1:11" ht="18.75" customHeight="1" x14ac:dyDescent="0.25">
      <c r="A6" s="173"/>
      <c r="B6" s="173"/>
      <c r="C6" s="260"/>
      <c r="D6" s="260"/>
      <c r="E6" s="260"/>
      <c r="F6" s="260"/>
      <c r="G6" s="260"/>
      <c r="H6" s="260"/>
    </row>
    <row r="7" spans="1:11" ht="15" customHeight="1" x14ac:dyDescent="0.25">
      <c r="A7" s="263" t="s">
        <v>48</v>
      </c>
      <c r="B7" s="263"/>
      <c r="C7" s="263"/>
      <c r="D7" s="263"/>
      <c r="E7" s="263"/>
      <c r="F7" s="263"/>
      <c r="G7" s="263"/>
      <c r="H7" s="263"/>
    </row>
    <row r="8" spans="1:11" ht="21.75" customHeight="1" x14ac:dyDescent="0.25">
      <c r="A8" s="138"/>
      <c r="B8" s="138"/>
      <c r="C8" s="138"/>
      <c r="D8" s="138"/>
      <c r="E8" s="138"/>
      <c r="F8" s="138"/>
      <c r="G8" s="138"/>
      <c r="H8" s="148"/>
    </row>
    <row r="9" spans="1:11" ht="38.25" customHeight="1" x14ac:dyDescent="0.25">
      <c r="A9" s="255" t="s">
        <v>96</v>
      </c>
      <c r="B9" s="255" t="s">
        <v>97</v>
      </c>
      <c r="C9" s="255" t="s">
        <v>98</v>
      </c>
      <c r="D9" s="255" t="s">
        <v>99</v>
      </c>
      <c r="E9" s="255" t="s">
        <v>100</v>
      </c>
      <c r="F9" s="255" t="s">
        <v>101</v>
      </c>
      <c r="G9" s="255" t="s">
        <v>102</v>
      </c>
      <c r="H9" s="255"/>
    </row>
    <row r="10" spans="1:11" ht="40.5" customHeight="1" x14ac:dyDescent="0.25">
      <c r="A10" s="255"/>
      <c r="B10" s="255"/>
      <c r="C10" s="255"/>
      <c r="D10" s="255"/>
      <c r="E10" s="255"/>
      <c r="F10" s="255"/>
      <c r="G10" s="135" t="s">
        <v>103</v>
      </c>
      <c r="H10" s="135" t="s">
        <v>104</v>
      </c>
      <c r="I10" s="177"/>
    </row>
    <row r="11" spans="1:11" ht="15.75" customHeight="1" x14ac:dyDescent="0.25">
      <c r="A11" s="135">
        <v>1</v>
      </c>
      <c r="B11" s="143"/>
      <c r="C11" s="135">
        <v>2</v>
      </c>
      <c r="D11" s="135" t="s">
        <v>105</v>
      </c>
      <c r="E11" s="135">
        <v>4</v>
      </c>
      <c r="F11" s="135">
        <v>5</v>
      </c>
      <c r="G11" s="143">
        <v>6</v>
      </c>
      <c r="H11" s="143">
        <v>7</v>
      </c>
    </row>
    <row r="12" spans="1:11" ht="15" customHeight="1" x14ac:dyDescent="0.25">
      <c r="A12" s="258" t="s">
        <v>106</v>
      </c>
      <c r="B12" s="259"/>
      <c r="C12" s="259"/>
      <c r="D12" s="259"/>
      <c r="E12" s="259"/>
      <c r="F12" s="144">
        <f>SUM(F13:F16)</f>
        <v>855.61149999999998</v>
      </c>
      <c r="G12" s="10"/>
      <c r="H12" s="144">
        <f>SUM(H13:H16)</f>
        <v>11791.28</v>
      </c>
      <c r="J12" s="151"/>
    </row>
    <row r="13" spans="1:11" x14ac:dyDescent="0.25">
      <c r="A13" s="191">
        <v>1</v>
      </c>
      <c r="B13" s="205"/>
      <c r="C13" s="191" t="s">
        <v>107</v>
      </c>
      <c r="D13" s="201" t="s">
        <v>108</v>
      </c>
      <c r="E13" s="202" t="s">
        <v>109</v>
      </c>
      <c r="F13" s="230">
        <v>344.42860000000002</v>
      </c>
      <c r="G13" s="32">
        <v>15.49</v>
      </c>
      <c r="H13" s="32">
        <f>ROUND(F13*G13,2)</f>
        <v>5335.2</v>
      </c>
    </row>
    <row r="14" spans="1:11" x14ac:dyDescent="0.25">
      <c r="A14" s="231">
        <f>A13+1</f>
        <v>2</v>
      </c>
      <c r="B14" s="205"/>
      <c r="C14" s="191" t="s">
        <v>110</v>
      </c>
      <c r="D14" s="201" t="s">
        <v>111</v>
      </c>
      <c r="E14" s="202" t="s">
        <v>109</v>
      </c>
      <c r="F14" s="230">
        <v>344.42860000000002</v>
      </c>
      <c r="G14" s="32">
        <v>14.09</v>
      </c>
      <c r="H14" s="32">
        <f>ROUND(F14*G14,2)</f>
        <v>4853</v>
      </c>
      <c r="K14" s="177"/>
    </row>
    <row r="15" spans="1:11" x14ac:dyDescent="0.25">
      <c r="A15" s="231">
        <f>A14+1</f>
        <v>3</v>
      </c>
      <c r="B15" s="205"/>
      <c r="C15" s="191" t="s">
        <v>112</v>
      </c>
      <c r="D15" s="201" t="s">
        <v>113</v>
      </c>
      <c r="E15" s="202" t="s">
        <v>109</v>
      </c>
      <c r="F15" s="230">
        <v>161.7748</v>
      </c>
      <c r="G15" s="32">
        <v>9.6199999999999992</v>
      </c>
      <c r="H15" s="32">
        <f>ROUND(F15*G15,2)</f>
        <v>1556.27</v>
      </c>
    </row>
    <row r="16" spans="1:11" x14ac:dyDescent="0.25">
      <c r="A16" s="231">
        <f>A15+1</f>
        <v>4</v>
      </c>
      <c r="B16" s="205"/>
      <c r="C16" s="191" t="s">
        <v>114</v>
      </c>
      <c r="D16" s="201" t="s">
        <v>115</v>
      </c>
      <c r="E16" s="202" t="s">
        <v>109</v>
      </c>
      <c r="F16" s="230">
        <v>4.9794999999999998</v>
      </c>
      <c r="G16" s="32">
        <v>9.4</v>
      </c>
      <c r="H16" s="32">
        <f>ROUND(F16*G16,2)</f>
        <v>46.81</v>
      </c>
    </row>
    <row r="17" spans="1:14" ht="15" customHeight="1" x14ac:dyDescent="0.25">
      <c r="A17" s="262" t="s">
        <v>116</v>
      </c>
      <c r="B17" s="262"/>
      <c r="C17" s="262"/>
      <c r="D17" s="262"/>
      <c r="E17" s="262"/>
      <c r="F17" s="10"/>
      <c r="G17" s="10"/>
      <c r="H17" s="144">
        <f>H18</f>
        <v>2286.9</v>
      </c>
    </row>
    <row r="18" spans="1:14" x14ac:dyDescent="0.25">
      <c r="A18" s="231">
        <f>A16+1</f>
        <v>5</v>
      </c>
      <c r="B18" s="205"/>
      <c r="C18" s="191">
        <v>2</v>
      </c>
      <c r="D18" s="201" t="s">
        <v>116</v>
      </c>
      <c r="E18" s="202" t="s">
        <v>117</v>
      </c>
      <c r="F18" s="202">
        <v>182.22300000000001</v>
      </c>
      <c r="G18" s="32"/>
      <c r="H18" s="232">
        <v>2286.9</v>
      </c>
      <c r="L18" s="140"/>
      <c r="N18" s="178"/>
    </row>
    <row r="19" spans="1:14" ht="15" customHeight="1" x14ac:dyDescent="0.25">
      <c r="A19" s="262" t="s">
        <v>118</v>
      </c>
      <c r="B19" s="262"/>
      <c r="C19" s="262"/>
      <c r="D19" s="262"/>
      <c r="E19" s="262"/>
      <c r="F19" s="10"/>
      <c r="G19" s="10"/>
      <c r="H19" s="144">
        <f>SUM(H20:H27)</f>
        <v>12390.15</v>
      </c>
    </row>
    <row r="20" spans="1:14" ht="25.5" customHeight="1" x14ac:dyDescent="0.25">
      <c r="A20" s="191">
        <f>A18+1</f>
        <v>6</v>
      </c>
      <c r="B20" s="205"/>
      <c r="C20" s="191" t="s">
        <v>119</v>
      </c>
      <c r="D20" s="201" t="s">
        <v>120</v>
      </c>
      <c r="E20" s="202" t="s">
        <v>121</v>
      </c>
      <c r="F20" s="202">
        <v>61.95</v>
      </c>
      <c r="G20" s="204">
        <v>111.99</v>
      </c>
      <c r="H20" s="32">
        <f t="shared" ref="H20:H27" si="0">ROUND(F20*G20,2)</f>
        <v>6937.78</v>
      </c>
    </row>
    <row r="21" spans="1:14" x14ac:dyDescent="0.25">
      <c r="A21" s="191">
        <f t="shared" ref="A21:A27" si="1">A20+1</f>
        <v>7</v>
      </c>
      <c r="B21" s="205"/>
      <c r="C21" s="191" t="s">
        <v>122</v>
      </c>
      <c r="D21" s="201" t="s">
        <v>123</v>
      </c>
      <c r="E21" s="202" t="s">
        <v>121</v>
      </c>
      <c r="F21" s="202">
        <v>37.875</v>
      </c>
      <c r="G21" s="204">
        <v>65.709999999999994</v>
      </c>
      <c r="H21" s="32">
        <f t="shared" si="0"/>
        <v>2488.77</v>
      </c>
    </row>
    <row r="22" spans="1:14" x14ac:dyDescent="0.25">
      <c r="A22" s="191">
        <f t="shared" si="1"/>
        <v>8</v>
      </c>
      <c r="B22" s="205"/>
      <c r="C22" s="191" t="s">
        <v>124</v>
      </c>
      <c r="D22" s="201" t="s">
        <v>125</v>
      </c>
      <c r="E22" s="202" t="s">
        <v>121</v>
      </c>
      <c r="F22" s="202">
        <v>75.150000000000006</v>
      </c>
      <c r="G22" s="204">
        <v>29.6</v>
      </c>
      <c r="H22" s="32">
        <f t="shared" si="0"/>
        <v>2224.44</v>
      </c>
    </row>
    <row r="23" spans="1:14" ht="25.5" customHeight="1" x14ac:dyDescent="0.25">
      <c r="A23" s="191">
        <f t="shared" si="1"/>
        <v>9</v>
      </c>
      <c r="B23" s="205"/>
      <c r="C23" s="191" t="s">
        <v>126</v>
      </c>
      <c r="D23" s="201" t="s">
        <v>127</v>
      </c>
      <c r="E23" s="202" t="s">
        <v>121</v>
      </c>
      <c r="F23" s="202">
        <v>2.9249999999999998</v>
      </c>
      <c r="G23" s="204">
        <v>127.95</v>
      </c>
      <c r="H23" s="32">
        <f t="shared" si="0"/>
        <v>374.25</v>
      </c>
    </row>
    <row r="24" spans="1:14" ht="25.5" customHeight="1" x14ac:dyDescent="0.25">
      <c r="A24" s="191">
        <f t="shared" si="1"/>
        <v>10</v>
      </c>
      <c r="B24" s="205"/>
      <c r="C24" s="191" t="s">
        <v>128</v>
      </c>
      <c r="D24" s="201" t="s">
        <v>129</v>
      </c>
      <c r="E24" s="202" t="s">
        <v>121</v>
      </c>
      <c r="F24" s="202">
        <v>20.962499999999999</v>
      </c>
      <c r="G24" s="204">
        <v>8.1</v>
      </c>
      <c r="H24" s="32">
        <f t="shared" si="0"/>
        <v>169.8</v>
      </c>
    </row>
    <row r="25" spans="1:14" ht="25.5" customHeight="1" x14ac:dyDescent="0.25">
      <c r="A25" s="191">
        <f t="shared" si="1"/>
        <v>11</v>
      </c>
      <c r="B25" s="205"/>
      <c r="C25" s="191" t="s">
        <v>130</v>
      </c>
      <c r="D25" s="201" t="s">
        <v>131</v>
      </c>
      <c r="E25" s="202" t="s">
        <v>121</v>
      </c>
      <c r="F25" s="202">
        <v>0.78749999999999998</v>
      </c>
      <c r="G25" s="204">
        <v>189.95</v>
      </c>
      <c r="H25" s="32">
        <f t="shared" si="0"/>
        <v>149.59</v>
      </c>
    </row>
    <row r="26" spans="1:14" ht="25.5" customHeight="1" x14ac:dyDescent="0.25">
      <c r="A26" s="191">
        <f t="shared" si="1"/>
        <v>12</v>
      </c>
      <c r="B26" s="205"/>
      <c r="C26" s="191" t="s">
        <v>132</v>
      </c>
      <c r="D26" s="201" t="s">
        <v>133</v>
      </c>
      <c r="E26" s="202" t="s">
        <v>121</v>
      </c>
      <c r="F26" s="202">
        <v>33.075000000000003</v>
      </c>
      <c r="G26" s="204">
        <v>0.9</v>
      </c>
      <c r="H26" s="32">
        <f t="shared" si="0"/>
        <v>29.77</v>
      </c>
    </row>
    <row r="27" spans="1:14" ht="25.5" customHeight="1" x14ac:dyDescent="0.25">
      <c r="A27" s="191">
        <f t="shared" si="1"/>
        <v>13</v>
      </c>
      <c r="B27" s="205"/>
      <c r="C27" s="191" t="s">
        <v>134</v>
      </c>
      <c r="D27" s="201" t="s">
        <v>135</v>
      </c>
      <c r="E27" s="202" t="s">
        <v>121</v>
      </c>
      <c r="F27" s="202">
        <v>1.125</v>
      </c>
      <c r="G27" s="204">
        <v>14</v>
      </c>
      <c r="H27" s="32">
        <f t="shared" si="0"/>
        <v>15.75</v>
      </c>
    </row>
    <row r="28" spans="1:14" ht="15" customHeight="1" x14ac:dyDescent="0.25">
      <c r="A28" s="262" t="s">
        <v>43</v>
      </c>
      <c r="B28" s="262"/>
      <c r="C28" s="262"/>
      <c r="D28" s="262"/>
      <c r="E28" s="262"/>
      <c r="F28" s="10"/>
      <c r="G28" s="10"/>
      <c r="H28" s="144">
        <f>SUM(H29:H30)</f>
        <v>2332821.02</v>
      </c>
    </row>
    <row r="29" spans="1:14" x14ac:dyDescent="0.25">
      <c r="A29" s="231">
        <f>A27+1</f>
        <v>14</v>
      </c>
      <c r="B29" s="200"/>
      <c r="C29" s="191" t="s">
        <v>136</v>
      </c>
      <c r="D29" s="201" t="s">
        <v>137</v>
      </c>
      <c r="E29" s="202" t="s">
        <v>138</v>
      </c>
      <c r="F29" s="202">
        <v>6</v>
      </c>
      <c r="G29" s="32">
        <v>375225.23</v>
      </c>
      <c r="H29" s="32">
        <f>ROUND(F29*G29,2)</f>
        <v>2251351.38</v>
      </c>
      <c r="I29" s="176"/>
    </row>
    <row r="30" spans="1:14" ht="31.5" customHeight="1" x14ac:dyDescent="0.25">
      <c r="A30" s="231">
        <v>15</v>
      </c>
      <c r="B30" s="200"/>
      <c r="C30" s="191" t="s">
        <v>136</v>
      </c>
      <c r="D30" s="201" t="s">
        <v>139</v>
      </c>
      <c r="E30" s="202" t="s">
        <v>140</v>
      </c>
      <c r="F30" s="202">
        <v>2</v>
      </c>
      <c r="G30" s="32">
        <v>40734.82</v>
      </c>
      <c r="H30" s="32">
        <f>ROUND(F30*G30,2)</f>
        <v>81469.64</v>
      </c>
      <c r="I30" s="176"/>
    </row>
    <row r="31" spans="1:14" ht="15" customHeight="1" x14ac:dyDescent="0.25">
      <c r="A31" s="262" t="s">
        <v>141</v>
      </c>
      <c r="B31" s="262"/>
      <c r="C31" s="262"/>
      <c r="D31" s="262"/>
      <c r="E31" s="262"/>
      <c r="F31" s="10"/>
      <c r="G31" s="10"/>
      <c r="H31" s="144">
        <f>SUM(H32:H56)</f>
        <v>39634.17</v>
      </c>
    </row>
    <row r="32" spans="1:14" ht="27" customHeight="1" x14ac:dyDescent="0.25">
      <c r="A32" s="231">
        <f>A29+1</f>
        <v>15</v>
      </c>
      <c r="B32" s="205"/>
      <c r="C32" s="191" t="s">
        <v>142</v>
      </c>
      <c r="D32" s="201" t="s">
        <v>143</v>
      </c>
      <c r="E32" s="202" t="s">
        <v>144</v>
      </c>
      <c r="F32" s="202">
        <v>50</v>
      </c>
      <c r="G32" s="32">
        <v>365</v>
      </c>
      <c r="H32" s="32">
        <f t="shared" ref="H32:H56" si="2">ROUND(F32*G32,2)</f>
        <v>18250</v>
      </c>
      <c r="I32" s="176"/>
      <c r="K32" s="176"/>
    </row>
    <row r="33" spans="1:11" ht="25.5" customHeight="1" x14ac:dyDescent="0.25">
      <c r="A33" s="231">
        <f t="shared" ref="A33:A56" si="3">A32+1</f>
        <v>16</v>
      </c>
      <c r="B33" s="205"/>
      <c r="C33" s="191" t="s">
        <v>145</v>
      </c>
      <c r="D33" s="201" t="s">
        <v>146</v>
      </c>
      <c r="E33" s="202" t="s">
        <v>147</v>
      </c>
      <c r="F33" s="202">
        <f>0.011*3*2</f>
        <v>6.6000000000000003E-2</v>
      </c>
      <c r="G33" s="32">
        <v>98440.41</v>
      </c>
      <c r="H33" s="32">
        <f t="shared" si="2"/>
        <v>6497.07</v>
      </c>
      <c r="I33" s="176"/>
      <c r="K33" s="176"/>
    </row>
    <row r="34" spans="1:11" ht="30.75" customHeight="1" x14ac:dyDescent="0.25">
      <c r="A34" s="231">
        <f t="shared" si="3"/>
        <v>17</v>
      </c>
      <c r="B34" s="205"/>
      <c r="C34" s="191" t="s">
        <v>148</v>
      </c>
      <c r="D34" s="201" t="s">
        <v>149</v>
      </c>
      <c r="E34" s="202" t="s">
        <v>150</v>
      </c>
      <c r="F34" s="202">
        <v>0.14751</v>
      </c>
      <c r="G34" s="32">
        <v>32758.86</v>
      </c>
      <c r="H34" s="32">
        <f t="shared" si="2"/>
        <v>4832.26</v>
      </c>
      <c r="I34" s="176"/>
      <c r="K34" s="176"/>
    </row>
    <row r="35" spans="1:11" ht="21" customHeight="1" x14ac:dyDescent="0.25">
      <c r="A35" s="231">
        <f t="shared" si="3"/>
        <v>18</v>
      </c>
      <c r="B35" s="205"/>
      <c r="C35" s="191" t="s">
        <v>151</v>
      </c>
      <c r="D35" s="201" t="s">
        <v>152</v>
      </c>
      <c r="E35" s="202" t="s">
        <v>147</v>
      </c>
      <c r="F35" s="202">
        <f>0.018*3*2</f>
        <v>0.108</v>
      </c>
      <c r="G35" s="32">
        <v>38348.22</v>
      </c>
      <c r="H35" s="32">
        <f t="shared" si="2"/>
        <v>4141.6099999999997</v>
      </c>
      <c r="I35" s="176"/>
      <c r="K35" s="176"/>
    </row>
    <row r="36" spans="1:11" x14ac:dyDescent="0.25">
      <c r="A36" s="231">
        <f t="shared" si="3"/>
        <v>19</v>
      </c>
      <c r="B36" s="205"/>
      <c r="C36" s="191" t="s">
        <v>153</v>
      </c>
      <c r="D36" s="201" t="s">
        <v>154</v>
      </c>
      <c r="E36" s="202" t="s">
        <v>138</v>
      </c>
      <c r="F36" s="202">
        <v>9</v>
      </c>
      <c r="G36" s="32">
        <v>143.88</v>
      </c>
      <c r="H36" s="32">
        <f t="shared" si="2"/>
        <v>1294.92</v>
      </c>
      <c r="K36" s="176"/>
    </row>
    <row r="37" spans="1:11" ht="25.5" customHeight="1" x14ac:dyDescent="0.25">
      <c r="A37" s="231">
        <f t="shared" si="3"/>
        <v>20</v>
      </c>
      <c r="B37" s="205"/>
      <c r="C37" s="191" t="s">
        <v>155</v>
      </c>
      <c r="D37" s="201" t="s">
        <v>156</v>
      </c>
      <c r="E37" s="202" t="s">
        <v>157</v>
      </c>
      <c r="F37" s="202">
        <f>0.28*2</f>
        <v>0.56000000000000005</v>
      </c>
      <c r="G37" s="32">
        <v>1837.28</v>
      </c>
      <c r="H37" s="32">
        <f t="shared" si="2"/>
        <v>1028.8800000000001</v>
      </c>
      <c r="K37" s="176"/>
    </row>
    <row r="38" spans="1:11" x14ac:dyDescent="0.25">
      <c r="A38" s="231">
        <f t="shared" si="3"/>
        <v>21</v>
      </c>
      <c r="B38" s="205"/>
      <c r="C38" s="191" t="s">
        <v>158</v>
      </c>
      <c r="D38" s="201" t="s">
        <v>159</v>
      </c>
      <c r="E38" s="202" t="s">
        <v>160</v>
      </c>
      <c r="F38" s="202">
        <v>0.15</v>
      </c>
      <c r="G38" s="32">
        <v>6080</v>
      </c>
      <c r="H38" s="32">
        <f t="shared" si="2"/>
        <v>912</v>
      </c>
      <c r="K38" s="176"/>
    </row>
    <row r="39" spans="1:11" ht="25.5" customHeight="1" x14ac:dyDescent="0.25">
      <c r="A39" s="231">
        <f t="shared" si="3"/>
        <v>22</v>
      </c>
      <c r="B39" s="205"/>
      <c r="C39" s="191" t="s">
        <v>161</v>
      </c>
      <c r="D39" s="201" t="s">
        <v>162</v>
      </c>
      <c r="E39" s="202" t="s">
        <v>163</v>
      </c>
      <c r="F39" s="202">
        <v>50</v>
      </c>
      <c r="G39" s="32">
        <v>12.37</v>
      </c>
      <c r="H39" s="32">
        <f t="shared" si="2"/>
        <v>618.5</v>
      </c>
    </row>
    <row r="40" spans="1:11" ht="25.5" customHeight="1" x14ac:dyDescent="0.25">
      <c r="A40" s="231">
        <f t="shared" si="3"/>
        <v>23</v>
      </c>
      <c r="B40" s="205"/>
      <c r="C40" s="191" t="s">
        <v>164</v>
      </c>
      <c r="D40" s="201" t="s">
        <v>165</v>
      </c>
      <c r="E40" s="202" t="s">
        <v>150</v>
      </c>
      <c r="F40" s="202">
        <v>9.1999999999999998E-2</v>
      </c>
      <c r="G40" s="32">
        <v>5000</v>
      </c>
      <c r="H40" s="32">
        <f t="shared" si="2"/>
        <v>460</v>
      </c>
    </row>
    <row r="41" spans="1:11" x14ac:dyDescent="0.25">
      <c r="A41" s="231">
        <f t="shared" si="3"/>
        <v>24</v>
      </c>
      <c r="B41" s="205"/>
      <c r="C41" s="191" t="s">
        <v>166</v>
      </c>
      <c r="D41" s="201" t="s">
        <v>167</v>
      </c>
      <c r="E41" s="202" t="s">
        <v>168</v>
      </c>
      <c r="F41" s="202">
        <v>8</v>
      </c>
      <c r="G41" s="32">
        <v>50</v>
      </c>
      <c r="H41" s="32">
        <f t="shared" si="2"/>
        <v>400</v>
      </c>
    </row>
    <row r="42" spans="1:11" ht="25.5" customHeight="1" x14ac:dyDescent="0.25">
      <c r="A42" s="231">
        <f t="shared" si="3"/>
        <v>25</v>
      </c>
      <c r="B42" s="205"/>
      <c r="C42" s="191" t="s">
        <v>169</v>
      </c>
      <c r="D42" s="201" t="s">
        <v>170</v>
      </c>
      <c r="E42" s="202" t="s">
        <v>168</v>
      </c>
      <c r="F42" s="202">
        <v>12.02624</v>
      </c>
      <c r="G42" s="32">
        <v>25.76</v>
      </c>
      <c r="H42" s="32">
        <f t="shared" si="2"/>
        <v>309.8</v>
      </c>
    </row>
    <row r="43" spans="1:11" x14ac:dyDescent="0.25">
      <c r="A43" s="231">
        <f t="shared" si="3"/>
        <v>26</v>
      </c>
      <c r="B43" s="205"/>
      <c r="C43" s="191" t="s">
        <v>171</v>
      </c>
      <c r="D43" s="201" t="s">
        <v>172</v>
      </c>
      <c r="E43" s="202" t="s">
        <v>157</v>
      </c>
      <c r="F43" s="202">
        <f>1.2*1*2</f>
        <v>2.4</v>
      </c>
      <c r="G43" s="32">
        <v>108.4</v>
      </c>
      <c r="H43" s="32">
        <f t="shared" si="2"/>
        <v>260.16000000000003</v>
      </c>
    </row>
    <row r="44" spans="1:11" x14ac:dyDescent="0.25">
      <c r="A44" s="231">
        <f t="shared" si="3"/>
        <v>27</v>
      </c>
      <c r="B44" s="205"/>
      <c r="C44" s="191" t="s">
        <v>173</v>
      </c>
      <c r="D44" s="201" t="s">
        <v>174</v>
      </c>
      <c r="E44" s="202" t="s">
        <v>168</v>
      </c>
      <c r="F44" s="202">
        <v>15.22</v>
      </c>
      <c r="G44" s="32">
        <v>9.0399999999999991</v>
      </c>
      <c r="H44" s="32">
        <f t="shared" si="2"/>
        <v>137.59</v>
      </c>
    </row>
    <row r="45" spans="1:11" ht="25.5" customHeight="1" x14ac:dyDescent="0.25">
      <c r="A45" s="231">
        <f t="shared" si="3"/>
        <v>28</v>
      </c>
      <c r="B45" s="205"/>
      <c r="C45" s="191" t="s">
        <v>175</v>
      </c>
      <c r="D45" s="201" t="s">
        <v>176</v>
      </c>
      <c r="E45" s="202" t="s">
        <v>150</v>
      </c>
      <c r="F45" s="202">
        <v>1.7999999999999999E-2</v>
      </c>
      <c r="G45" s="32">
        <v>6508.75</v>
      </c>
      <c r="H45" s="32">
        <f t="shared" si="2"/>
        <v>117.16</v>
      </c>
    </row>
    <row r="46" spans="1:11" x14ac:dyDescent="0.25">
      <c r="A46" s="231">
        <f t="shared" si="3"/>
        <v>29</v>
      </c>
      <c r="B46" s="205"/>
      <c r="C46" s="191" t="s">
        <v>177</v>
      </c>
      <c r="D46" s="201" t="s">
        <v>178</v>
      </c>
      <c r="E46" s="202" t="s">
        <v>168</v>
      </c>
      <c r="F46" s="202">
        <v>3.6</v>
      </c>
      <c r="G46" s="32">
        <v>28.6</v>
      </c>
      <c r="H46" s="32">
        <f t="shared" si="2"/>
        <v>102.96</v>
      </c>
    </row>
    <row r="47" spans="1:11" x14ac:dyDescent="0.25">
      <c r="A47" s="231">
        <f t="shared" si="3"/>
        <v>30</v>
      </c>
      <c r="B47" s="205"/>
      <c r="C47" s="191" t="s">
        <v>179</v>
      </c>
      <c r="D47" s="201" t="s">
        <v>180</v>
      </c>
      <c r="E47" s="202" t="s">
        <v>181</v>
      </c>
      <c r="F47" s="202">
        <v>0.78</v>
      </c>
      <c r="G47" s="32">
        <v>79.099999999999994</v>
      </c>
      <c r="H47" s="32">
        <f t="shared" si="2"/>
        <v>61.7</v>
      </c>
    </row>
    <row r="48" spans="1:11" ht="25.5" customHeight="1" x14ac:dyDescent="0.25">
      <c r="A48" s="231">
        <f t="shared" si="3"/>
        <v>31</v>
      </c>
      <c r="B48" s="205"/>
      <c r="C48" s="191" t="s">
        <v>182</v>
      </c>
      <c r="D48" s="201" t="s">
        <v>183</v>
      </c>
      <c r="E48" s="202" t="s">
        <v>150</v>
      </c>
      <c r="F48" s="202">
        <v>3.3999999999999998E-3</v>
      </c>
      <c r="G48" s="32">
        <v>17500</v>
      </c>
      <c r="H48" s="32">
        <f t="shared" si="2"/>
        <v>59.5</v>
      </c>
    </row>
    <row r="49" spans="1:11" x14ac:dyDescent="0.25">
      <c r="A49" s="231">
        <f t="shared" si="3"/>
        <v>32</v>
      </c>
      <c r="B49" s="205"/>
      <c r="C49" s="191" t="s">
        <v>184</v>
      </c>
      <c r="D49" s="201" t="s">
        <v>185</v>
      </c>
      <c r="E49" s="202" t="s">
        <v>168</v>
      </c>
      <c r="F49" s="202">
        <v>0.94499999999999995</v>
      </c>
      <c r="G49" s="32">
        <v>39.700000000000003</v>
      </c>
      <c r="H49" s="32">
        <f t="shared" si="2"/>
        <v>37.520000000000003</v>
      </c>
    </row>
    <row r="50" spans="1:11" x14ac:dyDescent="0.25">
      <c r="A50" s="231">
        <f t="shared" si="3"/>
        <v>33</v>
      </c>
      <c r="B50" s="205"/>
      <c r="C50" s="191" t="s">
        <v>186</v>
      </c>
      <c r="D50" s="201" t="s">
        <v>187</v>
      </c>
      <c r="E50" s="202" t="s">
        <v>168</v>
      </c>
      <c r="F50" s="202">
        <v>3.0649999999999999</v>
      </c>
      <c r="G50" s="32">
        <v>10.57</v>
      </c>
      <c r="H50" s="32">
        <f t="shared" si="2"/>
        <v>32.4</v>
      </c>
    </row>
    <row r="51" spans="1:11" x14ac:dyDescent="0.25">
      <c r="A51" s="231">
        <f t="shared" si="3"/>
        <v>34</v>
      </c>
      <c r="B51" s="205"/>
      <c r="C51" s="191" t="s">
        <v>188</v>
      </c>
      <c r="D51" s="201" t="s">
        <v>189</v>
      </c>
      <c r="E51" s="202" t="s">
        <v>168</v>
      </c>
      <c r="F51" s="202">
        <v>0.115</v>
      </c>
      <c r="G51" s="32">
        <v>238.48</v>
      </c>
      <c r="H51" s="32">
        <f t="shared" si="2"/>
        <v>27.43</v>
      </c>
    </row>
    <row r="52" spans="1:11" ht="25.5" customHeight="1" x14ac:dyDescent="0.25">
      <c r="A52" s="231">
        <f t="shared" si="3"/>
        <v>35</v>
      </c>
      <c r="B52" s="205"/>
      <c r="C52" s="191" t="s">
        <v>190</v>
      </c>
      <c r="D52" s="201" t="s">
        <v>191</v>
      </c>
      <c r="E52" s="202" t="s">
        <v>192</v>
      </c>
      <c r="F52" s="202">
        <v>21.003499999999999</v>
      </c>
      <c r="G52" s="32">
        <v>1</v>
      </c>
      <c r="H52" s="32">
        <f t="shared" si="2"/>
        <v>21</v>
      </c>
    </row>
    <row r="53" spans="1:11" ht="25.5" customHeight="1" x14ac:dyDescent="0.25">
      <c r="A53" s="231">
        <f t="shared" si="3"/>
        <v>36</v>
      </c>
      <c r="B53" s="205"/>
      <c r="C53" s="191" t="s">
        <v>193</v>
      </c>
      <c r="D53" s="201" t="s">
        <v>194</v>
      </c>
      <c r="E53" s="202" t="s">
        <v>168</v>
      </c>
      <c r="F53" s="202">
        <v>0.63734999999999997</v>
      </c>
      <c r="G53" s="32">
        <v>28.22</v>
      </c>
      <c r="H53" s="32">
        <f t="shared" si="2"/>
        <v>17.989999999999998</v>
      </c>
    </row>
    <row r="54" spans="1:11" x14ac:dyDescent="0.25">
      <c r="A54" s="231">
        <f t="shared" si="3"/>
        <v>37</v>
      </c>
      <c r="B54" s="205"/>
      <c r="C54" s="191" t="s">
        <v>195</v>
      </c>
      <c r="D54" s="201" t="s">
        <v>196</v>
      </c>
      <c r="E54" s="202" t="s">
        <v>160</v>
      </c>
      <c r="F54" s="202">
        <v>0.14280000000000001</v>
      </c>
      <c r="G54" s="32">
        <v>86</v>
      </c>
      <c r="H54" s="32">
        <f t="shared" si="2"/>
        <v>12.28</v>
      </c>
    </row>
    <row r="55" spans="1:11" ht="25.5" customHeight="1" x14ac:dyDescent="0.25">
      <c r="A55" s="231">
        <f t="shared" si="3"/>
        <v>38</v>
      </c>
      <c r="B55" s="205"/>
      <c r="C55" s="191" t="s">
        <v>197</v>
      </c>
      <c r="D55" s="201" t="s">
        <v>198</v>
      </c>
      <c r="E55" s="202" t="s">
        <v>150</v>
      </c>
      <c r="F55" s="202">
        <v>2.0000000000000001E-4</v>
      </c>
      <c r="G55" s="32">
        <v>5763</v>
      </c>
      <c r="H55" s="32">
        <f t="shared" si="2"/>
        <v>1.1499999999999999</v>
      </c>
    </row>
    <row r="56" spans="1:11" x14ac:dyDescent="0.25">
      <c r="A56" s="231">
        <f t="shared" si="3"/>
        <v>39</v>
      </c>
      <c r="B56" s="205"/>
      <c r="C56" s="191" t="s">
        <v>199</v>
      </c>
      <c r="D56" s="201" t="s">
        <v>200</v>
      </c>
      <c r="E56" s="202" t="s">
        <v>160</v>
      </c>
      <c r="F56" s="202">
        <v>0.14280000000000001</v>
      </c>
      <c r="G56" s="32">
        <v>2</v>
      </c>
      <c r="H56" s="32">
        <f t="shared" si="2"/>
        <v>0.28999999999999998</v>
      </c>
    </row>
    <row r="57" spans="1:11" x14ac:dyDescent="0.25">
      <c r="K57" s="172"/>
    </row>
    <row r="58" spans="1:11" ht="25.5" customHeight="1" x14ac:dyDescent="0.25">
      <c r="B58" s="145" t="s">
        <v>201</v>
      </c>
      <c r="C58" s="261" t="s">
        <v>202</v>
      </c>
      <c r="D58" s="261"/>
      <c r="E58" s="261"/>
      <c r="F58" s="261"/>
      <c r="G58" s="261"/>
      <c r="H58" s="261"/>
    </row>
    <row r="62" spans="1:11" s="224" customFormat="1" x14ac:dyDescent="0.25">
      <c r="B62" s="208" t="s">
        <v>469</v>
      </c>
      <c r="C62" s="213"/>
    </row>
    <row r="63" spans="1:11" s="224" customFormat="1" x14ac:dyDescent="0.25">
      <c r="B63" s="33" t="s">
        <v>77</v>
      </c>
      <c r="C63" s="213"/>
    </row>
    <row r="64" spans="1:11" s="224" customFormat="1" x14ac:dyDescent="0.25">
      <c r="B64" s="208"/>
      <c r="C64" s="213"/>
    </row>
    <row r="65" spans="2:3" s="224" customFormat="1" x14ac:dyDescent="0.25">
      <c r="B65" s="208" t="s">
        <v>470</v>
      </c>
      <c r="C65" s="213"/>
    </row>
    <row r="66" spans="2:3" s="224" customFormat="1" x14ac:dyDescent="0.25">
      <c r="B66" s="33" t="s">
        <v>78</v>
      </c>
      <c r="C66" s="213"/>
    </row>
  </sheetData>
  <mergeCells count="17">
    <mergeCell ref="A2:H2"/>
    <mergeCell ref="A3:H3"/>
    <mergeCell ref="E9:E10"/>
    <mergeCell ref="F9:F10"/>
    <mergeCell ref="A9:A10"/>
    <mergeCell ref="B9:B10"/>
    <mergeCell ref="C9:C10"/>
    <mergeCell ref="D9:D10"/>
    <mergeCell ref="A7:H7"/>
    <mergeCell ref="A12:E12"/>
    <mergeCell ref="C6:H6"/>
    <mergeCell ref="C58:H58"/>
    <mergeCell ref="G9:H9"/>
    <mergeCell ref="A17:E17"/>
    <mergeCell ref="A19:E19"/>
    <mergeCell ref="A28:E28"/>
    <mergeCell ref="A31:E31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1" workbookViewId="0">
      <selection activeCell="D25" sqref="D2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203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2" t="s">
        <v>204</v>
      </c>
      <c r="C5" s="242"/>
      <c r="D5" s="242"/>
      <c r="E5" s="242"/>
    </row>
    <row r="6" spans="2:5" x14ac:dyDescent="0.25">
      <c r="B6" s="175"/>
      <c r="C6" s="175"/>
      <c r="D6" s="175"/>
      <c r="E6" s="175"/>
    </row>
    <row r="7" spans="2:5" ht="34.5" customHeight="1" x14ac:dyDescent="0.25">
      <c r="B7" s="265" t="s">
        <v>48</v>
      </c>
      <c r="C7" s="265"/>
      <c r="D7" s="265"/>
      <c r="E7" s="265"/>
    </row>
    <row r="8" spans="2:5" x14ac:dyDescent="0.25">
      <c r="B8" s="264" t="str">
        <f>'Прил.1 Сравнит табл'!B8</f>
        <v>Единица измерения  — 1 ед.</v>
      </c>
      <c r="C8" s="264"/>
      <c r="D8" s="264"/>
      <c r="E8" s="264"/>
    </row>
    <row r="9" spans="2:5" x14ac:dyDescent="0.25">
      <c r="B9" s="118"/>
      <c r="C9" s="4"/>
      <c r="D9" s="4"/>
      <c r="E9" s="4"/>
    </row>
    <row r="10" spans="2:5" ht="51" customHeight="1" x14ac:dyDescent="0.25">
      <c r="B10" s="2" t="s">
        <v>205</v>
      </c>
      <c r="C10" s="2" t="s">
        <v>206</v>
      </c>
      <c r="D10" s="2" t="s">
        <v>207</v>
      </c>
      <c r="E10" s="2" t="s">
        <v>208</v>
      </c>
    </row>
    <row r="11" spans="2:5" x14ac:dyDescent="0.25">
      <c r="B11" s="25" t="s">
        <v>209</v>
      </c>
      <c r="C11" s="180">
        <f>'Прил.5 Расчет СМР и ОБ'!J16</f>
        <v>543526.1</v>
      </c>
      <c r="D11" s="27">
        <f t="shared" ref="D11:D18" si="0">C11/$C$24</f>
        <v>0.26879402910478001</v>
      </c>
      <c r="E11" s="27">
        <f t="shared" ref="E11:E18" si="1">C11/$C$40</f>
        <v>3.5677818395733002E-2</v>
      </c>
    </row>
    <row r="12" spans="2:5" x14ac:dyDescent="0.25">
      <c r="B12" s="25" t="s">
        <v>210</v>
      </c>
      <c r="C12" s="180">
        <f>'Прил.5 Расчет СМР и ОБ'!J24</f>
        <v>156938.79</v>
      </c>
      <c r="D12" s="27">
        <f t="shared" si="0"/>
        <v>7.7612114095216997E-2</v>
      </c>
      <c r="E12" s="27">
        <f t="shared" si="1"/>
        <v>1.0301683118559E-2</v>
      </c>
    </row>
    <row r="13" spans="2:5" x14ac:dyDescent="0.25">
      <c r="B13" s="25" t="s">
        <v>211</v>
      </c>
      <c r="C13" s="180">
        <f>'Прил.5 Расчет СМР и ОБ'!J30</f>
        <v>9956.3700000000008</v>
      </c>
      <c r="D13" s="27">
        <f t="shared" si="0"/>
        <v>4.9237981534979002E-3</v>
      </c>
      <c r="E13" s="27">
        <f t="shared" si="1"/>
        <v>6.5355014366507997E-4</v>
      </c>
    </row>
    <row r="14" spans="2:5" x14ac:dyDescent="0.25">
      <c r="B14" s="25" t="s">
        <v>212</v>
      </c>
      <c r="C14" s="180">
        <f>C13+C12</f>
        <v>166895.16</v>
      </c>
      <c r="D14" s="27">
        <f t="shared" si="0"/>
        <v>8.2535912248714996E-2</v>
      </c>
      <c r="E14" s="27">
        <f t="shared" si="1"/>
        <v>1.0955233262223999E-2</v>
      </c>
    </row>
    <row r="15" spans="2:5" x14ac:dyDescent="0.25">
      <c r="B15" s="25" t="s">
        <v>213</v>
      </c>
      <c r="C15" s="180">
        <f>'Прил.5 Расчет СМР и ОБ'!J18</f>
        <v>101286.83</v>
      </c>
      <c r="D15" s="27">
        <f t="shared" si="0"/>
        <v>5.0090133907002003E-2</v>
      </c>
      <c r="E15" s="27">
        <f t="shared" si="1"/>
        <v>6.6486101157229999E-3</v>
      </c>
    </row>
    <row r="16" spans="2:5" x14ac:dyDescent="0.25">
      <c r="B16" s="25" t="s">
        <v>214</v>
      </c>
      <c r="C16" s="180">
        <f>'Прил.5 Расчет СМР и ОБ'!J46</f>
        <v>271116.32</v>
      </c>
      <c r="D16" s="27">
        <f t="shared" si="0"/>
        <v>0.13407718232641</v>
      </c>
      <c r="E16" s="27">
        <f t="shared" si="1"/>
        <v>1.7796456930181E-2</v>
      </c>
    </row>
    <row r="17" spans="2:7" x14ac:dyDescent="0.25">
      <c r="B17" s="25" t="s">
        <v>215</v>
      </c>
      <c r="C17" s="180">
        <f>'Прил.5 Расчет СМР и ОБ'!J68</f>
        <v>47541.93</v>
      </c>
      <c r="D17" s="27">
        <f t="shared" si="0"/>
        <v>2.3511266369945001E-2</v>
      </c>
      <c r="E17" s="27">
        <f t="shared" si="1"/>
        <v>3.1207192161013999E-3</v>
      </c>
      <c r="G17" s="119"/>
    </row>
    <row r="18" spans="2:7" x14ac:dyDescent="0.25">
      <c r="B18" s="25" t="s">
        <v>216</v>
      </c>
      <c r="C18" s="180">
        <f>C17+C16</f>
        <v>318658.25</v>
      </c>
      <c r="D18" s="27">
        <f t="shared" si="0"/>
        <v>0.15758844869635</v>
      </c>
      <c r="E18" s="27">
        <f t="shared" si="1"/>
        <v>2.0917176146282999E-2</v>
      </c>
    </row>
    <row r="19" spans="2:7" x14ac:dyDescent="0.25">
      <c r="B19" s="25" t="s">
        <v>217</v>
      </c>
      <c r="C19" s="180">
        <f>C18+C14+C11</f>
        <v>1029079.51</v>
      </c>
      <c r="D19" s="27"/>
      <c r="E19" s="25"/>
    </row>
    <row r="20" spans="2:7" x14ac:dyDescent="0.25">
      <c r="B20" s="25" t="s">
        <v>218</v>
      </c>
      <c r="C20" s="180">
        <f>ROUND(C21*(C11+C15),2)</f>
        <v>386887.76</v>
      </c>
      <c r="D20" s="27">
        <f>C20/$C$24</f>
        <v>0.19133049879614</v>
      </c>
      <c r="E20" s="27">
        <f>C20/$C$40</f>
        <v>2.5395857238155999E-2</v>
      </c>
    </row>
    <row r="21" spans="2:7" x14ac:dyDescent="0.25">
      <c r="B21" s="25" t="s">
        <v>219</v>
      </c>
      <c r="C21" s="29">
        <f>'Прил.5 Расчет СМР и ОБ'!E72</f>
        <v>0.6</v>
      </c>
      <c r="D21" s="27"/>
      <c r="E21" s="25"/>
    </row>
    <row r="22" spans="2:7" x14ac:dyDescent="0.25">
      <c r="B22" s="25" t="s">
        <v>220</v>
      </c>
      <c r="C22" s="180">
        <f>ROUND(C23*(C11+C15),2)</f>
        <v>606124.15</v>
      </c>
      <c r="D22" s="27">
        <f>C22/$C$24</f>
        <v>0.29975111115400999</v>
      </c>
      <c r="E22" s="27">
        <f>C22/$C$40</f>
        <v>3.9786842525075E-2</v>
      </c>
    </row>
    <row r="23" spans="2:7" x14ac:dyDescent="0.25">
      <c r="B23" s="25" t="s">
        <v>221</v>
      </c>
      <c r="C23" s="29">
        <f>'Прил.5 Расчет СМР и ОБ'!E71</f>
        <v>0.94</v>
      </c>
      <c r="D23" s="27"/>
      <c r="E23" s="25"/>
    </row>
    <row r="24" spans="2:7" x14ac:dyDescent="0.25">
      <c r="B24" s="25" t="s">
        <v>222</v>
      </c>
      <c r="C24" s="180">
        <f>C19+C20+C22</f>
        <v>2022091.42</v>
      </c>
      <c r="D24" s="27">
        <f>C24/$C$24</f>
        <v>1</v>
      </c>
      <c r="E24" s="27">
        <f>C24/$C$40</f>
        <v>0.13273292756746999</v>
      </c>
    </row>
    <row r="25" spans="2:7" ht="25.5" customHeight="1" x14ac:dyDescent="0.25">
      <c r="B25" s="25" t="s">
        <v>223</v>
      </c>
      <c r="C25" s="180">
        <f>'Прил.5 Расчет СМР и ОБ'!J39</f>
        <v>12233399.92</v>
      </c>
      <c r="D25" s="27"/>
      <c r="E25" s="27">
        <f>C25/$C$40</f>
        <v>0.80301759328233002</v>
      </c>
    </row>
    <row r="26" spans="2:7" ht="25.5" customHeight="1" x14ac:dyDescent="0.25">
      <c r="B26" s="25" t="s">
        <v>224</v>
      </c>
      <c r="C26" s="180">
        <f>C25</f>
        <v>12233399.92</v>
      </c>
      <c r="D26" s="27"/>
      <c r="E26" s="27">
        <f>C26/$C$40</f>
        <v>0.80301759328233002</v>
      </c>
    </row>
    <row r="27" spans="2:7" x14ac:dyDescent="0.25">
      <c r="B27" s="25" t="s">
        <v>225</v>
      </c>
      <c r="C27" s="26">
        <f>C24+C25</f>
        <v>14255491.34</v>
      </c>
      <c r="D27" s="27"/>
      <c r="E27" s="27">
        <f>C27/$C$40</f>
        <v>0.93575052084980004</v>
      </c>
    </row>
    <row r="28" spans="2:7" ht="33" customHeight="1" x14ac:dyDescent="0.25">
      <c r="B28" s="25" t="s">
        <v>226</v>
      </c>
      <c r="C28" s="25"/>
      <c r="D28" s="25"/>
      <c r="E28" s="25"/>
    </row>
    <row r="29" spans="2:7" ht="25.5" customHeight="1" x14ac:dyDescent="0.25">
      <c r="B29" s="25" t="s">
        <v>227</v>
      </c>
      <c r="C29" s="26">
        <f>ROUND(C24*3.9%,2)</f>
        <v>78861.570000000007</v>
      </c>
      <c r="D29" s="25"/>
      <c r="E29" s="27">
        <f t="shared" ref="E29:E38" si="2">C29/$C$40</f>
        <v>5.1765844783945997E-3</v>
      </c>
    </row>
    <row r="30" spans="2:7" ht="38.25" customHeight="1" x14ac:dyDescent="0.25">
      <c r="B30" s="25" t="s">
        <v>228</v>
      </c>
      <c r="C30" s="26">
        <f>ROUND((C24+C29)*2.1%,2)</f>
        <v>44120.01</v>
      </c>
      <c r="D30" s="25"/>
      <c r="E30" s="27">
        <f t="shared" si="2"/>
        <v>2.8960995698235998E-3</v>
      </c>
    </row>
    <row r="31" spans="2:7" x14ac:dyDescent="0.25">
      <c r="B31" s="25" t="s">
        <v>229</v>
      </c>
      <c r="C31" s="26">
        <v>73910.52</v>
      </c>
      <c r="D31" s="25"/>
      <c r="E31" s="27">
        <f t="shared" si="2"/>
        <v>4.8515905861634999E-3</v>
      </c>
    </row>
    <row r="32" spans="2:7" ht="25.5" customHeight="1" x14ac:dyDescent="0.25">
      <c r="B32" s="25" t="s">
        <v>230</v>
      </c>
      <c r="C32" s="26">
        <f>ROUND(C25*0%,2)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231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232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233</v>
      </c>
      <c r="C35" s="26">
        <f>ROUND(C28*0%,2)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234</v>
      </c>
      <c r="C36" s="26">
        <f>ROUND((C27+C32+C33+C34+C35+C29+C31+C30)*2.14%,2)</f>
        <v>309281.01</v>
      </c>
      <c r="D36" s="25"/>
      <c r="E36" s="27">
        <f t="shared" si="2"/>
        <v>2.0301640911133002E-2</v>
      </c>
      <c r="G36" s="149"/>
      <c r="L36" s="120"/>
    </row>
    <row r="37" spans="2:12" x14ac:dyDescent="0.25">
      <c r="B37" s="25" t="s">
        <v>235</v>
      </c>
      <c r="C37" s="26">
        <f>ROUND((C27+C32+C33+C34+C35+C29+C31+C30)*0.2%,2)</f>
        <v>28904.77</v>
      </c>
      <c r="D37" s="25"/>
      <c r="E37" s="27">
        <f t="shared" si="2"/>
        <v>1.8973497957696E-3</v>
      </c>
      <c r="G37" s="149"/>
      <c r="L37" s="120"/>
    </row>
    <row r="38" spans="2:12" ht="38.25" customHeight="1" x14ac:dyDescent="0.25">
      <c r="B38" s="25" t="s">
        <v>236</v>
      </c>
      <c r="C38" s="180">
        <f>C27+C32+C33+C34+C35+C29+C31+C30+C36+C37</f>
        <v>14790569.220000001</v>
      </c>
      <c r="D38" s="25"/>
      <c r="E38" s="27">
        <f t="shared" si="2"/>
        <v>0.97087378619108999</v>
      </c>
    </row>
    <row r="39" spans="2:12" ht="13.5" customHeight="1" x14ac:dyDescent="0.25">
      <c r="B39" s="25" t="s">
        <v>237</v>
      </c>
      <c r="C39" s="180">
        <f>ROUND(C38*3%,2)</f>
        <v>443717.08</v>
      </c>
      <c r="D39" s="25"/>
      <c r="E39" s="27">
        <f>C39/$C$38</f>
        <v>3.0000000229875999E-2</v>
      </c>
    </row>
    <row r="40" spans="2:12" x14ac:dyDescent="0.25">
      <c r="B40" s="25" t="s">
        <v>238</v>
      </c>
      <c r="C40" s="180">
        <f>C39+C38</f>
        <v>15234286.300000001</v>
      </c>
      <c r="D40" s="25"/>
      <c r="E40" s="27">
        <f>C40/$C$40</f>
        <v>1</v>
      </c>
    </row>
    <row r="41" spans="2:12" x14ac:dyDescent="0.25">
      <c r="B41" s="25" t="s">
        <v>239</v>
      </c>
      <c r="C41" s="180">
        <f>C40/'Прил.5 Расчет СМР и ОБ'!E75</f>
        <v>7617143.1500000004</v>
      </c>
      <c r="D41" s="25"/>
      <c r="E41" s="25"/>
    </row>
    <row r="42" spans="2:12" x14ac:dyDescent="0.25">
      <c r="B42" s="121"/>
      <c r="C42" s="4"/>
      <c r="D42" s="4"/>
      <c r="E42" s="4"/>
    </row>
    <row r="43" spans="2:12" s="224" customFormat="1" x14ac:dyDescent="0.25">
      <c r="B43" s="208" t="s">
        <v>469</v>
      </c>
      <c r="C43" s="213"/>
    </row>
    <row r="44" spans="2:12" s="224" customFormat="1" x14ac:dyDescent="0.25">
      <c r="B44" s="33" t="s">
        <v>77</v>
      </c>
      <c r="C44" s="213"/>
    </row>
    <row r="45" spans="2:12" s="224" customFormat="1" x14ac:dyDescent="0.25">
      <c r="B45" s="208"/>
      <c r="C45" s="213"/>
    </row>
    <row r="46" spans="2:12" s="224" customFormat="1" x14ac:dyDescent="0.25">
      <c r="B46" s="208" t="s">
        <v>470</v>
      </c>
      <c r="C46" s="213"/>
    </row>
    <row r="47" spans="2:12" s="224" customFormat="1" x14ac:dyDescent="0.25">
      <c r="B47" s="33" t="s">
        <v>78</v>
      </c>
      <c r="C47" s="213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8:E8"/>
    <mergeCell ref="B7:E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4"/>
  <sheetViews>
    <sheetView view="pageBreakPreview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1" ht="15.75" customHeight="1" x14ac:dyDescent="0.25">
      <c r="I2" s="181"/>
      <c r="J2" s="182" t="s">
        <v>240</v>
      </c>
    </row>
    <row r="4" spans="1:11" s="4" customFormat="1" ht="12.75" customHeight="1" x14ac:dyDescent="0.2">
      <c r="A4" s="242" t="s">
        <v>241</v>
      </c>
      <c r="B4" s="242"/>
      <c r="C4" s="242"/>
      <c r="D4" s="242"/>
      <c r="E4" s="242"/>
      <c r="F4" s="242"/>
      <c r="G4" s="242"/>
      <c r="H4" s="242"/>
      <c r="I4" s="175"/>
      <c r="J4" s="175"/>
    </row>
    <row r="5" spans="1:11" s="4" customFormat="1" ht="12.75" customHeight="1" x14ac:dyDescent="0.2">
      <c r="A5" s="175"/>
      <c r="B5" s="175"/>
      <c r="C5" s="175"/>
      <c r="D5" s="175"/>
      <c r="E5" s="175"/>
      <c r="F5" s="175"/>
      <c r="G5" s="175"/>
      <c r="H5" s="175"/>
      <c r="I5" s="175"/>
      <c r="J5" s="175"/>
    </row>
    <row r="6" spans="1:11" s="4" customFormat="1" ht="12.75" customHeight="1" x14ac:dyDescent="0.2">
      <c r="A6" s="245" t="s">
        <v>242</v>
      </c>
      <c r="B6" s="245"/>
      <c r="C6" s="245"/>
      <c r="D6" s="245" t="s">
        <v>243</v>
      </c>
      <c r="E6" s="245"/>
      <c r="F6" s="245"/>
      <c r="G6" s="245"/>
      <c r="H6" s="245"/>
      <c r="I6" s="245"/>
      <c r="J6" s="245"/>
    </row>
    <row r="7" spans="1:11" s="4" customFormat="1" ht="12.75" customHeight="1" x14ac:dyDescent="0.2">
      <c r="A7" s="245" t="s">
        <v>50</v>
      </c>
      <c r="B7" s="265"/>
      <c r="C7" s="265"/>
      <c r="D7" s="265"/>
      <c r="E7" s="265"/>
      <c r="F7" s="265"/>
      <c r="G7" s="265"/>
      <c r="H7" s="265"/>
      <c r="I7" s="49"/>
      <c r="J7" s="49"/>
    </row>
    <row r="8" spans="1:11" s="4" customFormat="1" ht="12.75" customHeight="1" x14ac:dyDescent="0.2"/>
    <row r="9" spans="1:11" ht="27" customHeight="1" x14ac:dyDescent="0.25">
      <c r="A9" s="267" t="s">
        <v>13</v>
      </c>
      <c r="B9" s="267" t="s">
        <v>98</v>
      </c>
      <c r="C9" s="267" t="s">
        <v>205</v>
      </c>
      <c r="D9" s="267" t="s">
        <v>100</v>
      </c>
      <c r="E9" s="276" t="s">
        <v>244</v>
      </c>
      <c r="F9" s="278" t="s">
        <v>102</v>
      </c>
      <c r="G9" s="279"/>
      <c r="H9" s="276" t="s">
        <v>245</v>
      </c>
      <c r="I9" s="278" t="s">
        <v>246</v>
      </c>
      <c r="J9" s="279"/>
    </row>
    <row r="10" spans="1:11" ht="28.5" customHeight="1" x14ac:dyDescent="0.25">
      <c r="A10" s="267"/>
      <c r="B10" s="267"/>
      <c r="C10" s="267"/>
      <c r="D10" s="267"/>
      <c r="E10" s="277"/>
      <c r="F10" s="2" t="s">
        <v>247</v>
      </c>
      <c r="G10" s="2" t="s">
        <v>104</v>
      </c>
      <c r="H10" s="277"/>
      <c r="I10" s="2" t="s">
        <v>247</v>
      </c>
      <c r="J10" s="2" t="s">
        <v>104</v>
      </c>
    </row>
    <row r="11" spans="1:11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1" x14ac:dyDescent="0.25">
      <c r="A12" s="2"/>
      <c r="B12" s="262" t="s">
        <v>248</v>
      </c>
      <c r="C12" s="266"/>
      <c r="D12" s="267"/>
      <c r="E12" s="268"/>
      <c r="F12" s="269"/>
      <c r="G12" s="269"/>
      <c r="H12" s="271"/>
      <c r="I12" s="186"/>
      <c r="J12" s="186"/>
    </row>
    <row r="13" spans="1:11" ht="25.5" customHeight="1" x14ac:dyDescent="0.25">
      <c r="A13" s="2">
        <v>1</v>
      </c>
      <c r="B13" s="187" t="s">
        <v>112</v>
      </c>
      <c r="C13" s="188" t="s">
        <v>113</v>
      </c>
      <c r="D13" s="2" t="s">
        <v>109</v>
      </c>
      <c r="E13" s="147">
        <f>G13/F13</f>
        <v>166.64033264033</v>
      </c>
      <c r="F13" s="32">
        <v>9.6199999999999992</v>
      </c>
      <c r="G13" s="32">
        <v>1603.08</v>
      </c>
      <c r="H13" s="185">
        <f>G13/G15</f>
        <v>0.33032763239232998</v>
      </c>
      <c r="I13" s="32">
        <f>ФОТр.тек.!E13</f>
        <v>444.39870291576</v>
      </c>
      <c r="J13" s="32">
        <f>ROUND(I13*E13,2)</f>
        <v>74054.75</v>
      </c>
    </row>
    <row r="14" spans="1:11" x14ac:dyDescent="0.25">
      <c r="A14" s="2">
        <v>2</v>
      </c>
      <c r="B14" s="141" t="s">
        <v>107</v>
      </c>
      <c r="C14" s="142" t="s">
        <v>108</v>
      </c>
      <c r="D14" s="2" t="s">
        <v>109</v>
      </c>
      <c r="E14" s="147">
        <f>G14/F14</f>
        <v>344.42866365396998</v>
      </c>
      <c r="F14" s="189">
        <v>15.49</v>
      </c>
      <c r="G14" s="32">
        <f>Прил.3!H13</f>
        <v>5335.2</v>
      </c>
      <c r="H14" s="185">
        <f>G14/G15</f>
        <v>1.0993612198639999</v>
      </c>
      <c r="I14" s="32">
        <f>ФОТр.тек.!E21</f>
        <v>713.02776960364997</v>
      </c>
      <c r="J14" s="32">
        <f>ROUND(I14*E14,2)</f>
        <v>245587.20000000001</v>
      </c>
    </row>
    <row r="15" spans="1:11" x14ac:dyDescent="0.25">
      <c r="A15" s="2">
        <v>3</v>
      </c>
      <c r="B15" s="141" t="s">
        <v>110</v>
      </c>
      <c r="C15" s="142" t="s">
        <v>111</v>
      </c>
      <c r="D15" s="2" t="s">
        <v>109</v>
      </c>
      <c r="E15" s="147">
        <f>G15/F15</f>
        <v>344.42867281759999</v>
      </c>
      <c r="F15" s="189">
        <v>14.09</v>
      </c>
      <c r="G15" s="32">
        <f>Прил.3!H14</f>
        <v>4853</v>
      </c>
      <c r="H15" s="185">
        <f>G15/G16</f>
        <v>0.41157533363637999</v>
      </c>
      <c r="I15" s="32">
        <f>ФОТр.тек.!E29</f>
        <v>650.01601322007002</v>
      </c>
      <c r="J15" s="32">
        <f>ROUND(I15*E15,2)</f>
        <v>223884.15</v>
      </c>
    </row>
    <row r="16" spans="1:11" s="12" customFormat="1" ht="25.5" customHeight="1" x14ac:dyDescent="0.2">
      <c r="A16" s="2"/>
      <c r="B16" s="2"/>
      <c r="C16" s="104" t="s">
        <v>249</v>
      </c>
      <c r="D16" s="2" t="s">
        <v>109</v>
      </c>
      <c r="E16" s="147">
        <f>SUM(E13:E15)</f>
        <v>855.4976691119</v>
      </c>
      <c r="F16" s="32"/>
      <c r="G16" s="32">
        <f>SUM(G13:G15)</f>
        <v>11791.28</v>
      </c>
      <c r="H16" s="185">
        <v>1</v>
      </c>
      <c r="I16" s="32"/>
      <c r="J16" s="32">
        <f>SUM(J13:J15)</f>
        <v>543526.1</v>
      </c>
      <c r="K16" s="146"/>
    </row>
    <row r="17" spans="1:12" s="12" customFormat="1" ht="14.25" customHeight="1" x14ac:dyDescent="0.2">
      <c r="A17" s="2"/>
      <c r="B17" s="266" t="s">
        <v>116</v>
      </c>
      <c r="C17" s="266"/>
      <c r="D17" s="267"/>
      <c r="E17" s="268"/>
      <c r="F17" s="269"/>
      <c r="G17" s="269"/>
      <c r="H17" s="271"/>
      <c r="I17" s="186"/>
      <c r="J17" s="186"/>
    </row>
    <row r="18" spans="1:12" s="12" customFormat="1" ht="14.25" customHeight="1" x14ac:dyDescent="0.2">
      <c r="A18" s="2">
        <v>4</v>
      </c>
      <c r="B18" s="2">
        <v>2</v>
      </c>
      <c r="C18" s="8" t="s">
        <v>116</v>
      </c>
      <c r="D18" s="2" t="s">
        <v>109</v>
      </c>
      <c r="E18" s="233">
        <v>182.22300000000001</v>
      </c>
      <c r="F18" s="32">
        <v>12.550007408505</v>
      </c>
      <c r="G18" s="32">
        <f>E18*F18</f>
        <v>2286.9</v>
      </c>
      <c r="H18" s="185">
        <v>1</v>
      </c>
      <c r="I18" s="32">
        <f>ROUND(F18*Прил.10!D10,2)</f>
        <v>555.84</v>
      </c>
      <c r="J18" s="32">
        <f>ROUND(I18*E18,2)</f>
        <v>101286.83</v>
      </c>
      <c r="L18" s="190"/>
    </row>
    <row r="19" spans="1:12" s="12" customFormat="1" ht="14.25" customHeight="1" x14ac:dyDescent="0.2">
      <c r="A19" s="2"/>
      <c r="B19" s="262" t="s">
        <v>118</v>
      </c>
      <c r="C19" s="266"/>
      <c r="D19" s="267"/>
      <c r="E19" s="268"/>
      <c r="F19" s="269"/>
      <c r="G19" s="269"/>
      <c r="H19" s="270"/>
      <c r="I19" s="185"/>
      <c r="J19" s="185"/>
    </row>
    <row r="20" spans="1:12" s="12" customFormat="1" ht="14.25" customHeight="1" x14ac:dyDescent="0.2">
      <c r="A20" s="2"/>
      <c r="B20" s="266" t="s">
        <v>250</v>
      </c>
      <c r="C20" s="266"/>
      <c r="D20" s="267"/>
      <c r="E20" s="268"/>
      <c r="F20" s="269"/>
      <c r="G20" s="269"/>
      <c r="H20" s="271"/>
      <c r="I20" s="186"/>
      <c r="J20" s="186"/>
    </row>
    <row r="21" spans="1:12" s="12" customFormat="1" ht="25.5" customHeight="1" x14ac:dyDescent="0.2">
      <c r="A21" s="2">
        <v>5</v>
      </c>
      <c r="B21" s="191" t="s">
        <v>119</v>
      </c>
      <c r="C21" s="8" t="s">
        <v>120</v>
      </c>
      <c r="D21" s="2" t="s">
        <v>121</v>
      </c>
      <c r="E21" s="202">
        <v>61.95</v>
      </c>
      <c r="F21" s="203">
        <v>111.99</v>
      </c>
      <c r="G21" s="32">
        <f>ROUND(E21*F21,2)</f>
        <v>6937.78</v>
      </c>
      <c r="H21" s="185">
        <f>G21/$G$31</f>
        <v>0.55994318067173998</v>
      </c>
      <c r="I21" s="32">
        <f>ROUND(F21*Прил.10!$D$11,2)</f>
        <v>1508.51</v>
      </c>
      <c r="J21" s="32">
        <f>ROUND(I21*E21,2)</f>
        <v>93452.19</v>
      </c>
    </row>
    <row r="22" spans="1:12" s="12" customFormat="1" ht="25.5" customHeight="1" x14ac:dyDescent="0.2">
      <c r="A22" s="2">
        <v>6</v>
      </c>
      <c r="B22" s="191" t="s">
        <v>122</v>
      </c>
      <c r="C22" s="8" t="s">
        <v>123</v>
      </c>
      <c r="D22" s="2" t="s">
        <v>121</v>
      </c>
      <c r="E22" s="202">
        <v>37.875</v>
      </c>
      <c r="F22" s="203">
        <v>65.709999999999994</v>
      </c>
      <c r="G22" s="32">
        <f>ROUND(E22*F22,2)</f>
        <v>2488.77</v>
      </c>
      <c r="H22" s="185">
        <f>G22/$G$31</f>
        <v>0.20086681759301001</v>
      </c>
      <c r="I22" s="32">
        <f>ROUND(F22*Прил.10!$D$11,2)</f>
        <v>885.11</v>
      </c>
      <c r="J22" s="32">
        <f>ROUND(I22*E22,2)</f>
        <v>33523.54</v>
      </c>
    </row>
    <row r="23" spans="1:12" s="12" customFormat="1" ht="25.5" customHeight="1" x14ac:dyDescent="0.2">
      <c r="A23" s="2">
        <v>7</v>
      </c>
      <c r="B23" s="191" t="s">
        <v>124</v>
      </c>
      <c r="C23" s="8" t="s">
        <v>125</v>
      </c>
      <c r="D23" s="2" t="s">
        <v>121</v>
      </c>
      <c r="E23" s="202">
        <v>75.150000000000006</v>
      </c>
      <c r="F23" s="203">
        <v>29.6</v>
      </c>
      <c r="G23" s="32">
        <f>ROUND(E23*F23,2)</f>
        <v>2224.44</v>
      </c>
      <c r="H23" s="185">
        <f>G23/$G$31</f>
        <v>0.17953293543661999</v>
      </c>
      <c r="I23" s="32">
        <f>ROUND(F23*Прил.10!$D$11,2)</f>
        <v>398.71</v>
      </c>
      <c r="J23" s="32">
        <f>ROUND(I23*E23,2)</f>
        <v>29963.06</v>
      </c>
    </row>
    <row r="24" spans="1:12" s="12" customFormat="1" ht="14.25" customHeight="1" x14ac:dyDescent="0.2">
      <c r="A24" s="2"/>
      <c r="B24" s="2"/>
      <c r="C24" s="8" t="s">
        <v>251</v>
      </c>
      <c r="D24" s="2"/>
      <c r="E24" s="202"/>
      <c r="F24" s="203"/>
      <c r="G24" s="32">
        <f>SUM(G21:G23)</f>
        <v>11650.99</v>
      </c>
      <c r="H24" s="185">
        <f>G24/G31</f>
        <v>0.94034293370137001</v>
      </c>
      <c r="I24" s="32"/>
      <c r="J24" s="32">
        <f>SUM(J21:J23)</f>
        <v>156938.79</v>
      </c>
      <c r="L24" s="146"/>
    </row>
    <row r="25" spans="1:12" s="12" customFormat="1" ht="38.25" customHeight="1" outlineLevel="1" x14ac:dyDescent="0.2">
      <c r="A25" s="2">
        <v>8</v>
      </c>
      <c r="B25" s="191" t="s">
        <v>126</v>
      </c>
      <c r="C25" s="8" t="s">
        <v>127</v>
      </c>
      <c r="D25" s="2" t="s">
        <v>121</v>
      </c>
      <c r="E25" s="202">
        <v>2.9249999999999998</v>
      </c>
      <c r="F25" s="203">
        <v>127.95</v>
      </c>
      <c r="G25" s="32">
        <f>ROUND(E25*F25,2)</f>
        <v>374.25</v>
      </c>
      <c r="H25" s="185">
        <f>G25/$G$31</f>
        <v>3.0205445454656001E-2</v>
      </c>
      <c r="I25" s="32">
        <f>ROUND(F25*Прил.10!$D$11,2)</f>
        <v>1723.49</v>
      </c>
      <c r="J25" s="32">
        <f>ROUND(I25*E25,2)</f>
        <v>5041.21</v>
      </c>
      <c r="L25" s="146"/>
    </row>
    <row r="26" spans="1:12" s="12" customFormat="1" ht="25.5" customHeight="1" outlineLevel="1" x14ac:dyDescent="0.2">
      <c r="A26" s="2">
        <v>9</v>
      </c>
      <c r="B26" s="191" t="s">
        <v>128</v>
      </c>
      <c r="C26" s="8" t="s">
        <v>129</v>
      </c>
      <c r="D26" s="2" t="s">
        <v>121</v>
      </c>
      <c r="E26" s="202">
        <v>20.962499999999999</v>
      </c>
      <c r="F26" s="203">
        <v>8.1</v>
      </c>
      <c r="G26" s="32">
        <f>ROUND(E26*F26,2)</f>
        <v>169.8</v>
      </c>
      <c r="H26" s="185">
        <f>G26/$G$31</f>
        <v>1.3704434571009999E-2</v>
      </c>
      <c r="I26" s="32">
        <f>ROUND(F26*Прил.10!$D$11,2)</f>
        <v>109.11</v>
      </c>
      <c r="J26" s="32">
        <f>ROUND(I26*E26,2)</f>
        <v>2287.2199999999998</v>
      </c>
      <c r="L26" s="146"/>
    </row>
    <row r="27" spans="1:12" s="12" customFormat="1" ht="25.5" customHeight="1" outlineLevel="1" x14ac:dyDescent="0.2">
      <c r="A27" s="2">
        <v>10</v>
      </c>
      <c r="B27" s="191" t="s">
        <v>130</v>
      </c>
      <c r="C27" s="8" t="s">
        <v>131</v>
      </c>
      <c r="D27" s="2" t="s">
        <v>121</v>
      </c>
      <c r="E27" s="202">
        <v>0.78749999999999998</v>
      </c>
      <c r="F27" s="203">
        <v>189.95</v>
      </c>
      <c r="G27" s="32">
        <f>ROUND(E27*F27,2)</f>
        <v>149.59</v>
      </c>
      <c r="H27" s="185">
        <f>G27/$G$31</f>
        <v>1.2073300161822001E-2</v>
      </c>
      <c r="I27" s="32">
        <f>ROUND(F27*Прил.10!$D$11,2)</f>
        <v>2558.63</v>
      </c>
      <c r="J27" s="32">
        <f>ROUND(I27*E27,2)</f>
        <v>2014.92</v>
      </c>
      <c r="L27" s="146"/>
    </row>
    <row r="28" spans="1:12" s="12" customFormat="1" ht="25.5" customHeight="1" outlineLevel="1" x14ac:dyDescent="0.2">
      <c r="A28" s="2">
        <v>11</v>
      </c>
      <c r="B28" s="191" t="s">
        <v>132</v>
      </c>
      <c r="C28" s="8" t="s">
        <v>133</v>
      </c>
      <c r="D28" s="2" t="s">
        <v>121</v>
      </c>
      <c r="E28" s="202">
        <v>33.075000000000003</v>
      </c>
      <c r="F28" s="203">
        <v>0.9</v>
      </c>
      <c r="G28" s="32">
        <f>ROUND(E28*F28,2)</f>
        <v>29.77</v>
      </c>
      <c r="H28" s="185">
        <f>G28/$G$31</f>
        <v>2.4027150599467998E-3</v>
      </c>
      <c r="I28" s="32">
        <f>ROUND(F28*Прил.10!$D$11,2)</f>
        <v>12.12</v>
      </c>
      <c r="J28" s="32">
        <f>ROUND(I28*E28,2)</f>
        <v>400.87</v>
      </c>
      <c r="L28" s="146"/>
    </row>
    <row r="29" spans="1:12" s="12" customFormat="1" ht="38.25" customHeight="1" outlineLevel="1" x14ac:dyDescent="0.2">
      <c r="A29" s="2">
        <v>12</v>
      </c>
      <c r="B29" s="191" t="s">
        <v>134</v>
      </c>
      <c r="C29" s="8" t="s">
        <v>135</v>
      </c>
      <c r="D29" s="2" t="s">
        <v>121</v>
      </c>
      <c r="E29" s="202">
        <v>1.125</v>
      </c>
      <c r="F29" s="203">
        <v>14</v>
      </c>
      <c r="G29" s="32">
        <f>ROUND(E29*F29,2)</f>
        <v>15.75</v>
      </c>
      <c r="H29" s="185">
        <f>G29/$G$31</f>
        <v>1.2711710511979001E-3</v>
      </c>
      <c r="I29" s="32">
        <f>ROUND(F29*Прил.10!$D$11,2)</f>
        <v>188.58</v>
      </c>
      <c r="J29" s="32">
        <f>ROUND(I29*E29,2)</f>
        <v>212.15</v>
      </c>
      <c r="L29" s="146"/>
    </row>
    <row r="30" spans="1:12" s="12" customFormat="1" ht="14.25" customHeight="1" x14ac:dyDescent="0.2">
      <c r="A30" s="2"/>
      <c r="B30" s="2"/>
      <c r="C30" s="8" t="s">
        <v>252</v>
      </c>
      <c r="D30" s="2"/>
      <c r="E30" s="184"/>
      <c r="F30" s="32"/>
      <c r="G30" s="32">
        <f>SUM(G25:G29)</f>
        <v>739.16</v>
      </c>
      <c r="H30" s="185">
        <f>G30/G31</f>
        <v>5.9657066298632003E-2</v>
      </c>
      <c r="I30" s="32"/>
      <c r="J30" s="32">
        <f>SUM(J25:J29)</f>
        <v>9956.3700000000008</v>
      </c>
      <c r="K30" s="146"/>
      <c r="L30" s="146"/>
    </row>
    <row r="31" spans="1:12" s="12" customFormat="1" ht="25.5" customHeight="1" x14ac:dyDescent="0.2">
      <c r="A31" s="2"/>
      <c r="B31" s="179"/>
      <c r="C31" s="192" t="s">
        <v>253</v>
      </c>
      <c r="D31" s="179"/>
      <c r="E31" s="193"/>
      <c r="F31" s="194"/>
      <c r="G31" s="194">
        <f>G24+G30</f>
        <v>12390.15</v>
      </c>
      <c r="H31" s="195">
        <v>1</v>
      </c>
      <c r="I31" s="194"/>
      <c r="J31" s="194">
        <f>J24+J30</f>
        <v>166895.16</v>
      </c>
    </row>
    <row r="32" spans="1:12" ht="29.25" customHeight="1" x14ac:dyDescent="0.25">
      <c r="A32" s="183"/>
      <c r="B32" s="262" t="s">
        <v>254</v>
      </c>
      <c r="C32" s="262"/>
      <c r="D32" s="262"/>
      <c r="E32" s="262"/>
      <c r="F32" s="262"/>
      <c r="G32" s="262"/>
      <c r="H32" s="262"/>
      <c r="I32" s="262"/>
      <c r="J32" s="262"/>
    </row>
    <row r="33" spans="1:11" ht="15" customHeight="1" x14ac:dyDescent="0.25">
      <c r="A33" s="2"/>
      <c r="B33" s="272" t="s">
        <v>255</v>
      </c>
      <c r="C33" s="265"/>
      <c r="D33" s="265"/>
      <c r="E33" s="265"/>
      <c r="F33" s="265"/>
      <c r="G33" s="265"/>
      <c r="H33" s="265"/>
      <c r="I33" s="265"/>
      <c r="J33" s="265"/>
    </row>
    <row r="34" spans="1:11" x14ac:dyDescent="0.25">
      <c r="A34" s="2">
        <v>13</v>
      </c>
      <c r="B34" s="191" t="s">
        <v>256</v>
      </c>
      <c r="C34" s="8" t="s">
        <v>257</v>
      </c>
      <c r="D34" s="2" t="s">
        <v>138</v>
      </c>
      <c r="E34" s="147">
        <v>6</v>
      </c>
      <c r="F34" s="32">
        <f>ROUND(I34/Прил.10!$D$13,2)</f>
        <v>318354.63</v>
      </c>
      <c r="G34" s="32">
        <f>ROUND(E34*F34,2)</f>
        <v>1910127.78</v>
      </c>
      <c r="H34" s="185">
        <f>G34/$G$38</f>
        <v>0.97743881330204996</v>
      </c>
      <c r="I34" s="32">
        <v>1992900</v>
      </c>
      <c r="J34" s="32">
        <f>ROUND(I34*E34,2)</f>
        <v>11957400</v>
      </c>
    </row>
    <row r="35" spans="1:11" ht="15.75" customHeight="1" x14ac:dyDescent="0.25">
      <c r="A35" s="2"/>
      <c r="B35" s="2"/>
      <c r="C35" s="8" t="s">
        <v>258</v>
      </c>
      <c r="D35" s="2"/>
      <c r="E35" s="147"/>
      <c r="F35" s="103"/>
      <c r="G35" s="32">
        <f>SUM(G34)</f>
        <v>1910127.78</v>
      </c>
      <c r="H35" s="185">
        <f>G35/$G$38</f>
        <v>0.97743881330204996</v>
      </c>
      <c r="I35" s="32"/>
      <c r="J35" s="32">
        <f>SUM(J34)</f>
        <v>11957400</v>
      </c>
      <c r="K35" s="146"/>
    </row>
    <row r="36" spans="1:11" ht="25.5" customHeight="1" x14ac:dyDescent="0.25">
      <c r="A36" s="2">
        <v>14</v>
      </c>
      <c r="B36" s="191" t="s">
        <v>259</v>
      </c>
      <c r="C36" s="8" t="s">
        <v>139</v>
      </c>
      <c r="D36" s="2" t="s">
        <v>140</v>
      </c>
      <c r="E36" s="147">
        <v>2</v>
      </c>
      <c r="F36" s="32">
        <f>ROUND(I36/Прил.10!$D$13,2)</f>
        <v>22044.73</v>
      </c>
      <c r="G36" s="32">
        <f>ROUND(E36*F36,2)</f>
        <v>44089.46</v>
      </c>
      <c r="H36" s="185">
        <f>G36/$G$38</f>
        <v>2.2561186697954001E-2</v>
      </c>
      <c r="I36" s="32">
        <v>138000</v>
      </c>
      <c r="J36" s="32">
        <f>ROUND(I36*E36,2)</f>
        <v>276000</v>
      </c>
      <c r="K36" s="146"/>
    </row>
    <row r="37" spans="1:11" ht="13.5" customHeight="1" x14ac:dyDescent="0.25">
      <c r="A37" s="2"/>
      <c r="B37" s="2"/>
      <c r="C37" s="8" t="s">
        <v>260</v>
      </c>
      <c r="D37" s="2"/>
      <c r="E37" s="184"/>
      <c r="F37" s="103"/>
      <c r="G37" s="32">
        <f>SUM(G36)</f>
        <v>44089.46</v>
      </c>
      <c r="H37" s="185">
        <f>G37/$G$38</f>
        <v>2.2561186697954001E-2</v>
      </c>
      <c r="I37" s="103"/>
      <c r="J37" s="32">
        <f>SUM(J36)</f>
        <v>276000</v>
      </c>
      <c r="K37" s="146"/>
    </row>
    <row r="38" spans="1:11" ht="23.25" customHeight="1" x14ac:dyDescent="0.25">
      <c r="A38" s="2"/>
      <c r="B38" s="2"/>
      <c r="C38" s="104" t="s">
        <v>261</v>
      </c>
      <c r="D38" s="2"/>
      <c r="E38" s="184"/>
      <c r="F38" s="103"/>
      <c r="G38" s="32">
        <f>G37+G35</f>
        <v>1954217.24</v>
      </c>
      <c r="H38" s="185">
        <f>(G35+G37)/G38</f>
        <v>1</v>
      </c>
      <c r="I38" s="32"/>
      <c r="J38" s="32">
        <f>J37+J35</f>
        <v>12233400</v>
      </c>
      <c r="K38" s="146"/>
    </row>
    <row r="39" spans="1:11" ht="25.5" customHeight="1" x14ac:dyDescent="0.25">
      <c r="A39" s="2"/>
      <c r="B39" s="2"/>
      <c r="C39" s="8" t="s">
        <v>262</v>
      </c>
      <c r="D39" s="2"/>
      <c r="E39" s="184"/>
      <c r="F39" s="103"/>
      <c r="G39" s="32">
        <f>G38</f>
        <v>1954217.24</v>
      </c>
      <c r="H39" s="185">
        <f>G39/$G$38</f>
        <v>1</v>
      </c>
      <c r="I39" s="32"/>
      <c r="J39" s="32">
        <f>ROUND(G39*Прил.10!$D$13,2)</f>
        <v>12233399.92</v>
      </c>
      <c r="K39" s="146"/>
    </row>
    <row r="40" spans="1:11" s="12" customFormat="1" ht="30" customHeight="1" x14ac:dyDescent="0.2">
      <c r="A40" s="2"/>
      <c r="B40" s="273" t="s">
        <v>263</v>
      </c>
      <c r="C40" s="274"/>
      <c r="D40" s="274"/>
      <c r="E40" s="274"/>
      <c r="F40" s="274"/>
      <c r="G40" s="274"/>
      <c r="H40" s="274"/>
      <c r="I40" s="274"/>
      <c r="J40" s="275"/>
      <c r="K40" s="146"/>
    </row>
    <row r="41" spans="1:11" s="12" customFormat="1" ht="14.25" customHeight="1" x14ac:dyDescent="0.2">
      <c r="A41" s="2"/>
      <c r="B41" s="266" t="s">
        <v>264</v>
      </c>
      <c r="C41" s="266"/>
      <c r="D41" s="267"/>
      <c r="E41" s="268"/>
      <c r="F41" s="269"/>
      <c r="G41" s="269"/>
      <c r="H41" s="270"/>
      <c r="I41" s="185"/>
      <c r="J41" s="185"/>
    </row>
    <row r="42" spans="1:11" s="12" customFormat="1" ht="25.5" customHeight="1" x14ac:dyDescent="0.2">
      <c r="A42" s="2">
        <v>15</v>
      </c>
      <c r="B42" s="191" t="s">
        <v>142</v>
      </c>
      <c r="C42" s="8" t="s">
        <v>143</v>
      </c>
      <c r="D42" s="2" t="s">
        <v>144</v>
      </c>
      <c r="E42" s="147">
        <v>50</v>
      </c>
      <c r="F42" s="32">
        <v>365</v>
      </c>
      <c r="G42" s="32">
        <f>ROUND(E42*F42,2)</f>
        <v>18250</v>
      </c>
      <c r="H42" s="185">
        <f t="shared" ref="H42:H67" si="0">G42/$G$69</f>
        <v>0.46046126360158002</v>
      </c>
      <c r="I42" s="32">
        <f>ROUND(F42*Прил.10!$D$12,2)</f>
        <v>2934.6</v>
      </c>
      <c r="J42" s="32">
        <f>ROUND(I42*E42,2)</f>
        <v>146730</v>
      </c>
    </row>
    <row r="43" spans="1:11" s="12" customFormat="1" ht="28.5" customHeight="1" x14ac:dyDescent="0.2">
      <c r="A43" s="2">
        <v>16</v>
      </c>
      <c r="B43" s="191" t="s">
        <v>145</v>
      </c>
      <c r="C43" s="8" t="s">
        <v>146</v>
      </c>
      <c r="D43" s="2" t="s">
        <v>147</v>
      </c>
      <c r="E43" s="147">
        <f>0.011*3*2</f>
        <v>6.6000000000000003E-2</v>
      </c>
      <c r="F43" s="32">
        <v>98440.41</v>
      </c>
      <c r="G43" s="32">
        <f>ROUND(E43*F43,2)</f>
        <v>6497.07</v>
      </c>
      <c r="H43" s="185">
        <f t="shared" si="0"/>
        <v>0.16392597599496</v>
      </c>
      <c r="I43" s="32">
        <f>ROUND(F43*Прил.10!$D$12,2)</f>
        <v>791460.9</v>
      </c>
      <c r="J43" s="32">
        <f>ROUND(I43*E43,2)</f>
        <v>52236.42</v>
      </c>
    </row>
    <row r="44" spans="1:11" s="12" customFormat="1" ht="25.5" customHeight="1" x14ac:dyDescent="0.2">
      <c r="A44" s="2">
        <v>17</v>
      </c>
      <c r="B44" s="191" t="s">
        <v>148</v>
      </c>
      <c r="C44" s="8" t="s">
        <v>149</v>
      </c>
      <c r="D44" s="2" t="s">
        <v>150</v>
      </c>
      <c r="E44" s="147">
        <v>0.14751</v>
      </c>
      <c r="F44" s="32">
        <v>32758.86</v>
      </c>
      <c r="G44" s="32">
        <f>ROUND(E44*F44,2)</f>
        <v>4832.26</v>
      </c>
      <c r="H44" s="185">
        <f t="shared" si="0"/>
        <v>0.12192156414528001</v>
      </c>
      <c r="I44" s="32">
        <f>ROUND(F44*Прил.10!$D$12,2)</f>
        <v>263381.23</v>
      </c>
      <c r="J44" s="32">
        <f>ROUND(I44*E44,2)</f>
        <v>38851.370000000003</v>
      </c>
    </row>
    <row r="45" spans="1:11" s="12" customFormat="1" ht="24.75" customHeight="1" x14ac:dyDescent="0.2">
      <c r="A45" s="2">
        <v>18</v>
      </c>
      <c r="B45" s="191" t="s">
        <v>151</v>
      </c>
      <c r="C45" s="8" t="s">
        <v>152</v>
      </c>
      <c r="D45" s="2" t="s">
        <v>147</v>
      </c>
      <c r="E45" s="147">
        <f>0.018*3*2</f>
        <v>0.108</v>
      </c>
      <c r="F45" s="32">
        <v>38348.22</v>
      </c>
      <c r="G45" s="32">
        <f>ROUND(E45*F45,2)</f>
        <v>4141.6099999999997</v>
      </c>
      <c r="H45" s="185">
        <f t="shared" si="0"/>
        <v>0.10449594377781</v>
      </c>
      <c r="I45" s="32">
        <f>ROUND(F45*Прил.10!$D$12,2)</f>
        <v>308319.69</v>
      </c>
      <c r="J45" s="32">
        <f>ROUND(I45*E45,2)</f>
        <v>33298.53</v>
      </c>
    </row>
    <row r="46" spans="1:11" s="12" customFormat="1" ht="14.25" customHeight="1" x14ac:dyDescent="0.2">
      <c r="A46" s="2"/>
      <c r="B46" s="2"/>
      <c r="C46" s="8" t="s">
        <v>265</v>
      </c>
      <c r="D46" s="2"/>
      <c r="E46" s="147"/>
      <c r="F46" s="32"/>
      <c r="G46" s="32">
        <f>SUM(G42:G45)</f>
        <v>33720.94</v>
      </c>
      <c r="H46" s="185">
        <f t="shared" si="0"/>
        <v>0.85080474751962998</v>
      </c>
      <c r="I46" s="32"/>
      <c r="J46" s="32">
        <f>SUM(J42:J45)</f>
        <v>271116.32</v>
      </c>
      <c r="K46" s="146"/>
    </row>
    <row r="47" spans="1:11" s="12" customFormat="1" ht="25.5" customHeight="1" outlineLevel="1" x14ac:dyDescent="0.2">
      <c r="A47" s="2">
        <v>19</v>
      </c>
      <c r="B47" s="191" t="s">
        <v>153</v>
      </c>
      <c r="C47" s="8" t="s">
        <v>154</v>
      </c>
      <c r="D47" s="2" t="s">
        <v>138</v>
      </c>
      <c r="E47" s="147">
        <v>9</v>
      </c>
      <c r="F47" s="32">
        <v>143.88</v>
      </c>
      <c r="G47" s="32">
        <f t="shared" ref="G47:G67" si="1">ROUND(E47*F47,2)</f>
        <v>1294.92</v>
      </c>
      <c r="H47" s="185">
        <f t="shared" si="0"/>
        <v>3.2671808189751003E-2</v>
      </c>
      <c r="I47" s="32">
        <f>ROUND(F47*Прил.10!$D$12,2)</f>
        <v>1156.8</v>
      </c>
      <c r="J47" s="32">
        <f t="shared" ref="J47:J67" si="2">ROUND(I47*E47,2)</f>
        <v>10411.200000000001</v>
      </c>
    </row>
    <row r="48" spans="1:11" s="12" customFormat="1" ht="25.5" customHeight="1" outlineLevel="1" x14ac:dyDescent="0.2">
      <c r="A48" s="2">
        <v>20</v>
      </c>
      <c r="B48" s="191" t="s">
        <v>155</v>
      </c>
      <c r="C48" s="8" t="s">
        <v>156</v>
      </c>
      <c r="D48" s="2" t="s">
        <v>157</v>
      </c>
      <c r="E48" s="147">
        <f>0.28*2</f>
        <v>0.56000000000000005</v>
      </c>
      <c r="F48" s="32">
        <v>1837.28</v>
      </c>
      <c r="G48" s="32">
        <f t="shared" si="1"/>
        <v>1028.8800000000001</v>
      </c>
      <c r="H48" s="185">
        <f t="shared" si="0"/>
        <v>2.5959418350377999E-2</v>
      </c>
      <c r="I48" s="32">
        <f>ROUND(F48*Прил.10!$D$12,2)</f>
        <v>14771.73</v>
      </c>
      <c r="J48" s="32">
        <f t="shared" si="2"/>
        <v>8272.17</v>
      </c>
    </row>
    <row r="49" spans="1:10" s="12" customFormat="1" ht="25.5" customHeight="1" outlineLevel="1" x14ac:dyDescent="0.2">
      <c r="A49" s="2">
        <v>21</v>
      </c>
      <c r="B49" s="191" t="s">
        <v>158</v>
      </c>
      <c r="C49" s="8" t="s">
        <v>159</v>
      </c>
      <c r="D49" s="2" t="s">
        <v>160</v>
      </c>
      <c r="E49" s="147">
        <v>0.15</v>
      </c>
      <c r="F49" s="32">
        <v>6080</v>
      </c>
      <c r="G49" s="32">
        <f t="shared" si="1"/>
        <v>912</v>
      </c>
      <c r="H49" s="185">
        <f t="shared" si="0"/>
        <v>2.3010447802994001E-2</v>
      </c>
      <c r="I49" s="32">
        <f>ROUND(F49*Прил.10!$D$12,2)</f>
        <v>48883.199999999997</v>
      </c>
      <c r="J49" s="32">
        <f t="shared" si="2"/>
        <v>7332.48</v>
      </c>
    </row>
    <row r="50" spans="1:10" s="12" customFormat="1" ht="38.25" customHeight="1" outlineLevel="1" x14ac:dyDescent="0.2">
      <c r="A50" s="2">
        <v>22</v>
      </c>
      <c r="B50" s="191" t="s">
        <v>161</v>
      </c>
      <c r="C50" s="8" t="s">
        <v>162</v>
      </c>
      <c r="D50" s="2" t="s">
        <v>163</v>
      </c>
      <c r="E50" s="147">
        <v>50</v>
      </c>
      <c r="F50" s="32">
        <v>12.37</v>
      </c>
      <c r="G50" s="32">
        <f t="shared" si="1"/>
        <v>618.5</v>
      </c>
      <c r="H50" s="185">
        <f t="shared" si="0"/>
        <v>1.5605221454114001E-2</v>
      </c>
      <c r="I50" s="32">
        <f>ROUND(F50*Прил.10!$D$12,2)</f>
        <v>99.45</v>
      </c>
      <c r="J50" s="32">
        <f t="shared" si="2"/>
        <v>4972.5</v>
      </c>
    </row>
    <row r="51" spans="1:10" s="12" customFormat="1" ht="25.5" customHeight="1" outlineLevel="1" x14ac:dyDescent="0.2">
      <c r="A51" s="2">
        <v>23</v>
      </c>
      <c r="B51" s="191" t="s">
        <v>164</v>
      </c>
      <c r="C51" s="8" t="s">
        <v>165</v>
      </c>
      <c r="D51" s="2" t="s">
        <v>150</v>
      </c>
      <c r="E51" s="147">
        <v>9.1999999999999998E-2</v>
      </c>
      <c r="F51" s="32">
        <v>5000</v>
      </c>
      <c r="G51" s="32">
        <f t="shared" si="1"/>
        <v>460</v>
      </c>
      <c r="H51" s="185">
        <f t="shared" si="0"/>
        <v>1.1606146918176999E-2</v>
      </c>
      <c r="I51" s="32">
        <f>ROUND(F51*Прил.10!$D$12,2)</f>
        <v>40200</v>
      </c>
      <c r="J51" s="32">
        <f t="shared" si="2"/>
        <v>3698.4</v>
      </c>
    </row>
    <row r="52" spans="1:10" s="12" customFormat="1" ht="14.25" customHeight="1" outlineLevel="1" x14ac:dyDescent="0.2">
      <c r="A52" s="2">
        <v>24</v>
      </c>
      <c r="B52" s="191" t="s">
        <v>166</v>
      </c>
      <c r="C52" s="8" t="s">
        <v>167</v>
      </c>
      <c r="D52" s="2" t="s">
        <v>168</v>
      </c>
      <c r="E52" s="147">
        <v>8</v>
      </c>
      <c r="F52" s="32">
        <v>50</v>
      </c>
      <c r="G52" s="32">
        <f t="shared" si="1"/>
        <v>400</v>
      </c>
      <c r="H52" s="185">
        <f t="shared" si="0"/>
        <v>1.0092301667979999E-2</v>
      </c>
      <c r="I52" s="32">
        <f>ROUND(F52*Прил.10!$D$12,2)</f>
        <v>402</v>
      </c>
      <c r="J52" s="32">
        <f t="shared" si="2"/>
        <v>3216</v>
      </c>
    </row>
    <row r="53" spans="1:10" s="12" customFormat="1" ht="25.5" customHeight="1" outlineLevel="1" x14ac:dyDescent="0.2">
      <c r="A53" s="2">
        <v>25</v>
      </c>
      <c r="B53" s="191" t="s">
        <v>169</v>
      </c>
      <c r="C53" s="8" t="s">
        <v>170</v>
      </c>
      <c r="D53" s="2" t="s">
        <v>168</v>
      </c>
      <c r="E53" s="147">
        <v>12.02624</v>
      </c>
      <c r="F53" s="32">
        <v>25.76</v>
      </c>
      <c r="G53" s="32">
        <f t="shared" si="1"/>
        <v>309.8</v>
      </c>
      <c r="H53" s="185">
        <f t="shared" si="0"/>
        <v>7.8164876418505003E-3</v>
      </c>
      <c r="I53" s="32">
        <f>ROUND(F53*Прил.10!$D$12,2)</f>
        <v>207.11</v>
      </c>
      <c r="J53" s="32">
        <f t="shared" si="2"/>
        <v>2490.75</v>
      </c>
    </row>
    <row r="54" spans="1:10" s="12" customFormat="1" ht="25.5" customHeight="1" outlineLevel="1" x14ac:dyDescent="0.2">
      <c r="A54" s="2">
        <v>26</v>
      </c>
      <c r="B54" s="191" t="s">
        <v>171</v>
      </c>
      <c r="C54" s="8" t="s">
        <v>172</v>
      </c>
      <c r="D54" s="2" t="s">
        <v>157</v>
      </c>
      <c r="E54" s="147">
        <f>1.2*1*2</f>
        <v>2.4</v>
      </c>
      <c r="F54" s="32">
        <v>108.4</v>
      </c>
      <c r="G54" s="32">
        <f t="shared" si="1"/>
        <v>260.16000000000003</v>
      </c>
      <c r="H54" s="185">
        <f t="shared" si="0"/>
        <v>6.5640330048541001E-3</v>
      </c>
      <c r="I54" s="32">
        <f>ROUND(F54*Прил.10!$D$12,2)</f>
        <v>871.54</v>
      </c>
      <c r="J54" s="32">
        <f t="shared" si="2"/>
        <v>2091.6999999999998</v>
      </c>
    </row>
    <row r="55" spans="1:10" s="12" customFormat="1" ht="14.25" customHeight="1" outlineLevel="1" x14ac:dyDescent="0.2">
      <c r="A55" s="2">
        <v>27</v>
      </c>
      <c r="B55" s="191" t="s">
        <v>173</v>
      </c>
      <c r="C55" s="8" t="s">
        <v>174</v>
      </c>
      <c r="D55" s="2" t="s">
        <v>168</v>
      </c>
      <c r="E55" s="147">
        <v>15.22</v>
      </c>
      <c r="F55" s="32">
        <v>9.0399999999999991</v>
      </c>
      <c r="G55" s="32">
        <f t="shared" si="1"/>
        <v>137.59</v>
      </c>
      <c r="H55" s="185">
        <f t="shared" si="0"/>
        <v>3.4714994662434001E-3</v>
      </c>
      <c r="I55" s="32">
        <f>ROUND(F55*Прил.10!$D$12,2)</f>
        <v>72.680000000000007</v>
      </c>
      <c r="J55" s="32">
        <f t="shared" si="2"/>
        <v>1106.19</v>
      </c>
    </row>
    <row r="56" spans="1:10" s="12" customFormat="1" ht="25.5" customHeight="1" outlineLevel="1" x14ac:dyDescent="0.2">
      <c r="A56" s="2">
        <v>28</v>
      </c>
      <c r="B56" s="191" t="s">
        <v>175</v>
      </c>
      <c r="C56" s="8" t="s">
        <v>176</v>
      </c>
      <c r="D56" s="2" t="s">
        <v>150</v>
      </c>
      <c r="E56" s="147">
        <v>1.7999999999999999E-2</v>
      </c>
      <c r="F56" s="32">
        <v>6508.75</v>
      </c>
      <c r="G56" s="32">
        <f t="shared" si="1"/>
        <v>117.16</v>
      </c>
      <c r="H56" s="185">
        <f t="shared" si="0"/>
        <v>2.9560351585513002E-3</v>
      </c>
      <c r="I56" s="32">
        <f>ROUND(F56*Прил.10!$D$12,2)</f>
        <v>52330.35</v>
      </c>
      <c r="J56" s="32">
        <f t="shared" si="2"/>
        <v>941.95</v>
      </c>
    </row>
    <row r="57" spans="1:10" s="12" customFormat="1" ht="14.25" customHeight="1" outlineLevel="1" x14ac:dyDescent="0.2">
      <c r="A57" s="2">
        <v>29</v>
      </c>
      <c r="B57" s="191" t="s">
        <v>177</v>
      </c>
      <c r="C57" s="8" t="s">
        <v>178</v>
      </c>
      <c r="D57" s="2" t="s">
        <v>168</v>
      </c>
      <c r="E57" s="147">
        <v>3.6</v>
      </c>
      <c r="F57" s="32">
        <v>28.6</v>
      </c>
      <c r="G57" s="32">
        <f t="shared" si="1"/>
        <v>102.96</v>
      </c>
      <c r="H57" s="185">
        <f t="shared" si="0"/>
        <v>2.5977584493379999E-3</v>
      </c>
      <c r="I57" s="32">
        <f>ROUND(F57*Прил.10!$D$12,2)</f>
        <v>229.94</v>
      </c>
      <c r="J57" s="32">
        <f t="shared" si="2"/>
        <v>827.78</v>
      </c>
    </row>
    <row r="58" spans="1:10" s="12" customFormat="1" ht="14.25" customHeight="1" outlineLevel="1" x14ac:dyDescent="0.2">
      <c r="A58" s="2">
        <v>30</v>
      </c>
      <c r="B58" s="191" t="s">
        <v>179</v>
      </c>
      <c r="C58" s="8" t="s">
        <v>180</v>
      </c>
      <c r="D58" s="2" t="s">
        <v>181</v>
      </c>
      <c r="E58" s="147">
        <v>0.78</v>
      </c>
      <c r="F58" s="32">
        <v>79.099999999999994</v>
      </c>
      <c r="G58" s="32">
        <f t="shared" si="1"/>
        <v>61.7</v>
      </c>
      <c r="H58" s="185">
        <f t="shared" si="0"/>
        <v>1.5567375322858999E-3</v>
      </c>
      <c r="I58" s="32">
        <f>ROUND(F58*Прил.10!$D$12,2)</f>
        <v>635.96</v>
      </c>
      <c r="J58" s="32">
        <f t="shared" si="2"/>
        <v>496.05</v>
      </c>
    </row>
    <row r="59" spans="1:10" s="12" customFormat="1" ht="25.5" customHeight="1" outlineLevel="1" x14ac:dyDescent="0.2">
      <c r="A59" s="2">
        <v>31</v>
      </c>
      <c r="B59" s="191" t="s">
        <v>182</v>
      </c>
      <c r="C59" s="8" t="s">
        <v>183</v>
      </c>
      <c r="D59" s="2" t="s">
        <v>150</v>
      </c>
      <c r="E59" s="147">
        <v>3.3999999999999998E-3</v>
      </c>
      <c r="F59" s="32">
        <v>17500</v>
      </c>
      <c r="G59" s="32">
        <f t="shared" si="1"/>
        <v>59.5</v>
      </c>
      <c r="H59" s="185">
        <f t="shared" si="0"/>
        <v>1.501229873112E-3</v>
      </c>
      <c r="I59" s="32">
        <f>ROUND(F59*Прил.10!$D$12,2)</f>
        <v>140700</v>
      </c>
      <c r="J59" s="32">
        <f t="shared" si="2"/>
        <v>478.38</v>
      </c>
    </row>
    <row r="60" spans="1:10" s="12" customFormat="1" ht="25.5" customHeight="1" outlineLevel="1" x14ac:dyDescent="0.2">
      <c r="A60" s="2">
        <v>32</v>
      </c>
      <c r="B60" s="191" t="s">
        <v>184</v>
      </c>
      <c r="C60" s="8" t="s">
        <v>185</v>
      </c>
      <c r="D60" s="2" t="s">
        <v>168</v>
      </c>
      <c r="E60" s="147">
        <v>0.94499999999999995</v>
      </c>
      <c r="F60" s="32">
        <v>39.700000000000003</v>
      </c>
      <c r="G60" s="32">
        <f t="shared" si="1"/>
        <v>37.520000000000003</v>
      </c>
      <c r="H60" s="185">
        <f t="shared" si="0"/>
        <v>9.4665789645651996E-4</v>
      </c>
      <c r="I60" s="32">
        <f>ROUND(F60*Прил.10!$D$12,2)</f>
        <v>319.19</v>
      </c>
      <c r="J60" s="32">
        <f t="shared" si="2"/>
        <v>301.63</v>
      </c>
    </row>
    <row r="61" spans="1:10" s="12" customFormat="1" ht="14.25" customHeight="1" outlineLevel="1" x14ac:dyDescent="0.2">
      <c r="A61" s="2">
        <v>33</v>
      </c>
      <c r="B61" s="191" t="s">
        <v>186</v>
      </c>
      <c r="C61" s="8" t="s">
        <v>187</v>
      </c>
      <c r="D61" s="2" t="s">
        <v>168</v>
      </c>
      <c r="E61" s="147">
        <v>3.0649999999999999</v>
      </c>
      <c r="F61" s="32">
        <v>10.57</v>
      </c>
      <c r="G61" s="32">
        <f t="shared" si="1"/>
        <v>32.4</v>
      </c>
      <c r="H61" s="185">
        <f t="shared" si="0"/>
        <v>8.1747643510637002E-4</v>
      </c>
      <c r="I61" s="32">
        <f>ROUND(F61*Прил.10!$D$12,2)</f>
        <v>84.98</v>
      </c>
      <c r="J61" s="32">
        <f t="shared" si="2"/>
        <v>260.45999999999998</v>
      </c>
    </row>
    <row r="62" spans="1:10" s="12" customFormat="1" ht="14.25" customHeight="1" outlineLevel="1" x14ac:dyDescent="0.2">
      <c r="A62" s="2">
        <v>34</v>
      </c>
      <c r="B62" s="191" t="s">
        <v>188</v>
      </c>
      <c r="C62" s="8" t="s">
        <v>189</v>
      </c>
      <c r="D62" s="2" t="s">
        <v>168</v>
      </c>
      <c r="E62" s="147">
        <v>0.115</v>
      </c>
      <c r="F62" s="32">
        <v>238.48</v>
      </c>
      <c r="G62" s="32">
        <f t="shared" si="1"/>
        <v>27.43</v>
      </c>
      <c r="H62" s="185">
        <f t="shared" si="0"/>
        <v>6.9207958688172005E-4</v>
      </c>
      <c r="I62" s="32">
        <f>ROUND(F62*Прил.10!$D$12,2)</f>
        <v>1917.38</v>
      </c>
      <c r="J62" s="32">
        <f t="shared" si="2"/>
        <v>220.5</v>
      </c>
    </row>
    <row r="63" spans="1:10" s="12" customFormat="1" ht="25.5" customHeight="1" outlineLevel="1" x14ac:dyDescent="0.2">
      <c r="A63" s="2">
        <v>35</v>
      </c>
      <c r="B63" s="191" t="s">
        <v>190</v>
      </c>
      <c r="C63" s="8" t="s">
        <v>191</v>
      </c>
      <c r="D63" s="2" t="s">
        <v>192</v>
      </c>
      <c r="E63" s="147">
        <v>21.003499999999999</v>
      </c>
      <c r="F63" s="32">
        <v>1</v>
      </c>
      <c r="G63" s="32">
        <f t="shared" si="1"/>
        <v>21</v>
      </c>
      <c r="H63" s="185">
        <f t="shared" si="0"/>
        <v>5.2984583756894999E-4</v>
      </c>
      <c r="I63" s="32">
        <f>ROUND(F63*Прил.10!$D$12,2)</f>
        <v>8.0399999999999991</v>
      </c>
      <c r="J63" s="32">
        <f t="shared" si="2"/>
        <v>168.87</v>
      </c>
    </row>
    <row r="64" spans="1:10" s="12" customFormat="1" ht="25.5" customHeight="1" outlineLevel="1" x14ac:dyDescent="0.2">
      <c r="A64" s="2">
        <v>36</v>
      </c>
      <c r="B64" s="191" t="s">
        <v>193</v>
      </c>
      <c r="C64" s="8" t="s">
        <v>194</v>
      </c>
      <c r="D64" s="2" t="s">
        <v>168</v>
      </c>
      <c r="E64" s="147">
        <v>0.63734999999999997</v>
      </c>
      <c r="F64" s="32">
        <v>28.22</v>
      </c>
      <c r="G64" s="32">
        <f t="shared" si="1"/>
        <v>17.989999999999998</v>
      </c>
      <c r="H64" s="185">
        <f t="shared" si="0"/>
        <v>4.5390126751739999E-4</v>
      </c>
      <c r="I64" s="32">
        <f>ROUND(F64*Прил.10!$D$12,2)</f>
        <v>226.89</v>
      </c>
      <c r="J64" s="32">
        <f t="shared" si="2"/>
        <v>144.61000000000001</v>
      </c>
    </row>
    <row r="65" spans="1:12" s="12" customFormat="1" ht="14.25" customHeight="1" outlineLevel="1" x14ac:dyDescent="0.2">
      <c r="A65" s="2">
        <v>37</v>
      </c>
      <c r="B65" s="191" t="s">
        <v>195</v>
      </c>
      <c r="C65" s="8" t="s">
        <v>196</v>
      </c>
      <c r="D65" s="2" t="s">
        <v>160</v>
      </c>
      <c r="E65" s="147">
        <v>0.14280000000000001</v>
      </c>
      <c r="F65" s="32">
        <v>86</v>
      </c>
      <c r="G65" s="32">
        <f t="shared" si="1"/>
        <v>12.28</v>
      </c>
      <c r="H65" s="185">
        <f t="shared" si="0"/>
        <v>3.0983366120697998E-4</v>
      </c>
      <c r="I65" s="32">
        <f>ROUND(F65*Прил.10!$D$12,2)</f>
        <v>691.44</v>
      </c>
      <c r="J65" s="32">
        <f t="shared" si="2"/>
        <v>98.74</v>
      </c>
    </row>
    <row r="66" spans="1:12" s="12" customFormat="1" ht="38.25" customHeight="1" outlineLevel="1" x14ac:dyDescent="0.2">
      <c r="A66" s="2">
        <v>38</v>
      </c>
      <c r="B66" s="191" t="s">
        <v>197</v>
      </c>
      <c r="C66" s="8" t="s">
        <v>198</v>
      </c>
      <c r="D66" s="2" t="s">
        <v>150</v>
      </c>
      <c r="E66" s="147">
        <v>2.0000000000000001E-4</v>
      </c>
      <c r="F66" s="32">
        <v>5763</v>
      </c>
      <c r="G66" s="32">
        <f t="shared" si="1"/>
        <v>1.1499999999999999</v>
      </c>
      <c r="H66" s="185">
        <f t="shared" si="0"/>
        <v>2.9015367295441998E-5</v>
      </c>
      <c r="I66" s="32">
        <f>ROUND(F66*Прил.10!$D$12,2)</f>
        <v>46334.52</v>
      </c>
      <c r="J66" s="32">
        <f t="shared" si="2"/>
        <v>9.27</v>
      </c>
    </row>
    <row r="67" spans="1:12" s="12" customFormat="1" ht="14.25" customHeight="1" outlineLevel="1" x14ac:dyDescent="0.2">
      <c r="A67" s="2">
        <v>39</v>
      </c>
      <c r="B67" s="191" t="s">
        <v>199</v>
      </c>
      <c r="C67" s="8" t="s">
        <v>200</v>
      </c>
      <c r="D67" s="2" t="s">
        <v>160</v>
      </c>
      <c r="E67" s="147">
        <v>0.14280000000000001</v>
      </c>
      <c r="F67" s="32">
        <v>2</v>
      </c>
      <c r="G67" s="32">
        <f t="shared" si="1"/>
        <v>0.28999999999999998</v>
      </c>
      <c r="H67" s="185">
        <f t="shared" si="0"/>
        <v>7.3169187092854003E-6</v>
      </c>
      <c r="I67" s="32">
        <f>ROUND(F67*Прил.10!$D$12,2)</f>
        <v>16.079999999999998</v>
      </c>
      <c r="J67" s="32">
        <f t="shared" si="2"/>
        <v>2.2999999999999998</v>
      </c>
    </row>
    <row r="68" spans="1:12" s="12" customFormat="1" ht="14.25" customHeight="1" x14ac:dyDescent="0.2">
      <c r="A68" s="2"/>
      <c r="B68" s="2"/>
      <c r="C68" s="8" t="s">
        <v>266</v>
      </c>
      <c r="D68" s="2"/>
      <c r="E68" s="184"/>
      <c r="F68" s="103"/>
      <c r="G68" s="32">
        <f>SUM(G47:G67)</f>
        <v>5913.23</v>
      </c>
      <c r="H68" s="185">
        <f>G68/G69</f>
        <v>0.14919525248036999</v>
      </c>
      <c r="I68" s="32"/>
      <c r="J68" s="32">
        <f>SUM(J47:J67)</f>
        <v>47541.93</v>
      </c>
    </row>
    <row r="69" spans="1:12" s="12" customFormat="1" ht="14.25" customHeight="1" x14ac:dyDescent="0.2">
      <c r="A69" s="2"/>
      <c r="B69" s="2"/>
      <c r="C69" s="104" t="s">
        <v>267</v>
      </c>
      <c r="D69" s="2"/>
      <c r="E69" s="184"/>
      <c r="F69" s="103"/>
      <c r="G69" s="32">
        <f>G46+G68</f>
        <v>39634.17</v>
      </c>
      <c r="H69" s="185">
        <v>1</v>
      </c>
      <c r="I69" s="103"/>
      <c r="J69" s="32">
        <f>J46+J68</f>
        <v>318658.25</v>
      </c>
      <c r="K69" s="146"/>
    </row>
    <row r="70" spans="1:12" s="12" customFormat="1" ht="14.25" customHeight="1" x14ac:dyDescent="0.2">
      <c r="A70" s="2"/>
      <c r="B70" s="2"/>
      <c r="C70" s="8" t="s">
        <v>268</v>
      </c>
      <c r="D70" s="2"/>
      <c r="E70" s="184"/>
      <c r="F70" s="103"/>
      <c r="G70" s="32">
        <f>G16+G31+G69</f>
        <v>63815.6</v>
      </c>
      <c r="H70" s="185"/>
      <c r="I70" s="103"/>
      <c r="J70" s="32">
        <f>J16+J31+J69</f>
        <v>1029079.51</v>
      </c>
    </row>
    <row r="71" spans="1:12" s="12" customFormat="1" ht="14.25" customHeight="1" x14ac:dyDescent="0.2">
      <c r="A71" s="2"/>
      <c r="B71" s="2"/>
      <c r="C71" s="8" t="s">
        <v>269</v>
      </c>
      <c r="D71" s="2" t="s">
        <v>270</v>
      </c>
      <c r="E71" s="16">
        <v>0.94</v>
      </c>
      <c r="F71" s="103"/>
      <c r="G71" s="32">
        <v>12191.488916945</v>
      </c>
      <c r="H71" s="185"/>
      <c r="I71" s="103"/>
      <c r="J71" s="32">
        <f>ROUND(E71*(J16+J18),2)</f>
        <v>606124.15</v>
      </c>
      <c r="K71" s="28"/>
    </row>
    <row r="72" spans="1:12" s="12" customFormat="1" ht="14.25" customHeight="1" x14ac:dyDescent="0.2">
      <c r="A72" s="2"/>
      <c r="B72" s="2"/>
      <c r="C72" s="8" t="s">
        <v>271</v>
      </c>
      <c r="D72" s="2" t="s">
        <v>270</v>
      </c>
      <c r="E72" s="16">
        <v>0.6</v>
      </c>
      <c r="F72" s="103"/>
      <c r="G72" s="32">
        <v>8194.0494096439998</v>
      </c>
      <c r="H72" s="185"/>
      <c r="I72" s="103"/>
      <c r="J72" s="32">
        <f>ROUND(E72*(J16+J18),2)</f>
        <v>386887.76</v>
      </c>
      <c r="K72" s="28"/>
    </row>
    <row r="73" spans="1:12" s="12" customFormat="1" ht="14.25" customHeight="1" x14ac:dyDescent="0.2">
      <c r="A73" s="2"/>
      <c r="B73" s="2"/>
      <c r="C73" s="8" t="s">
        <v>272</v>
      </c>
      <c r="D73" s="2"/>
      <c r="E73" s="184"/>
      <c r="F73" s="103"/>
      <c r="G73" s="32">
        <f>G16+G31+G69+G71+G72</f>
        <v>84201.138326589004</v>
      </c>
      <c r="H73" s="185"/>
      <c r="I73" s="103"/>
      <c r="J73" s="32">
        <f>J16+J31+J69+J71+J72</f>
        <v>2022091.42</v>
      </c>
      <c r="L73" s="190"/>
    </row>
    <row r="74" spans="1:12" s="12" customFormat="1" ht="14.25" customHeight="1" x14ac:dyDescent="0.2">
      <c r="A74" s="2"/>
      <c r="B74" s="2"/>
      <c r="C74" s="8" t="s">
        <v>273</v>
      </c>
      <c r="D74" s="2"/>
      <c r="E74" s="184"/>
      <c r="F74" s="103"/>
      <c r="G74" s="32">
        <f>G73+G38</f>
        <v>2038418.3783266</v>
      </c>
      <c r="H74" s="185"/>
      <c r="I74" s="103"/>
      <c r="J74" s="32">
        <f>J73+J38</f>
        <v>14255491.42</v>
      </c>
      <c r="L74" s="28"/>
    </row>
    <row r="75" spans="1:12" s="12" customFormat="1" ht="14.25" customHeight="1" x14ac:dyDescent="0.2">
      <c r="A75" s="2"/>
      <c r="B75" s="2"/>
      <c r="C75" s="8" t="s">
        <v>239</v>
      </c>
      <c r="D75" s="2" t="s">
        <v>274</v>
      </c>
      <c r="E75" s="196">
        <f>'Прил.1 Сравнит табл'!D14</f>
        <v>2</v>
      </c>
      <c r="F75" s="103"/>
      <c r="G75" s="32">
        <f>G74/E75</f>
        <v>1019209.1891633</v>
      </c>
      <c r="H75" s="185"/>
      <c r="I75" s="103"/>
      <c r="J75" s="32">
        <f>J74/E75</f>
        <v>7127745.71</v>
      </c>
      <c r="L75" s="28"/>
    </row>
    <row r="79" spans="1:12" s="12" customFormat="1" ht="14.25" customHeight="1" x14ac:dyDescent="0.2">
      <c r="A79" s="30"/>
    </row>
    <row r="80" spans="1:12" s="224" customFormat="1" x14ac:dyDescent="0.25">
      <c r="B80" s="208" t="s">
        <v>469</v>
      </c>
      <c r="C80" s="213"/>
    </row>
    <row r="81" spans="2:3" s="224" customFormat="1" x14ac:dyDescent="0.25">
      <c r="B81" s="33" t="s">
        <v>77</v>
      </c>
      <c r="C81" s="213"/>
    </row>
    <row r="82" spans="2:3" s="224" customFormat="1" x14ac:dyDescent="0.25">
      <c r="B82" s="208"/>
      <c r="C82" s="213"/>
    </row>
    <row r="83" spans="2:3" s="224" customFormat="1" x14ac:dyDescent="0.25">
      <c r="B83" s="208" t="s">
        <v>470</v>
      </c>
      <c r="C83" s="213"/>
    </row>
    <row r="84" spans="2:3" s="224" customFormat="1" x14ac:dyDescent="0.25">
      <c r="B84" s="33" t="s">
        <v>78</v>
      </c>
      <c r="C84" s="213"/>
    </row>
  </sheetData>
  <sheetProtection formatCells="0" formatColumns="0" formatRows="0" insertColumns="0" insertRows="0" insertHyperlinks="0" deleteColumns="0" deleteRows="0" sort="0" autoFilter="0" pivotTables="0"/>
  <mergeCells count="20">
    <mergeCell ref="B12:H12"/>
    <mergeCell ref="B17:H17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  <mergeCell ref="B19:H19"/>
    <mergeCell ref="B20:H20"/>
    <mergeCell ref="B33:J33"/>
    <mergeCell ref="B41:H41"/>
    <mergeCell ref="B32:J32"/>
    <mergeCell ref="B40:J4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topLeftCell="A2" workbookViewId="0">
      <selection activeCell="D25" sqref="D25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84" t="s">
        <v>275</v>
      </c>
      <c r="B1" s="284"/>
      <c r="C1" s="284"/>
      <c r="D1" s="284"/>
      <c r="E1" s="284"/>
      <c r="F1" s="284"/>
      <c r="G1" s="284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4.75" customHeight="1" x14ac:dyDescent="0.25">
      <c r="A3" s="242" t="s">
        <v>276</v>
      </c>
      <c r="B3" s="242"/>
      <c r="C3" s="242"/>
      <c r="D3" s="242"/>
      <c r="E3" s="242"/>
      <c r="F3" s="242"/>
      <c r="G3" s="242"/>
    </row>
    <row r="4" spans="1:7" ht="24.75" customHeight="1" x14ac:dyDescent="0.25">
      <c r="A4" s="175"/>
      <c r="B4" s="175"/>
      <c r="C4" s="175"/>
      <c r="D4" s="175"/>
      <c r="E4" s="175"/>
      <c r="F4" s="175"/>
      <c r="G4" s="175"/>
    </row>
    <row r="5" spans="1:7" ht="25.5" customHeight="1" x14ac:dyDescent="0.25">
      <c r="A5" s="286" t="s">
        <v>48</v>
      </c>
      <c r="B5" s="286"/>
      <c r="C5" s="286"/>
      <c r="D5" s="286"/>
      <c r="E5" s="286"/>
      <c r="F5" s="286"/>
      <c r="G5" s="286"/>
    </row>
    <row r="6" spans="1:7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267" t="s">
        <v>13</v>
      </c>
      <c r="B7" s="267" t="s">
        <v>98</v>
      </c>
      <c r="C7" s="267" t="s">
        <v>205</v>
      </c>
      <c r="D7" s="267" t="s">
        <v>100</v>
      </c>
      <c r="E7" s="276" t="s">
        <v>244</v>
      </c>
      <c r="F7" s="285" t="s">
        <v>102</v>
      </c>
      <c r="G7" s="285"/>
    </row>
    <row r="8" spans="1:7" x14ac:dyDescent="0.25">
      <c r="A8" s="267"/>
      <c r="B8" s="267"/>
      <c r="C8" s="267"/>
      <c r="D8" s="267"/>
      <c r="E8" s="277"/>
      <c r="F8" s="2" t="s">
        <v>247</v>
      </c>
      <c r="G8" s="2" t="s">
        <v>104</v>
      </c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ht="15" customHeight="1" x14ac:dyDescent="0.25">
      <c r="A10" s="25"/>
      <c r="B10" s="280" t="s">
        <v>277</v>
      </c>
      <c r="C10" s="281"/>
      <c r="D10" s="281"/>
      <c r="E10" s="281"/>
      <c r="F10" s="281"/>
      <c r="G10" s="282"/>
    </row>
    <row r="11" spans="1:7" ht="20.25" customHeight="1" x14ac:dyDescent="0.25">
      <c r="A11" s="2"/>
      <c r="B11" s="104"/>
      <c r="C11" s="8" t="s">
        <v>278</v>
      </c>
      <c r="D11" s="104"/>
      <c r="E11" s="105"/>
      <c r="F11" s="103"/>
      <c r="G11" s="103">
        <v>0</v>
      </c>
    </row>
    <row r="12" spans="1:7" x14ac:dyDescent="0.25">
      <c r="A12" s="2"/>
      <c r="B12" s="266" t="s">
        <v>279</v>
      </c>
      <c r="C12" s="266"/>
      <c r="D12" s="266"/>
      <c r="E12" s="283"/>
      <c r="F12" s="269"/>
      <c r="G12" s="269"/>
    </row>
    <row r="13" spans="1:7" x14ac:dyDescent="0.25">
      <c r="A13" s="2">
        <v>1</v>
      </c>
      <c r="B13" s="191" t="s">
        <v>256</v>
      </c>
      <c r="C13" s="8" t="s">
        <v>257</v>
      </c>
      <c r="D13" s="2" t="s">
        <v>140</v>
      </c>
      <c r="E13" s="234">
        <v>6</v>
      </c>
      <c r="F13" s="32">
        <f>'Прил.5 Расчет СМР и ОБ'!F34</f>
        <v>318354.63</v>
      </c>
      <c r="G13" s="32">
        <f>'Прил.5 Расчет СМР и ОБ'!G34</f>
        <v>1910127.78</v>
      </c>
    </row>
    <row r="14" spans="1:7" ht="25.5" customHeight="1" x14ac:dyDescent="0.25">
      <c r="A14" s="2">
        <v>2</v>
      </c>
      <c r="B14" s="198" t="s">
        <v>259</v>
      </c>
      <c r="C14" s="114" t="s">
        <v>139</v>
      </c>
      <c r="D14" s="197" t="s">
        <v>140</v>
      </c>
      <c r="E14" s="235">
        <v>2</v>
      </c>
      <c r="F14" s="32">
        <f>'Прил.5 Расчет СМР и ОБ'!F36</f>
        <v>22044.73</v>
      </c>
      <c r="G14" s="32">
        <f>'Прил.5 Расчет СМР и ОБ'!G36</f>
        <v>44089.46</v>
      </c>
    </row>
    <row r="15" spans="1:7" ht="25.5" customHeight="1" x14ac:dyDescent="0.25">
      <c r="A15" s="2"/>
      <c r="B15" s="114"/>
      <c r="C15" s="114" t="s">
        <v>280</v>
      </c>
      <c r="D15" s="114"/>
      <c r="E15" s="115"/>
      <c r="F15" s="103"/>
      <c r="G15" s="32">
        <f>SUM(G13:G14)</f>
        <v>1954217.24</v>
      </c>
    </row>
    <row r="16" spans="1:7" ht="19.5" customHeight="1" x14ac:dyDescent="0.25">
      <c r="A16" s="2"/>
      <c r="B16" s="8"/>
      <c r="C16" s="8" t="s">
        <v>281</v>
      </c>
      <c r="D16" s="8"/>
      <c r="E16" s="47"/>
      <c r="F16" s="103"/>
      <c r="G16" s="32">
        <f>G11+G15</f>
        <v>1954217.24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s="224" customFormat="1" x14ac:dyDescent="0.25">
      <c r="B18" s="208" t="s">
        <v>469</v>
      </c>
      <c r="C18" s="213"/>
    </row>
    <row r="19" spans="1:7" s="224" customFormat="1" x14ac:dyDescent="0.25">
      <c r="B19" s="33" t="s">
        <v>77</v>
      </c>
      <c r="C19" s="213"/>
    </row>
    <row r="20" spans="1:7" s="224" customFormat="1" x14ac:dyDescent="0.25">
      <c r="B20" s="208"/>
      <c r="C20" s="213"/>
    </row>
    <row r="21" spans="1:7" s="224" customFormat="1" x14ac:dyDescent="0.25">
      <c r="B21" s="208" t="s">
        <v>470</v>
      </c>
      <c r="C21" s="213"/>
    </row>
    <row r="22" spans="1:7" s="224" customFormat="1" x14ac:dyDescent="0.25">
      <c r="B22" s="33" t="s">
        <v>78</v>
      </c>
      <c r="C22" s="213"/>
    </row>
  </sheetData>
  <mergeCells count="11">
    <mergeCell ref="B10:G10"/>
    <mergeCell ref="B12:G12"/>
    <mergeCell ref="A1:G1"/>
    <mergeCell ref="A7:A8"/>
    <mergeCell ref="B7:B8"/>
    <mergeCell ref="C7:C8"/>
    <mergeCell ref="D7:D8"/>
    <mergeCell ref="E7:E8"/>
    <mergeCell ref="F7:G7"/>
    <mergeCell ref="A3:G3"/>
    <mergeCell ref="A5:G5"/>
  </mergeCells>
  <pageMargins left="0.7" right="0.7" top="0.75" bottom="0.75" header="0.3" footer="0.3"/>
  <pageSetup paperSize="9" scale="8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16</vt:i4>
      </vt:variant>
    </vt:vector>
  </HeadingPairs>
  <TitlesOfParts>
    <vt:vector size="34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2023-11-30T07:11:47Z</cp:lastPrinted>
  <dcterms:created xsi:type="dcterms:W3CDTF">2020-09-30T08:50:27Z</dcterms:created>
  <dcterms:modified xsi:type="dcterms:W3CDTF">2023-11-30T07:11:52Z</dcterms:modified>
  <cp:category/>
</cp:coreProperties>
</file>