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3'!$A$1:$H$71</definedName>
    <definedName name="_xlnm.Print_Area" localSheetId="7">'Прил.4 РМ'!$A$1:$E$48</definedName>
    <definedName name="_xlnm.Print_Area" localSheetId="8">'Прил.5 Расчет СМР и ОБ'!$A$1:$J$85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F14" i="10"/>
  <c r="G13" i="10"/>
  <c r="F13" i="10"/>
  <c r="G12" i="10"/>
  <c r="F12" i="10"/>
  <c r="J79" i="9"/>
  <c r="G79" i="9"/>
  <c r="J78" i="9"/>
  <c r="G78" i="9"/>
  <c r="J77" i="9"/>
  <c r="G77" i="9"/>
  <c r="J76" i="9"/>
  <c r="D76" i="9"/>
  <c r="J75" i="9"/>
  <c r="D75" i="9"/>
  <c r="J74" i="9"/>
  <c r="G74" i="9"/>
  <c r="J73" i="9"/>
  <c r="G73" i="9"/>
  <c r="J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G15" i="9"/>
  <c r="E15" i="9"/>
  <c r="J14" i="9"/>
  <c r="I14" i="9"/>
  <c r="H14" i="9"/>
  <c r="G14" i="9"/>
  <c r="E14" i="9"/>
  <c r="J13" i="9"/>
  <c r="I13" i="9"/>
  <c r="H13" i="9"/>
  <c r="G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H17" i="6"/>
  <c r="H16" i="6"/>
  <c r="H15" i="6"/>
  <c r="H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<sst xmlns="http://schemas.openxmlformats.org/spreadsheetml/2006/main" count="867" uniqueCount="462">
  <si>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</si>
  <si>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</si>
  <si>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</si>
  <si>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</si>
  <si>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</si>
  <si>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</si>
  <si>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</si>
  <si>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</si>
  <si>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</si>
  <si>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</si>
  <si>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</si>
  <si>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</si>
  <si>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</si>
  <si>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</si>
  <si>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</si>
  <si>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</si>
  <si>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</si>
  <si>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</si>
  <si>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</si>
  <si>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</si>
  <si>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</si>
  <si>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</si>
  <si>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</si>
  <si>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</si>
  <si>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</si>
  <si>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</si>
  <si>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</si>
  <si>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</si>
  <si>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</si>
  <si>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</si>
  <si>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</si>
  <si>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</si>
  <si>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</si>
  <si>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</si>
  <si>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</si>
  <si>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</si>
  <si>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</si>
  <si>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</si>
  <si>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</si>
  <si>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</si>
  <si>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</si>
  <si>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</si>
  <si>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</si>
  <si>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</si>
  <si>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</si>
  <si>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</si>
  <si>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</si>
  <si>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</si>
  <si>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ТН (до трех вторичных обмоток) на три фазы без устройства фундамента напряжение 500 кВ</t>
  </si>
  <si>
    <t>Сопоставимый уровень цен: 2 квартал 2017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</si>
  <si>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</si>
  <si>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</si>
  <si>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</si>
  <si>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</si>
  <si>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500/220/110 кВ Бескудниково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</si>
  <si>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</si>
  <si>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</si>
  <si>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</si>
  <si>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</si>
  <si>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</si>
  <si>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Трансформатор - 1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</si>
  <si>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</si>
  <si>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каскадный, масляный траснформатор марки  НАМИ-500 без устройства фундамента
Шкаф ЯЗН-11-АСКУЭ - 1 шт.
Шкаф догрузочных резисторов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</si>
  <si>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</si>
  <si>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</si>
  <si>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</si>
  <si>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</si>
  <si>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</si>
  <si>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</si>
  <si>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</si>
  <si>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</si>
  <si>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</si>
  <si>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</si>
  <si>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</si>
  <si>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</si>
  <si>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</si>
  <si>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</si>
  <si>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</si>
  <si>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</si>
  <si>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</si>
  <si>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</si>
  <si>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</si>
  <si>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</si>
  <si>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</si>
  <si>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</si>
  <si>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</si>
  <si>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</si>
  <si>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</si>
  <si>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</si>
  <si>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</si>
  <si>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</si>
  <si>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02-01-04</t>
  </si>
  <si>
    <t xml:space="preserve">Монтаж оборудования в здании КРУЭ 500 кВ ( 1 этап) 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</si>
  <si>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</si>
  <si>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</si>
  <si>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</si>
  <si>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</si>
  <si>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</si>
  <si>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</si>
  <si>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</si>
  <si>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</si>
  <si>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</si>
  <si>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</si>
  <si>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</si>
  <si>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</si>
  <si>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</si>
  <si>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</si>
  <si>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</si>
  <si>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10-30-1</t>
  </si>
  <si>
    <t>Инженер I категории</t>
  </si>
  <si>
    <t>чел.-ч.</t>
  </si>
  <si>
    <t>10-30-2</t>
  </si>
  <si>
    <t>Инженер II категории</t>
  </si>
  <si>
    <t>1-4-0</t>
  </si>
  <si>
    <t>Затраты труда рабочих (средний разряд работы 4,0)</t>
  </si>
  <si>
    <t>чел.час</t>
  </si>
  <si>
    <t>1-3-8</t>
  </si>
  <si>
    <t>Затраты труда рабочих (средний разряд работы 3,8)</t>
  </si>
  <si>
    <t>1-3-2</t>
  </si>
  <si>
    <t>Затраты труда рабочих (средний разряд работы 3,2)</t>
  </si>
  <si>
    <t>Затраты труда машинистов</t>
  </si>
  <si>
    <t>6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</si>
  <si>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</si>
  <si>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</si>
  <si>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</si>
  <si>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</si>
  <si>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91.05.05-014</t>
  </si>
  <si>
    <t>Краны на автомобильном ходу, грузоподъемность 10 т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</si>
  <si>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</si>
  <si>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</si>
  <si>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</si>
  <si>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</si>
  <si>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</si>
  <si>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</si>
  <si>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</si>
  <si>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</si>
  <si>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</si>
  <si>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</si>
  <si>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</si>
  <si>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</si>
  <si>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</si>
  <si>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</si>
  <si>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</si>
  <si>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</si>
  <si>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</si>
  <si>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</si>
  <si>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</si>
  <si>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</si>
  <si>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</si>
  <si>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</si>
  <si>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</si>
  <si>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напряжения 500 кВ</t>
  </si>
  <si>
    <t>шт.</t>
  </si>
  <si>
    <t>Шкаф ЯЗН-11-АСКУЭ</t>
  </si>
  <si>
    <t>Шкаф догрузочных резисторов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</si>
  <si>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</si>
  <si>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</si>
  <si>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</si>
  <si>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</si>
  <si>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</si>
  <si>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</si>
  <si>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21.2.01.02-0094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</si>
  <si>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</si>
  <si>
    <t>т</t>
  </si>
  <si>
    <t>20.1.01.02-0009</t>
  </si>
  <si>
    <t>Зажим аппаратный прессуемый: 2А6А-300-3</t>
  </si>
  <si>
    <t>100 шт</t>
  </si>
  <si>
    <t>20.1.01.02-0010</t>
  </si>
  <si>
    <t>Зажим аппаратный прессуемый: 2А6А-300-4</t>
  </si>
  <si>
    <t>05.1.01.10-0131</t>
  </si>
  <si>
    <t>Лотки каналов и тоннелей железобетонные для прокладки коммуникаций</t>
  </si>
  <si>
    <t>м3</t>
  </si>
  <si>
    <t>01.7.17.11-0001</t>
  </si>
  <si>
    <t>Бумага шлифовальная</t>
  </si>
  <si>
    <t>кг</t>
  </si>
  <si>
    <t>02.2.05.04-1777</t>
  </si>
  <si>
    <t>Щебень М 800, фракция 20-40 мм, группа 2</t>
  </si>
  <si>
    <t>999-9950</t>
  </si>
  <si>
    <t>Вспомогательные ненормируемые ресурсы (2% от Оплаты труда рабочих)</t>
  </si>
  <si>
    <t>руб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</si>
  <si>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</si>
  <si>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</si>
  <si>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</si>
  <si>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</si>
  <si>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</si>
  <si>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</si>
  <si>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08.3.07.01-0076</t>
  </si>
  <si>
    <t>Сталь полосовая, марка стали: Ст3сп шириной 50-200 мм толщиной 4-5 мм</t>
  </si>
  <si>
    <t>14.4.02.09-0301</t>
  </si>
  <si>
    <t>Краска "Цинол"</t>
  </si>
  <si>
    <t>01.7.20.08-0031</t>
  </si>
  <si>
    <t>Бязь суровая арт. 6804</t>
  </si>
  <si>
    <t>10 м2</t>
  </si>
  <si>
    <t>01.7.15.07-0014</t>
  </si>
  <si>
    <t>Дюбели распорные полипропиленовые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</si>
  <si>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</si>
  <si>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</si>
  <si>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</si>
  <si>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</si>
  <si>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</si>
  <si>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</si>
  <si>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</si>
  <si>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</si>
  <si>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</si>
  <si>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</si>
  <si>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</si>
  <si>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</si>
  <si>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</si>
  <si>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</si>
  <si>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</si>
  <si>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</si>
  <si>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</si>
  <si>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</si>
  <si>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</si>
  <si>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</si>
  <si>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</si>
  <si>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</si>
  <si>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</si>
  <si>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</si>
  <si>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</si>
  <si>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</si>
  <si>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</si>
  <si>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</si>
  <si>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</si>
  <si>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</si>
  <si>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</si>
  <si>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</si>
  <si>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</si>
  <si>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</si>
  <si>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</si>
  <si>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</si>
  <si>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</si>
  <si>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</si>
  <si>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</si>
  <si>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</si>
  <si>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</si>
  <si>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</si>
  <si>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</si>
  <si>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</si>
  <si>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</si>
  <si>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</si>
  <si>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</si>
  <si>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</si>
  <si>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</si>
  <si>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</si>
  <si>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</si>
  <si>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</si>
  <si>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</si>
  <si>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</si>
  <si>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</si>
  <si>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</si>
  <si>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</si>
  <si>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</si>
  <si>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</si>
  <si>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</si>
  <si>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</si>
  <si>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</si>
  <si>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</si>
  <si>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</si>
  <si>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</si>
  <si>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</si>
  <si>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 -</t>
  </si>
  <si>
    <t xml:space="preserve"> ТН (до трех вторичных обмоток) на три фазы без устройства фундамента напряжение 500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</si>
  <si>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</si>
  <si>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</si>
  <si>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</si>
  <si>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</si>
  <si>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</si>
  <si>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</si>
  <si>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</si>
  <si>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</si>
  <si>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</si>
  <si>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</si>
  <si>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</si>
  <si>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</si>
  <si>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</si>
  <si>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</si>
  <si>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БЦ.16.273</t>
  </si>
  <si>
    <t>Итого основное оборудование</t>
  </si>
  <si>
    <t>БЦ.30_1.145</t>
  </si>
  <si>
    <t>62.1.02.01-0168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</si>
  <si>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</si>
  <si>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</si>
  <si>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</si>
  <si>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</si>
  <si>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</si>
  <si>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</si>
  <si>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</si>
  <si>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</si>
  <si>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</si>
  <si>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</si>
  <si>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</si>
  <si>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</si>
  <si>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</si>
  <si>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</si>
  <si>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</si>
  <si>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</si>
  <si>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</si>
  <si>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</si>
  <si>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</si>
  <si>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</si>
  <si>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</si>
  <si>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</si>
  <si>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</si>
  <si>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</si>
  <si>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</si>
  <si>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</si>
  <si>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И10-02-6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</si>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</sst>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2" fillId="0" borderId="1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455094</xdr:colOff>
      <xdr:row>18</xdr:row>
      <xdr:rowOff>73160</xdr:rowOff>
    </xdr:from>
    <xdr:to>
      <xdr:col>2</xdr:col>
      <xdr:colOff>1393586</xdr:colOff>
      <xdr:row>21</xdr:row>
      <xdr:rowOff>28710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808" y="5352731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512083</xdr:colOff>
      <xdr:row>15</xdr:row>
      <xdr:rowOff>163845</xdr:rowOff>
    </xdr:from>
    <xdr:to>
      <xdr:col>2</xdr:col>
      <xdr:colOff>1415277</xdr:colOff>
      <xdr:row>17</xdr:row>
      <xdr:rowOff>119433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797" y="4871916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180229</xdr:colOff>
      <xdr:row>67</xdr:row>
      <xdr:rowOff>45945</xdr:rowOff>
    </xdr:from>
    <xdr:to>
      <xdr:col>2</xdr:col>
      <xdr:colOff>1118721</xdr:colOff>
      <xdr:row>70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979" y="15828870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127001</xdr:colOff>
      <xdr:row>64</xdr:row>
      <xdr:rowOff>95810</xdr:rowOff>
    </xdr:from>
    <xdr:to>
      <xdr:col>2</xdr:col>
      <xdr:colOff>1030195</xdr:colOff>
      <xdr:row>66</xdr:row>
      <xdr:rowOff>60923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751" y="1530723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932704</xdr:colOff>
      <xdr:row>43</xdr:row>
      <xdr:rowOff>45945</xdr:rowOff>
    </xdr:from>
    <xdr:to>
      <xdr:col>1</xdr:col>
      <xdr:colOff>1871196</xdr:colOff>
      <xdr:row>46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29" y="116664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41</xdr:row>
      <xdr:rowOff>10085</xdr:rowOff>
    </xdr:from>
    <xdr:to>
      <xdr:col>1</xdr:col>
      <xdr:colOff>1916020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1" y="11249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1004981</xdr:colOff>
      <xdr:row>81</xdr:row>
      <xdr:rowOff>101974</xdr:rowOff>
    </xdr:from>
    <xdr:to>
      <xdr:col>2</xdr:col>
      <xdr:colOff>441885</xdr:colOff>
      <xdr:row>84</xdr:row>
      <xdr:rowOff>86099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981" y="20463062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991534</xdr:colOff>
      <xdr:row>79</xdr:row>
      <xdr:rowOff>22972</xdr:rowOff>
    </xdr:from>
    <xdr:to>
      <xdr:col>2</xdr:col>
      <xdr:colOff>393140</xdr:colOff>
      <xdr:row>80</xdr:row>
      <xdr:rowOff>178585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34" y="200030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1047004</xdr:colOff>
      <xdr:row>18</xdr:row>
      <xdr:rowOff>64995</xdr:rowOff>
    </xdr:from>
    <xdr:to>
      <xdr:col>2</xdr:col>
      <xdr:colOff>813921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004" y="42464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16</xdr:row>
      <xdr:rowOff>19610</xdr:rowOff>
    </xdr:from>
    <xdr:to>
      <xdr:col>2</xdr:col>
      <xdr:colOff>830170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1" y="38200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980329</xdr:colOff>
      <xdr:row>13</xdr:row>
      <xdr:rowOff>74520</xdr:rowOff>
    </xdr:from>
    <xdr:to>
      <xdr:col>1</xdr:col>
      <xdr:colOff>1918821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2354" y="36844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11</xdr:row>
      <xdr:rowOff>29135</xdr:rowOff>
    </xdr:from>
    <xdr:to>
      <xdr:col>1</xdr:col>
      <xdr:colOff>1887445</xdr:colOff>
      <xdr:row>12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76" y="3258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1094629</xdr:colOff>
      <xdr:row>27</xdr:row>
      <xdr:rowOff>57151</xdr:rowOff>
    </xdr:from>
    <xdr:to>
      <xdr:col>1</xdr:col>
      <xdr:colOff>2033121</xdr:colOff>
      <xdr:row>30</xdr:row>
      <xdr:rowOff>12701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7" y="902185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1036358</xdr:colOff>
      <xdr:row>24</xdr:row>
      <xdr:rowOff>112619</xdr:rowOff>
    </xdr:from>
    <xdr:to>
      <xdr:col>1</xdr:col>
      <xdr:colOff>1939552</xdr:colOff>
      <xdr:row>26</xdr:row>
      <xdr:rowOff>68207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76" y="850582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topLeftCell="A109" zoomScale="80" workbookViewId="0">
      <selection activeCell="D166" sqref="D166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5" t="s">
        <v>0</v>
      </c>
      <c r="B2" s="215"/>
      <c r="C2" s="215"/>
    </row>
    <row r="3" spans="1:3" x14ac:dyDescent="0.25">
      <c r="A3" s="1"/>
      <c r="B3" s="1"/>
      <c r="C3" s="1"/>
    </row>
    <row r="4" spans="1:3" x14ac:dyDescent="0.25">
      <c r="A4" s="216" t="s">
        <v>1</v>
      </c>
      <c r="B4" s="216"/>
      <c r="C4" s="2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17" t="s">
        <v>3</v>
      </c>
      <c r="C6" s="217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1533.1085424985999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5" t="s">
        <v>295</v>
      </c>
      <c r="B1" s="255"/>
      <c r="C1" s="255"/>
      <c r="D1" s="255"/>
      <c r="E1" s="255"/>
      <c r="F1" s="255"/>
      <c r="G1" s="255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15" t="s">
        <v>296</v>
      </c>
      <c r="B3" s="215"/>
      <c r="C3" s="215"/>
      <c r="D3" s="215"/>
      <c r="E3" s="215"/>
      <c r="F3" s="215"/>
      <c r="G3" s="215"/>
    </row>
    <row r="4" spans="1:7" ht="25.5" customHeight="1" x14ac:dyDescent="0.25">
      <c r="A4" s="218" t="s">
        <v>48</v>
      </c>
      <c r="B4" s="218"/>
      <c r="C4" s="218"/>
      <c r="D4" s="218"/>
      <c r="E4" s="218"/>
      <c r="F4" s="218"/>
      <c r="G4" s="218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7" t="s">
        <v>13</v>
      </c>
      <c r="B6" s="247" t="s">
        <v>99</v>
      </c>
      <c r="C6" s="247" t="s">
        <v>213</v>
      </c>
      <c r="D6" s="247" t="s">
        <v>101</v>
      </c>
      <c r="E6" s="248" t="s">
        <v>264</v>
      </c>
      <c r="F6" s="260" t="s">
        <v>103</v>
      </c>
      <c r="G6" s="260"/>
    </row>
    <row r="7" spans="1:7" x14ac:dyDescent="0.25">
      <c r="A7" s="247"/>
      <c r="B7" s="247"/>
      <c r="C7" s="247"/>
      <c r="D7" s="247"/>
      <c r="E7" s="249"/>
      <c r="F7" s="2" t="s">
        <v>267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6" t="s">
        <v>297</v>
      </c>
      <c r="C9" s="257"/>
      <c r="D9" s="257"/>
      <c r="E9" s="257"/>
      <c r="F9" s="257"/>
      <c r="G9" s="258"/>
    </row>
    <row r="10" spans="1:7" ht="27" customHeight="1" x14ac:dyDescent="0.25">
      <c r="A10" s="2"/>
      <c r="B10" s="104"/>
      <c r="C10" s="8" t="s">
        <v>298</v>
      </c>
      <c r="D10" s="104"/>
      <c r="E10" s="105"/>
      <c r="F10" s="103"/>
      <c r="G10" s="103">
        <v>0</v>
      </c>
    </row>
    <row r="11" spans="1:7" x14ac:dyDescent="0.25">
      <c r="A11" s="2"/>
      <c r="B11" s="250" t="s">
        <v>299</v>
      </c>
      <c r="C11" s="250"/>
      <c r="D11" s="250"/>
      <c r="E11" s="259"/>
      <c r="F11" s="252"/>
      <c r="G11" s="252"/>
    </row>
    <row r="12" spans="1:7" x14ac:dyDescent="0.25">
      <c r="A12" s="2">
        <v>1</v>
      </c>
      <c r="B12" s="145" t="s">
        <v>277</v>
      </c>
      <c r="C12" s="8" t="s">
        <v>151</v>
      </c>
      <c r="D12" s="195" t="s">
        <v>152</v>
      </c>
      <c r="E12" s="195">
        <v>3</v>
      </c>
      <c r="F12" s="32">
        <f>'Прил.5 Расчет СМР и ОБ'!F39</f>
        <v>348242.81</v>
      </c>
      <c r="G12" s="32">
        <f>'Прил.5 Расчет СМР и ОБ'!G39</f>
        <v>1418918.91</v>
      </c>
    </row>
    <row r="13" spans="1:7" x14ac:dyDescent="0.25">
      <c r="A13" s="2">
        <v>2</v>
      </c>
      <c r="B13" s="145" t="s">
        <v>279</v>
      </c>
      <c r="C13" s="8" t="s">
        <v>153</v>
      </c>
      <c r="D13" s="195" t="s">
        <v>152</v>
      </c>
      <c r="E13" s="195">
        <v>1</v>
      </c>
      <c r="F13" s="32">
        <f>'Прил.5 Расчет СМР и ОБ'!F41</f>
        <v>5872.2</v>
      </c>
      <c r="G13" s="32">
        <f>'Прил.5 Расчет СМР и ОБ'!G41</f>
        <v>5872.3</v>
      </c>
    </row>
    <row r="14" spans="1:7" x14ac:dyDescent="0.25">
      <c r="A14" s="2">
        <v>3</v>
      </c>
      <c r="B14" s="145" t="s">
        <v>280</v>
      </c>
      <c r="C14" s="8" t="s">
        <v>154</v>
      </c>
      <c r="D14" s="195" t="s">
        <v>152</v>
      </c>
      <c r="E14" s="195">
        <v>1</v>
      </c>
      <c r="F14" s="32">
        <f>'Прил.5 Расчет СМР и ОБ'!F42</f>
        <v>3664.05</v>
      </c>
      <c r="G14" s="32">
        <f>'Прил.5 Расчет СМР и ОБ'!G42</f>
        <v>3664.05</v>
      </c>
    </row>
    <row r="15" spans="1:7" ht="25.5" customHeight="1" x14ac:dyDescent="0.25">
      <c r="A15" s="2"/>
      <c r="B15" s="8"/>
      <c r="C15" s="8" t="s">
        <v>300</v>
      </c>
      <c r="D15" s="8"/>
      <c r="E15" s="47"/>
      <c r="F15" s="32"/>
      <c r="G15" s="32">
        <f>SUM(G12:G14)</f>
        <v>1428455.26</v>
      </c>
    </row>
    <row r="16" spans="1:7" ht="19.5" customHeight="1" x14ac:dyDescent="0.25">
      <c r="A16" s="2"/>
      <c r="B16" s="8"/>
      <c r="C16" s="8" t="s">
        <v>301</v>
      </c>
      <c r="D16" s="8"/>
      <c r="E16" s="47"/>
      <c r="F16" s="32"/>
      <c r="G16" s="32">
        <f>G10+G15</f>
        <v>1428455.26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198" t="s">
        <v>76</v>
      </c>
      <c r="C18" s="203"/>
    </row>
    <row r="19" spans="1:7" x14ac:dyDescent="0.25">
      <c r="B19" s="33" t="s">
        <v>77</v>
      </c>
      <c r="C19" s="203"/>
    </row>
    <row r="20" spans="1:7" x14ac:dyDescent="0.25">
      <c r="B20" s="198"/>
      <c r="C20" s="203"/>
    </row>
    <row r="21" spans="1:7" x14ac:dyDescent="0.25">
      <c r="B21" s="198" t="s">
        <v>78</v>
      </c>
      <c r="C21" s="203"/>
    </row>
    <row r="22" spans="1:7" x14ac:dyDescent="0.25">
      <c r="B22" s="33" t="s">
        <v>79</v>
      </c>
      <c r="C22" s="20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302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15" t="s">
        <v>303</v>
      </c>
      <c r="B3" s="215"/>
      <c r="C3" s="215"/>
      <c r="D3" s="215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18" t="s">
        <v>304</v>
      </c>
      <c r="B5" s="218"/>
      <c r="C5" s="218"/>
      <c r="D5" s="197" t="str">
        <f>'Прил.5 Расчет СМР и ОБ'!D6</f>
        <v xml:space="preserve"> ТН (до трех вторичных обмоток) на три фазы без устройства фундамента напряжение 500 кВ</v>
      </c>
    </row>
    <row r="6" spans="1:5" ht="19.899999999999999" customHeight="1" x14ac:dyDescent="0.25">
      <c r="A6" s="218" t="s">
        <v>50</v>
      </c>
      <c r="B6" s="218"/>
      <c r="C6" s="218"/>
      <c r="D6" s="197"/>
    </row>
    <row r="7" spans="1:5" x14ac:dyDescent="0.25">
      <c r="A7" s="198"/>
      <c r="B7" s="198"/>
      <c r="C7" s="198"/>
      <c r="D7" s="198"/>
    </row>
    <row r="8" spans="1:5" ht="14.45" customHeight="1" x14ac:dyDescent="0.25">
      <c r="A8" s="229" t="s">
        <v>5</v>
      </c>
      <c r="B8" s="229" t="s">
        <v>6</v>
      </c>
      <c r="C8" s="229" t="s">
        <v>305</v>
      </c>
      <c r="D8" s="229" t="s">
        <v>306</v>
      </c>
    </row>
    <row r="9" spans="1:5" ht="15" customHeight="1" x14ac:dyDescent="0.25">
      <c r="A9" s="229"/>
      <c r="B9" s="229"/>
      <c r="C9" s="229"/>
      <c r="D9" s="229"/>
    </row>
    <row r="10" spans="1:5" x14ac:dyDescent="0.25">
      <c r="A10" s="199">
        <v>1</v>
      </c>
      <c r="B10" s="199">
        <v>2</v>
      </c>
      <c r="C10" s="199">
        <v>3</v>
      </c>
      <c r="D10" s="199">
        <v>4</v>
      </c>
    </row>
    <row r="11" spans="1:5" ht="41.45" customHeight="1" x14ac:dyDescent="0.25">
      <c r="A11" s="199" t="s">
        <v>307</v>
      </c>
      <c r="B11" s="199" t="s">
        <v>308</v>
      </c>
      <c r="C11" s="210" t="str">
        <f>D5</f>
        <v xml:space="preserve"> ТН (до трех вторичных обмоток) на три фазы без устройства фундамента напряжение 500 кВ</v>
      </c>
      <c r="D11" s="200">
        <f>'Прил.4 РМ'!C41/1000</f>
        <v>8539.7242200000001</v>
      </c>
      <c r="E11" s="142"/>
    </row>
    <row r="12" spans="1:5" x14ac:dyDescent="0.25">
      <c r="A12" s="201"/>
      <c r="B12" s="202"/>
      <c r="C12" s="201"/>
      <c r="D12" s="201"/>
    </row>
    <row r="13" spans="1:5" x14ac:dyDescent="0.25">
      <c r="B13" s="198" t="s">
        <v>76</v>
      </c>
      <c r="C13" s="203"/>
    </row>
    <row r="14" spans="1:5" x14ac:dyDescent="0.25">
      <c r="B14" s="33" t="s">
        <v>77</v>
      </c>
      <c r="C14" s="203"/>
    </row>
    <row r="15" spans="1:5" x14ac:dyDescent="0.25">
      <c r="B15" s="198"/>
      <c r="C15" s="203"/>
    </row>
    <row r="16" spans="1:5" x14ac:dyDescent="0.25">
      <c r="B16" s="198" t="s">
        <v>78</v>
      </c>
      <c r="C16" s="203"/>
    </row>
    <row r="17" spans="2:3" x14ac:dyDescent="0.25">
      <c r="B17" s="33" t="s">
        <v>79</v>
      </c>
      <c r="C17" s="20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6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28515625" customWidth="1"/>
    <col min="4" max="4" width="32" customWidth="1"/>
    <col min="5" max="5" width="9.140625" customWidth="1"/>
  </cols>
  <sheetData>
    <row r="4" spans="2:5" ht="15.75" customHeight="1" x14ac:dyDescent="0.25">
      <c r="B4" s="223" t="s">
        <v>309</v>
      </c>
      <c r="C4" s="223"/>
      <c r="D4" s="223"/>
    </row>
    <row r="5" spans="2:5" ht="18.75" customHeight="1" x14ac:dyDescent="0.25">
      <c r="B5" s="138"/>
    </row>
    <row r="6" spans="2:5" ht="15.75" customHeight="1" x14ac:dyDescent="0.25">
      <c r="B6" s="228" t="s">
        <v>310</v>
      </c>
      <c r="C6" s="228"/>
      <c r="D6" s="228"/>
    </row>
    <row r="7" spans="2:5" x14ac:dyDescent="0.25">
      <c r="B7" s="261" t="s">
        <v>311</v>
      </c>
      <c r="C7" s="261"/>
      <c r="D7" s="261"/>
      <c r="E7" s="261"/>
    </row>
    <row r="8" spans="2:5" x14ac:dyDescent="0.25">
      <c r="B8" s="166"/>
      <c r="C8" s="166"/>
      <c r="D8" s="166"/>
      <c r="E8" s="166"/>
    </row>
    <row r="9" spans="2:5" ht="47.25" customHeight="1" x14ac:dyDescent="0.25">
      <c r="B9" s="118" t="s">
        <v>312</v>
      </c>
      <c r="C9" s="118" t="s">
        <v>313</v>
      </c>
      <c r="D9" s="118" t="s">
        <v>314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315</v>
      </c>
      <c r="C11" s="118" t="s">
        <v>316</v>
      </c>
      <c r="D11" s="118">
        <v>44.29</v>
      </c>
    </row>
    <row r="12" spans="2:5" ht="31.5" customHeight="1" x14ac:dyDescent="0.25">
      <c r="B12" s="118" t="s">
        <v>317</v>
      </c>
      <c r="C12" s="118" t="s">
        <v>316</v>
      </c>
      <c r="D12" s="118">
        <v>13.47</v>
      </c>
    </row>
    <row r="13" spans="2:5" ht="31.5" customHeight="1" x14ac:dyDescent="0.25">
      <c r="B13" s="118" t="s">
        <v>318</v>
      </c>
      <c r="C13" s="118" t="s">
        <v>316</v>
      </c>
      <c r="D13" s="118">
        <v>8.0399999999999991</v>
      </c>
    </row>
    <row r="14" spans="2:5" ht="31.5" customHeight="1" x14ac:dyDescent="0.25">
      <c r="B14" s="118" t="s">
        <v>319</v>
      </c>
      <c r="C14" s="120" t="s">
        <v>320</v>
      </c>
      <c r="D14" s="118">
        <v>6.26</v>
      </c>
    </row>
    <row r="15" spans="2:5" ht="89.25" customHeight="1" x14ac:dyDescent="0.25">
      <c r="B15" s="118" t="s">
        <v>321</v>
      </c>
      <c r="C15" s="118" t="s">
        <v>322</v>
      </c>
      <c r="D15" s="139">
        <v>3.9E-2</v>
      </c>
    </row>
    <row r="16" spans="2:5" ht="78.75" customHeight="1" x14ac:dyDescent="0.25">
      <c r="B16" s="118" t="s">
        <v>323</v>
      </c>
      <c r="C16" s="118" t="s">
        <v>324</v>
      </c>
      <c r="D16" s="139">
        <v>2.1000000000000001E-2</v>
      </c>
    </row>
    <row r="17" spans="2:4" ht="15.75" customHeight="1" x14ac:dyDescent="0.25">
      <c r="B17" s="118" t="s">
        <v>325</v>
      </c>
      <c r="C17" s="118"/>
      <c r="D17" s="118" t="s">
        <v>326</v>
      </c>
    </row>
    <row r="18" spans="2:4" ht="31.5" customHeight="1" x14ac:dyDescent="0.25">
      <c r="B18" s="118" t="s">
        <v>237</v>
      </c>
      <c r="C18" s="118" t="s">
        <v>327</v>
      </c>
      <c r="D18" s="139">
        <v>2.1399999999999999E-2</v>
      </c>
    </row>
    <row r="19" spans="2:4" ht="31.5" customHeight="1" x14ac:dyDescent="0.25">
      <c r="B19" s="118" t="s">
        <v>258</v>
      </c>
      <c r="C19" s="118" t="s">
        <v>328</v>
      </c>
      <c r="D19" s="139">
        <v>2E-3</v>
      </c>
    </row>
    <row r="20" spans="2:4" ht="24" customHeight="1" x14ac:dyDescent="0.25">
      <c r="B20" s="118" t="s">
        <v>240</v>
      </c>
      <c r="C20" s="118" t="s">
        <v>329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198" t="s">
        <v>76</v>
      </c>
      <c r="C27" s="203"/>
    </row>
    <row r="28" spans="2:4" x14ac:dyDescent="0.25">
      <c r="B28" s="33" t="s">
        <v>77</v>
      </c>
      <c r="C28" s="203"/>
    </row>
    <row r="29" spans="2:4" x14ac:dyDescent="0.25">
      <c r="B29" s="198"/>
      <c r="C29" s="203"/>
    </row>
    <row r="30" spans="2:4" x14ac:dyDescent="0.25">
      <c r="B30" s="198" t="s">
        <v>78</v>
      </c>
      <c r="C30" s="203"/>
    </row>
    <row r="31" spans="2:4" x14ac:dyDescent="0.25">
      <c r="B31" s="33" t="s">
        <v>79</v>
      </c>
      <c r="C31" s="203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5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8" t="s">
        <v>330</v>
      </c>
      <c r="B2" s="228"/>
      <c r="C2" s="228"/>
      <c r="D2" s="228"/>
      <c r="E2" s="228"/>
      <c r="F2" s="228"/>
    </row>
    <row r="4" spans="1:7" ht="18" customHeight="1" x14ac:dyDescent="0.25">
      <c r="A4" s="125" t="s">
        <v>331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332</v>
      </c>
      <c r="C5" s="127" t="s">
        <v>333</v>
      </c>
      <c r="D5" s="127" t="s">
        <v>334</v>
      </c>
      <c r="E5" s="127" t="s">
        <v>335</v>
      </c>
      <c r="F5" s="127" t="s">
        <v>336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337</v>
      </c>
      <c r="B7" s="129" t="s">
        <v>338</v>
      </c>
      <c r="C7" s="194" t="s">
        <v>339</v>
      </c>
      <c r="D7" s="194" t="s">
        <v>340</v>
      </c>
      <c r="E7" s="130">
        <v>47872.94</v>
      </c>
      <c r="F7" s="129" t="s">
        <v>341</v>
      </c>
      <c r="G7" s="126"/>
    </row>
    <row r="8" spans="1:7" ht="31.5" customHeight="1" x14ac:dyDescent="0.25">
      <c r="A8" s="128" t="s">
        <v>342</v>
      </c>
      <c r="B8" s="129" t="s">
        <v>343</v>
      </c>
      <c r="C8" s="194" t="s">
        <v>344</v>
      </c>
      <c r="D8" s="194" t="s">
        <v>345</v>
      </c>
      <c r="E8" s="130">
        <f>1973/12</f>
        <v>164.41666666667001</v>
      </c>
      <c r="F8" s="129" t="s">
        <v>346</v>
      </c>
      <c r="G8" s="131"/>
    </row>
    <row r="9" spans="1:7" ht="15.75" customHeight="1" x14ac:dyDescent="0.25">
      <c r="A9" s="128" t="s">
        <v>347</v>
      </c>
      <c r="B9" s="129" t="s">
        <v>348</v>
      </c>
      <c r="C9" s="194" t="s">
        <v>349</v>
      </c>
      <c r="D9" s="194" t="s">
        <v>340</v>
      </c>
      <c r="E9" s="130">
        <v>1</v>
      </c>
      <c r="F9" s="129"/>
      <c r="G9" s="131"/>
    </row>
    <row r="10" spans="1:7" ht="15.75" customHeight="1" x14ac:dyDescent="0.25">
      <c r="A10" s="128" t="s">
        <v>350</v>
      </c>
      <c r="B10" s="129" t="s">
        <v>351</v>
      </c>
      <c r="C10" s="194"/>
      <c r="D10" s="194"/>
      <c r="E10" s="132">
        <v>4</v>
      </c>
      <c r="F10" s="129" t="s">
        <v>352</v>
      </c>
      <c r="G10" s="131"/>
    </row>
    <row r="11" spans="1:7" ht="78.75" customHeight="1" x14ac:dyDescent="0.25">
      <c r="A11" s="128" t="s">
        <v>353</v>
      </c>
      <c r="B11" s="129" t="s">
        <v>354</v>
      </c>
      <c r="C11" s="194" t="s">
        <v>355</v>
      </c>
      <c r="D11" s="194" t="s">
        <v>340</v>
      </c>
      <c r="E11" s="133">
        <v>1.34</v>
      </c>
      <c r="F11" s="129" t="s">
        <v>356</v>
      </c>
      <c r="G11" s="126"/>
    </row>
    <row r="12" spans="1:7" ht="78.75" customHeight="1" x14ac:dyDescent="0.25">
      <c r="A12" s="128" t="s">
        <v>357</v>
      </c>
      <c r="B12" s="119" t="s">
        <v>358</v>
      </c>
      <c r="C12" s="194" t="s">
        <v>359</v>
      </c>
      <c r="D12" s="194" t="s">
        <v>340</v>
      </c>
      <c r="E12" s="134">
        <v>1.139</v>
      </c>
      <c r="F12" s="135" t="s">
        <v>360</v>
      </c>
      <c r="G12" s="131" t="s">
        <v>361</v>
      </c>
    </row>
    <row r="13" spans="1:7" ht="63" customHeight="1" x14ac:dyDescent="0.25">
      <c r="A13" s="128" t="s">
        <v>362</v>
      </c>
      <c r="B13" s="136" t="s">
        <v>363</v>
      </c>
      <c r="C13" s="194" t="s">
        <v>364</v>
      </c>
      <c r="D13" s="194" t="s">
        <v>365</v>
      </c>
      <c r="E13" s="137">
        <f>((E7*E9/E8)*E11)*E12</f>
        <v>444.39870291576</v>
      </c>
      <c r="F13" s="129" t="s">
        <v>366</v>
      </c>
      <c r="G13" s="126"/>
    </row>
    <row r="14" spans="1:7" ht="15.75" customHeight="1" x14ac:dyDescent="0.25">
      <c r="A14" s="126"/>
      <c r="B14" s="122" t="s">
        <v>109</v>
      </c>
      <c r="C14" s="126"/>
      <c r="D14" s="126"/>
      <c r="E14" s="126"/>
      <c r="F14" s="126"/>
    </row>
    <row r="15" spans="1:7" ht="110.25" customHeight="1" x14ac:dyDescent="0.25">
      <c r="A15" s="128" t="s">
        <v>337</v>
      </c>
      <c r="B15" s="129" t="s">
        <v>338</v>
      </c>
      <c r="C15" s="194" t="s">
        <v>339</v>
      </c>
      <c r="D15" s="194" t="s">
        <v>340</v>
      </c>
      <c r="E15" s="130">
        <v>47872.94</v>
      </c>
      <c r="F15" s="129" t="s">
        <v>341</v>
      </c>
    </row>
    <row r="16" spans="1:7" ht="31.5" customHeight="1" x14ac:dyDescent="0.25">
      <c r="A16" s="128" t="s">
        <v>342</v>
      </c>
      <c r="B16" s="129" t="s">
        <v>343</v>
      </c>
      <c r="C16" s="194" t="s">
        <v>344</v>
      </c>
      <c r="D16" s="194" t="s">
        <v>345</v>
      </c>
      <c r="E16" s="130">
        <f>1973/12</f>
        <v>164.41666666667001</v>
      </c>
      <c r="F16" s="129" t="s">
        <v>346</v>
      </c>
    </row>
    <row r="17" spans="1:6" ht="15.75" customHeight="1" x14ac:dyDescent="0.25">
      <c r="A17" s="128" t="s">
        <v>347</v>
      </c>
      <c r="B17" s="129" t="s">
        <v>348</v>
      </c>
      <c r="C17" s="194" t="s">
        <v>349</v>
      </c>
      <c r="D17" s="194" t="s">
        <v>340</v>
      </c>
      <c r="E17" s="130">
        <v>1</v>
      </c>
      <c r="F17" s="129"/>
    </row>
    <row r="18" spans="1:6" ht="15.75" customHeight="1" x14ac:dyDescent="0.25">
      <c r="A18" s="128" t="s">
        <v>350</v>
      </c>
      <c r="B18" s="129" t="s">
        <v>351</v>
      </c>
      <c r="C18" s="194"/>
      <c r="D18" s="194"/>
      <c r="E18" s="132">
        <v>1</v>
      </c>
      <c r="F18" s="129" t="s">
        <v>352</v>
      </c>
    </row>
    <row r="19" spans="1:6" ht="78.75" customHeight="1" x14ac:dyDescent="0.25">
      <c r="A19" s="128" t="s">
        <v>353</v>
      </c>
      <c r="B19" s="129" t="s">
        <v>354</v>
      </c>
      <c r="C19" s="194" t="s">
        <v>355</v>
      </c>
      <c r="D19" s="194" t="s">
        <v>340</v>
      </c>
      <c r="E19" s="133">
        <v>2.15</v>
      </c>
      <c r="F19" s="129" t="s">
        <v>367</v>
      </c>
    </row>
    <row r="20" spans="1:6" ht="78.75" customHeight="1" x14ac:dyDescent="0.25">
      <c r="A20" s="128" t="s">
        <v>357</v>
      </c>
      <c r="B20" s="119" t="s">
        <v>358</v>
      </c>
      <c r="C20" s="194" t="s">
        <v>359</v>
      </c>
      <c r="D20" s="194" t="s">
        <v>340</v>
      </c>
      <c r="E20" s="134">
        <v>1.139</v>
      </c>
      <c r="F20" s="135" t="s">
        <v>360</v>
      </c>
    </row>
    <row r="21" spans="1:6" ht="63" customHeight="1" x14ac:dyDescent="0.25">
      <c r="A21" s="128" t="s">
        <v>362</v>
      </c>
      <c r="B21" s="136" t="s">
        <v>368</v>
      </c>
      <c r="C21" s="194" t="s">
        <v>364</v>
      </c>
      <c r="D21" s="194" t="s">
        <v>365</v>
      </c>
      <c r="E21" s="137">
        <f>((E15*E17/E16)*E19)*E20</f>
        <v>713.02776960364997</v>
      </c>
      <c r="F21" s="129" t="s">
        <v>366</v>
      </c>
    </row>
    <row r="22" spans="1:6" ht="15.75" customHeight="1" x14ac:dyDescent="0.25">
      <c r="A22" s="126"/>
      <c r="B22" s="122" t="s">
        <v>112</v>
      </c>
      <c r="C22" s="126"/>
      <c r="D22" s="126"/>
      <c r="E22" s="126"/>
      <c r="F22" s="126"/>
    </row>
    <row r="23" spans="1:6" ht="110.25" customHeight="1" x14ac:dyDescent="0.25">
      <c r="A23" s="128" t="s">
        <v>337</v>
      </c>
      <c r="B23" s="129" t="s">
        <v>338</v>
      </c>
      <c r="C23" s="194" t="s">
        <v>339</v>
      </c>
      <c r="D23" s="194" t="s">
        <v>340</v>
      </c>
      <c r="E23" s="130">
        <v>47872.94</v>
      </c>
      <c r="F23" s="129" t="s">
        <v>341</v>
      </c>
    </row>
    <row r="24" spans="1:6" ht="31.5" customHeight="1" x14ac:dyDescent="0.25">
      <c r="A24" s="128" t="s">
        <v>342</v>
      </c>
      <c r="B24" s="129" t="s">
        <v>343</v>
      </c>
      <c r="C24" s="194" t="s">
        <v>344</v>
      </c>
      <c r="D24" s="194" t="s">
        <v>345</v>
      </c>
      <c r="E24" s="130">
        <f>1973/12</f>
        <v>164.41666666667001</v>
      </c>
      <c r="F24" s="129" t="s">
        <v>346</v>
      </c>
    </row>
    <row r="25" spans="1:6" ht="15.75" customHeight="1" x14ac:dyDescent="0.25">
      <c r="A25" s="128" t="s">
        <v>347</v>
      </c>
      <c r="B25" s="129" t="s">
        <v>348</v>
      </c>
      <c r="C25" s="194" t="s">
        <v>349</v>
      </c>
      <c r="D25" s="194" t="s">
        <v>340</v>
      </c>
      <c r="E25" s="130">
        <v>1</v>
      </c>
      <c r="F25" s="129"/>
    </row>
    <row r="26" spans="1:6" ht="15.75" customHeight="1" x14ac:dyDescent="0.25">
      <c r="A26" s="128" t="s">
        <v>350</v>
      </c>
      <c r="B26" s="129" t="s">
        <v>351</v>
      </c>
      <c r="C26" s="194"/>
      <c r="D26" s="194"/>
      <c r="E26" s="132">
        <v>1</v>
      </c>
      <c r="F26" s="129" t="s">
        <v>352</v>
      </c>
    </row>
    <row r="27" spans="1:6" ht="78.75" customHeight="1" x14ac:dyDescent="0.25">
      <c r="A27" s="128" t="s">
        <v>353</v>
      </c>
      <c r="B27" s="129" t="s">
        <v>354</v>
      </c>
      <c r="C27" s="194" t="s">
        <v>355</v>
      </c>
      <c r="D27" s="194" t="s">
        <v>340</v>
      </c>
      <c r="E27" s="133">
        <v>1.96</v>
      </c>
      <c r="F27" s="129" t="s">
        <v>367</v>
      </c>
    </row>
    <row r="28" spans="1:6" ht="78.75" customHeight="1" x14ac:dyDescent="0.25">
      <c r="A28" s="128" t="s">
        <v>357</v>
      </c>
      <c r="B28" s="119" t="s">
        <v>358</v>
      </c>
      <c r="C28" s="194" t="s">
        <v>359</v>
      </c>
      <c r="D28" s="194" t="s">
        <v>340</v>
      </c>
      <c r="E28" s="134">
        <v>1.139</v>
      </c>
      <c r="F28" s="135" t="s">
        <v>360</v>
      </c>
    </row>
    <row r="29" spans="1:6" ht="63" customHeight="1" x14ac:dyDescent="0.25">
      <c r="A29" s="128" t="s">
        <v>362</v>
      </c>
      <c r="B29" s="136" t="s">
        <v>368</v>
      </c>
      <c r="C29" s="194" t="s">
        <v>364</v>
      </c>
      <c r="D29" s="194" t="s">
        <v>365</v>
      </c>
      <c r="E29" s="137">
        <f>((E23*E25/E24)*E27)*E28</f>
        <v>650.01601322007002</v>
      </c>
      <c r="F29" s="129" t="s">
        <v>366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62" t="s">
        <v>369</v>
      </c>
      <c r="B1" s="262"/>
      <c r="C1" s="262"/>
      <c r="D1" s="262"/>
      <c r="E1" s="262"/>
      <c r="F1" s="262"/>
      <c r="G1" s="262"/>
      <c r="H1" s="262"/>
      <c r="I1" s="262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18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500 кВ</v>
      </c>
      <c r="B3" s="218"/>
      <c r="C3" s="218"/>
      <c r="D3" s="218"/>
      <c r="E3" s="218"/>
      <c r="F3" s="218"/>
      <c r="G3" s="218"/>
      <c r="H3" s="218"/>
      <c r="I3" s="218"/>
    </row>
    <row r="4" spans="1:13" s="4" customFormat="1" ht="15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</row>
    <row r="5" spans="1:13" s="36" customFormat="1" ht="36.6" customHeight="1" x14ac:dyDescent="0.35">
      <c r="A5" s="263" t="s">
        <v>13</v>
      </c>
      <c r="B5" s="263" t="s">
        <v>370</v>
      </c>
      <c r="C5" s="263" t="s">
        <v>371</v>
      </c>
      <c r="D5" s="263" t="s">
        <v>372</v>
      </c>
      <c r="E5" s="260" t="s">
        <v>373</v>
      </c>
      <c r="F5" s="260"/>
      <c r="G5" s="260"/>
      <c r="H5" s="260"/>
      <c r="I5" s="260"/>
    </row>
    <row r="6" spans="1:13" s="30" customFormat="1" ht="31.5" customHeight="1" x14ac:dyDescent="0.2">
      <c r="A6" s="263"/>
      <c r="B6" s="263"/>
      <c r="C6" s="263"/>
      <c r="D6" s="263"/>
      <c r="E6" s="37" t="s">
        <v>87</v>
      </c>
      <c r="F6" s="37" t="s">
        <v>88</v>
      </c>
      <c r="G6" s="37" t="s">
        <v>43</v>
      </c>
      <c r="H6" s="37" t="s">
        <v>374</v>
      </c>
      <c r="I6" s="37" t="s">
        <v>375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232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376</v>
      </c>
      <c r="C9" s="8" t="s">
        <v>377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378</v>
      </c>
      <c r="C11" s="8" t="s">
        <v>323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379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380</v>
      </c>
      <c r="C12" s="8" t="s">
        <v>381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382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327</v>
      </c>
      <c r="C14" s="8" t="s">
        <v>383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384</v>
      </c>
      <c r="C16" s="8" t="s">
        <v>385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386</v>
      </c>
    </row>
    <row r="17" spans="1:10" s="30" customFormat="1" ht="81.75" customHeight="1" x14ac:dyDescent="0.2">
      <c r="A17" s="38">
        <v>7</v>
      </c>
      <c r="B17" s="8" t="s">
        <v>384</v>
      </c>
      <c r="C17" s="8" t="s">
        <v>387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388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389</v>
      </c>
      <c r="C20" s="8" t="s">
        <v>240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390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243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244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245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246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8" t="s">
        <v>391</v>
      </c>
      <c r="O2" s="268"/>
    </row>
    <row r="3" spans="1:16" x14ac:dyDescent="0.25">
      <c r="A3" s="269" t="s">
        <v>392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5" spans="1:16" ht="37.5" customHeight="1" x14ac:dyDescent="0.25">
      <c r="A5" s="270" t="s">
        <v>393</v>
      </c>
      <c r="B5" s="273" t="s">
        <v>394</v>
      </c>
      <c r="C5" s="276" t="s">
        <v>395</v>
      </c>
      <c r="D5" s="279" t="s">
        <v>396</v>
      </c>
      <c r="E5" s="280"/>
      <c r="F5" s="280"/>
      <c r="G5" s="280"/>
      <c r="H5" s="280"/>
      <c r="I5" s="279" t="s">
        <v>397</v>
      </c>
      <c r="J5" s="280"/>
      <c r="K5" s="280"/>
      <c r="L5" s="280"/>
      <c r="M5" s="280"/>
      <c r="N5" s="280"/>
      <c r="O5" s="54" t="s">
        <v>398</v>
      </c>
    </row>
    <row r="6" spans="1:16" s="57" customFormat="1" ht="150" customHeight="1" x14ac:dyDescent="0.25">
      <c r="A6" s="271"/>
      <c r="B6" s="274"/>
      <c r="C6" s="277"/>
      <c r="D6" s="276" t="s">
        <v>399</v>
      </c>
      <c r="E6" s="281" t="s">
        <v>400</v>
      </c>
      <c r="F6" s="282"/>
      <c r="G6" s="283"/>
      <c r="H6" s="55" t="s">
        <v>401</v>
      </c>
      <c r="I6" s="284" t="s">
        <v>402</v>
      </c>
      <c r="J6" s="284" t="s">
        <v>399</v>
      </c>
      <c r="K6" s="285" t="s">
        <v>400</v>
      </c>
      <c r="L6" s="285"/>
      <c r="M6" s="285"/>
      <c r="N6" s="55" t="s">
        <v>401</v>
      </c>
      <c r="O6" s="56" t="s">
        <v>403</v>
      </c>
    </row>
    <row r="7" spans="1:16" s="57" customFormat="1" ht="30.75" customHeight="1" x14ac:dyDescent="0.25">
      <c r="A7" s="272"/>
      <c r="B7" s="275"/>
      <c r="C7" s="278"/>
      <c r="D7" s="278"/>
      <c r="E7" s="54" t="s">
        <v>87</v>
      </c>
      <c r="F7" s="54" t="s">
        <v>88</v>
      </c>
      <c r="G7" s="54" t="s">
        <v>43</v>
      </c>
      <c r="H7" s="58" t="s">
        <v>404</v>
      </c>
      <c r="I7" s="284"/>
      <c r="J7" s="284"/>
      <c r="K7" s="54" t="s">
        <v>87</v>
      </c>
      <c r="L7" s="54" t="s">
        <v>88</v>
      </c>
      <c r="M7" s="54" t="s">
        <v>43</v>
      </c>
      <c r="N7" s="58" t="s">
        <v>404</v>
      </c>
      <c r="O7" s="54" t="s">
        <v>405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70" t="s">
        <v>406</v>
      </c>
      <c r="C9" s="60" t="s">
        <v>407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72"/>
      <c r="C10" s="63" t="s">
        <v>408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70" t="s">
        <v>409</v>
      </c>
      <c r="C11" s="63" t="s">
        <v>410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72"/>
      <c r="C12" s="63" t="s">
        <v>411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70" t="s">
        <v>412</v>
      </c>
      <c r="C13" s="60" t="s">
        <v>413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72"/>
      <c r="C14" s="63" t="s">
        <v>414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415</v>
      </c>
      <c r="C15" s="63" t="s">
        <v>416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417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418</v>
      </c>
    </row>
    <row r="19" spans="1:15" ht="30.75" customHeight="1" x14ac:dyDescent="0.25">
      <c r="L19" s="75"/>
    </row>
    <row r="20" spans="1:15" ht="15" customHeight="1" outlineLevel="1" x14ac:dyDescent="0.25">
      <c r="G20" s="267" t="s">
        <v>419</v>
      </c>
      <c r="H20" s="267"/>
      <c r="I20" s="267"/>
      <c r="J20" s="267"/>
      <c r="K20" s="267"/>
      <c r="L20" s="267"/>
      <c r="M20" s="267"/>
      <c r="N20" s="267"/>
    </row>
    <row r="21" spans="1:15" ht="15.75" customHeight="1" outlineLevel="1" x14ac:dyDescent="0.25">
      <c r="G21" s="76"/>
      <c r="H21" s="76" t="s">
        <v>420</v>
      </c>
      <c r="I21" s="76" t="s">
        <v>421</v>
      </c>
      <c r="J21" s="76" t="s">
        <v>422</v>
      </c>
      <c r="K21" s="77" t="s">
        <v>423</v>
      </c>
      <c r="L21" s="76" t="s">
        <v>424</v>
      </c>
      <c r="M21" s="76" t="s">
        <v>425</v>
      </c>
      <c r="N21" s="76" t="s">
        <v>426</v>
      </c>
      <c r="O21" s="70"/>
    </row>
    <row r="22" spans="1:15" ht="15.75" customHeight="1" outlineLevel="1" x14ac:dyDescent="0.25">
      <c r="G22" s="265" t="s">
        <v>427</v>
      </c>
      <c r="H22" s="264">
        <v>6.09</v>
      </c>
      <c r="I22" s="266">
        <v>6.44</v>
      </c>
      <c r="J22" s="264">
        <v>5.77</v>
      </c>
      <c r="K22" s="266">
        <v>5.77</v>
      </c>
      <c r="L22" s="264">
        <v>5.23</v>
      </c>
      <c r="M22" s="264">
        <v>5.77</v>
      </c>
      <c r="N22" s="78">
        <v>6.29</v>
      </c>
      <c r="O22" t="s">
        <v>428</v>
      </c>
    </row>
    <row r="23" spans="1:15" ht="15.75" customHeight="1" outlineLevel="1" x14ac:dyDescent="0.25">
      <c r="G23" s="265"/>
      <c r="H23" s="264"/>
      <c r="I23" s="266"/>
      <c r="J23" s="264"/>
      <c r="K23" s="266"/>
      <c r="L23" s="264"/>
      <c r="M23" s="264"/>
      <c r="N23" s="78">
        <v>6.56</v>
      </c>
      <c r="O23" t="s">
        <v>429</v>
      </c>
    </row>
    <row r="24" spans="1:15" ht="15.75" customHeight="1" outlineLevel="1" x14ac:dyDescent="0.25">
      <c r="G24" s="79" t="s">
        <v>430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404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431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432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374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86" t="s">
        <v>433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</row>
    <row r="4" spans="1:18" ht="36.75" customHeight="1" x14ac:dyDescent="0.25">
      <c r="A4" s="270" t="s">
        <v>393</v>
      </c>
      <c r="B4" s="273" t="s">
        <v>394</v>
      </c>
      <c r="C4" s="276" t="s">
        <v>434</v>
      </c>
      <c r="D4" s="276" t="s">
        <v>435</v>
      </c>
      <c r="E4" s="279" t="s">
        <v>436</v>
      </c>
      <c r="F4" s="280"/>
      <c r="G4" s="280"/>
      <c r="H4" s="280"/>
      <c r="I4" s="280"/>
      <c r="J4" s="280"/>
      <c r="K4" s="280"/>
      <c r="L4" s="280"/>
      <c r="M4" s="280"/>
      <c r="N4" s="287" t="s">
        <v>437</v>
      </c>
      <c r="O4" s="288"/>
      <c r="P4" s="288"/>
      <c r="Q4" s="288"/>
      <c r="R4" s="289"/>
    </row>
    <row r="5" spans="1:18" ht="60" customHeight="1" x14ac:dyDescent="0.25">
      <c r="A5" s="271"/>
      <c r="B5" s="274"/>
      <c r="C5" s="277"/>
      <c r="D5" s="277"/>
      <c r="E5" s="284" t="s">
        <v>438</v>
      </c>
      <c r="F5" s="284" t="s">
        <v>439</v>
      </c>
      <c r="G5" s="281" t="s">
        <v>400</v>
      </c>
      <c r="H5" s="282"/>
      <c r="I5" s="282"/>
      <c r="J5" s="283"/>
      <c r="K5" s="284" t="s">
        <v>440</v>
      </c>
      <c r="L5" s="284"/>
      <c r="M5" s="284"/>
      <c r="N5" s="81" t="s">
        <v>441</v>
      </c>
      <c r="O5" s="81" t="s">
        <v>442</v>
      </c>
      <c r="P5" s="81" t="s">
        <v>443</v>
      </c>
      <c r="Q5" s="82" t="s">
        <v>444</v>
      </c>
      <c r="R5" s="81" t="s">
        <v>445</v>
      </c>
    </row>
    <row r="6" spans="1:18" ht="49.5" customHeight="1" x14ac:dyDescent="0.25">
      <c r="A6" s="272"/>
      <c r="B6" s="275"/>
      <c r="C6" s="278"/>
      <c r="D6" s="278"/>
      <c r="E6" s="284"/>
      <c r="F6" s="284"/>
      <c r="G6" s="54" t="s">
        <v>87</v>
      </c>
      <c r="H6" s="54" t="s">
        <v>88</v>
      </c>
      <c r="I6" s="54" t="s">
        <v>43</v>
      </c>
      <c r="J6" s="54" t="s">
        <v>374</v>
      </c>
      <c r="K6" s="54" t="s">
        <v>441</v>
      </c>
      <c r="L6" s="54" t="s">
        <v>442</v>
      </c>
      <c r="M6" s="54" t="s">
        <v>443</v>
      </c>
      <c r="N6" s="54" t="s">
        <v>446</v>
      </c>
      <c r="O6" s="54" t="s">
        <v>447</v>
      </c>
      <c r="P6" s="54" t="s">
        <v>448</v>
      </c>
      <c r="Q6" s="55" t="s">
        <v>449</v>
      </c>
      <c r="R6" s="54" t="s">
        <v>450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70">
        <v>1</v>
      </c>
      <c r="B9" s="270" t="s">
        <v>451</v>
      </c>
      <c r="C9" s="290" t="s">
        <v>407</v>
      </c>
      <c r="D9" s="60" t="s">
        <v>452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72"/>
      <c r="B10" s="271"/>
      <c r="C10" s="291"/>
      <c r="D10" s="60" t="s">
        <v>453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70">
        <v>2</v>
      </c>
      <c r="B11" s="271"/>
      <c r="C11" s="290" t="s">
        <v>454</v>
      </c>
      <c r="D11" s="60" t="s">
        <v>452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72"/>
      <c r="B12" s="272"/>
      <c r="C12" s="291"/>
      <c r="D12" s="60" t="s">
        <v>453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70">
        <v>3</v>
      </c>
      <c r="B13" s="270" t="s">
        <v>409</v>
      </c>
      <c r="C13" s="292" t="s">
        <v>410</v>
      </c>
      <c r="D13" s="60" t="s">
        <v>455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72"/>
      <c r="B14" s="271"/>
      <c r="C14" s="293"/>
      <c r="D14" s="60" t="s">
        <v>453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70">
        <v>4</v>
      </c>
      <c r="B15" s="271"/>
      <c r="C15" s="294" t="s">
        <v>411</v>
      </c>
      <c r="D15" s="63" t="s">
        <v>455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72"/>
      <c r="B16" s="272"/>
      <c r="C16" s="295"/>
      <c r="D16" s="63" t="s">
        <v>453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70">
        <v>5</v>
      </c>
      <c r="B17" s="285" t="s">
        <v>412</v>
      </c>
      <c r="C17" s="290" t="s">
        <v>456</v>
      </c>
      <c r="D17" s="60" t="s">
        <v>457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72"/>
      <c r="B18" s="285"/>
      <c r="C18" s="291"/>
      <c r="D18" s="60" t="s">
        <v>453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70">
        <v>6</v>
      </c>
      <c r="B19" s="285"/>
      <c r="C19" s="290" t="s">
        <v>414</v>
      </c>
      <c r="D19" s="63" t="s">
        <v>455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72"/>
      <c r="B20" s="285"/>
      <c r="C20" s="291"/>
      <c r="D20" s="63" t="s">
        <v>453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70">
        <v>7</v>
      </c>
      <c r="B21" s="270" t="s">
        <v>415</v>
      </c>
      <c r="C21" s="290" t="s">
        <v>416</v>
      </c>
      <c r="D21" s="63" t="s">
        <v>458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72"/>
      <c r="B22" s="272"/>
      <c r="C22" s="291"/>
      <c r="D22" s="86" t="s">
        <v>453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459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296" t="s">
        <v>460</v>
      </c>
      <c r="E26" s="296"/>
      <c r="F26" s="296"/>
      <c r="G26" s="296"/>
      <c r="H26" s="296"/>
      <c r="I26" s="296"/>
      <c r="J26" s="296"/>
      <c r="K26" s="296"/>
      <c r="L26" s="75"/>
      <c r="R26" s="93"/>
    </row>
    <row r="27" spans="1:18" outlineLevel="1" x14ac:dyDescent="0.25">
      <c r="D27" s="94"/>
      <c r="E27" s="94" t="s">
        <v>420</v>
      </c>
      <c r="F27" s="94" t="s">
        <v>421</v>
      </c>
      <c r="G27" s="94" t="s">
        <v>422</v>
      </c>
      <c r="H27" s="95" t="s">
        <v>423</v>
      </c>
      <c r="I27" s="95" t="s">
        <v>424</v>
      </c>
      <c r="J27" s="95" t="s">
        <v>425</v>
      </c>
      <c r="K27" s="66" t="s">
        <v>426</v>
      </c>
    </row>
    <row r="28" spans="1:18" outlineLevel="1" x14ac:dyDescent="0.25">
      <c r="D28" s="297" t="s">
        <v>427</v>
      </c>
      <c r="E28" s="299">
        <v>6.09</v>
      </c>
      <c r="F28" s="301">
        <v>6.63</v>
      </c>
      <c r="G28" s="299">
        <v>5.77</v>
      </c>
      <c r="H28" s="303">
        <v>5.77</v>
      </c>
      <c r="I28" s="303">
        <v>6.35</v>
      </c>
      <c r="J28" s="299">
        <v>5.77</v>
      </c>
      <c r="K28" s="96">
        <v>6.29</v>
      </c>
      <c r="L28" t="s">
        <v>428</v>
      </c>
    </row>
    <row r="29" spans="1:18" outlineLevel="1" x14ac:dyDescent="0.25">
      <c r="D29" s="298"/>
      <c r="E29" s="300"/>
      <c r="F29" s="302"/>
      <c r="G29" s="300"/>
      <c r="H29" s="304"/>
      <c r="I29" s="304"/>
      <c r="J29" s="300"/>
      <c r="K29" s="96">
        <v>6.56</v>
      </c>
      <c r="L29" t="s">
        <v>429</v>
      </c>
    </row>
    <row r="30" spans="1:18" outlineLevel="1" x14ac:dyDescent="0.25">
      <c r="D30" s="97" t="s">
        <v>430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297" t="s">
        <v>404</v>
      </c>
      <c r="E31" s="299">
        <v>11.37</v>
      </c>
      <c r="F31" s="301">
        <v>13.56</v>
      </c>
      <c r="G31" s="299">
        <v>15.91</v>
      </c>
      <c r="H31" s="303">
        <v>15.91</v>
      </c>
      <c r="I31" s="303">
        <v>14.03</v>
      </c>
      <c r="J31" s="299">
        <v>15.91</v>
      </c>
      <c r="K31" s="96">
        <v>8.2899999999999991</v>
      </c>
      <c r="L31" t="s">
        <v>428</v>
      </c>
    </row>
    <row r="32" spans="1:18" outlineLevel="1" x14ac:dyDescent="0.25">
      <c r="D32" s="298"/>
      <c r="E32" s="300"/>
      <c r="F32" s="302"/>
      <c r="G32" s="300"/>
      <c r="H32" s="304"/>
      <c r="I32" s="304"/>
      <c r="J32" s="300"/>
      <c r="K32" s="96">
        <v>11.84</v>
      </c>
      <c r="L32" t="s">
        <v>429</v>
      </c>
    </row>
    <row r="33" spans="4:12" ht="15" customHeight="1" outlineLevel="1" x14ac:dyDescent="0.25">
      <c r="D33" s="98" t="s">
        <v>431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461</v>
      </c>
    </row>
    <row r="34" spans="4:12" outlineLevel="1" x14ac:dyDescent="0.25">
      <c r="D34" s="98" t="s">
        <v>432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461</v>
      </c>
    </row>
    <row r="35" spans="4:12" outlineLevel="1" x14ac:dyDescent="0.25">
      <c r="D35" s="97" t="s">
        <v>374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5" t="s">
        <v>10</v>
      </c>
      <c r="B2" s="215"/>
      <c r="C2" s="215"/>
      <c r="D2" s="21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8"/>
    </row>
    <row r="5" spans="1:4" x14ac:dyDescent="0.25">
      <c r="A5" s="5"/>
      <c r="B5" s="1"/>
      <c r="C5" s="1"/>
    </row>
    <row r="6" spans="1:4" x14ac:dyDescent="0.25">
      <c r="A6" s="215" t="s">
        <v>12</v>
      </c>
      <c r="B6" s="215"/>
      <c r="C6" s="215"/>
      <c r="D6" s="21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1533.1085424985999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1428.45526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1533.1085424985999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9" t="s">
        <v>5</v>
      </c>
      <c r="B15" s="220" t="s">
        <v>15</v>
      </c>
      <c r="C15" s="220"/>
      <c r="D15" s="220"/>
    </row>
    <row r="16" spans="1:4" x14ac:dyDescent="0.25">
      <c r="A16" s="219"/>
      <c r="B16" s="219" t="s">
        <v>17</v>
      </c>
      <c r="C16" s="220" t="s">
        <v>28</v>
      </c>
      <c r="D16" s="220"/>
    </row>
    <row r="17" spans="1:4" ht="39" customHeight="1" x14ac:dyDescent="0.25">
      <c r="A17" s="219"/>
      <c r="B17" s="21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1533.1085424985999</v>
      </c>
      <c r="C18" s="3">
        <f>C11</f>
        <v>0</v>
      </c>
      <c r="D18" s="3">
        <f>C12</f>
        <v>1428.45526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1" t="s">
        <v>29</v>
      </c>
      <c r="B2" s="221"/>
      <c r="C2" s="221"/>
      <c r="D2" s="221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1" zoomScale="70" zoomScaleNormal="70" workbookViewId="0">
      <selection activeCell="D35" sqref="D35"/>
    </sheetView>
  </sheetViews>
  <sheetFormatPr defaultRowHeight="15" x14ac:dyDescent="0.25"/>
  <cols>
    <col min="3" max="3" width="36.85546875" customWidth="1"/>
    <col min="4" max="4" width="43.85546875" style="166" customWidth="1"/>
  </cols>
  <sheetData>
    <row r="3" spans="2:4" ht="15.75" customHeight="1" x14ac:dyDescent="0.25">
      <c r="B3" s="223" t="s">
        <v>45</v>
      </c>
      <c r="C3" s="223"/>
      <c r="D3" s="223"/>
    </row>
    <row r="4" spans="2:4" ht="18.75" customHeight="1" x14ac:dyDescent="0.25">
      <c r="B4" s="224" t="s">
        <v>46</v>
      </c>
      <c r="C4" s="224"/>
      <c r="D4" s="224"/>
    </row>
    <row r="5" spans="2:4" ht="84" customHeight="1" x14ac:dyDescent="0.25">
      <c r="B5" s="225" t="s">
        <v>47</v>
      </c>
      <c r="C5" s="225"/>
      <c r="D5" s="225"/>
    </row>
    <row r="6" spans="2:4" ht="18.75" customHeight="1" x14ac:dyDescent="0.25">
      <c r="B6" s="116"/>
      <c r="C6" s="116"/>
      <c r="D6" s="116"/>
    </row>
    <row r="7" spans="2:4" ht="36.75" customHeight="1" x14ac:dyDescent="0.25">
      <c r="B7" s="222" t="s">
        <v>48</v>
      </c>
      <c r="C7" s="222"/>
      <c r="D7" s="222"/>
    </row>
    <row r="8" spans="2:4" ht="15.75" customHeight="1" x14ac:dyDescent="0.25">
      <c r="B8" s="222" t="s">
        <v>49</v>
      </c>
      <c r="C8" s="222"/>
      <c r="D8" s="222"/>
    </row>
    <row r="9" spans="2:4" ht="15.75" customHeight="1" x14ac:dyDescent="0.25">
      <c r="B9" s="222" t="s">
        <v>50</v>
      </c>
      <c r="C9" s="222"/>
      <c r="D9" s="222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96" t="s">
        <v>54</v>
      </c>
    </row>
    <row r="13" spans="2:4" ht="31.5" customHeight="1" x14ac:dyDescent="0.25">
      <c r="B13" s="118">
        <v>2</v>
      </c>
      <c r="C13" s="119" t="s">
        <v>55</v>
      </c>
      <c r="D13" s="118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61.25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192">
        <f>SUM(D18:D21)</f>
        <v>1878.25</v>
      </c>
    </row>
    <row r="18" spans="2:4" ht="15.75" customHeight="1" x14ac:dyDescent="0.25">
      <c r="B18" s="121" t="s">
        <v>64</v>
      </c>
      <c r="C18" s="119" t="s">
        <v>65</v>
      </c>
      <c r="D18" s="192">
        <v>156.36000000000001</v>
      </c>
    </row>
    <row r="19" spans="2:4" ht="15.75" customHeight="1" x14ac:dyDescent="0.25">
      <c r="B19" s="121" t="s">
        <v>66</v>
      </c>
      <c r="C19" s="119" t="s">
        <v>67</v>
      </c>
      <c r="D19" s="192">
        <v>1244.71</v>
      </c>
    </row>
    <row r="20" spans="2:4" ht="15.75" customHeight="1" x14ac:dyDescent="0.25">
      <c r="B20" s="121" t="s">
        <v>68</v>
      </c>
      <c r="C20" s="119" t="s">
        <v>69</v>
      </c>
      <c r="D20" s="192"/>
    </row>
    <row r="21" spans="2:4" ht="31.5" customHeight="1" x14ac:dyDescent="0.25">
      <c r="B21" s="121" t="s">
        <v>70</v>
      </c>
      <c r="C21" s="119" t="s">
        <v>71</v>
      </c>
      <c r="D21" s="192">
        <v>477.18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192">
        <f>D17</f>
        <v>1878.25</v>
      </c>
    </row>
    <row r="24" spans="2:4" ht="61.5" customHeight="1" x14ac:dyDescent="0.25">
      <c r="B24" s="118">
        <v>9</v>
      </c>
      <c r="C24" s="120" t="s">
        <v>75</v>
      </c>
      <c r="D24" s="192">
        <f>D23/1</f>
        <v>1878.25</v>
      </c>
    </row>
    <row r="25" spans="2:4" ht="37.5" customHeight="1" x14ac:dyDescent="0.25">
      <c r="B25" s="122"/>
      <c r="C25" s="123"/>
      <c r="D25" s="193"/>
    </row>
    <row r="26" spans="2:4" x14ac:dyDescent="0.25">
      <c r="B26" s="198" t="s">
        <v>76</v>
      </c>
      <c r="C26" s="203"/>
      <c r="D26"/>
    </row>
    <row r="27" spans="2:4" x14ac:dyDescent="0.25">
      <c r="B27" s="33" t="s">
        <v>77</v>
      </c>
      <c r="C27" s="203"/>
      <c r="D27"/>
    </row>
    <row r="28" spans="2:4" x14ac:dyDescent="0.25">
      <c r="B28" s="198"/>
      <c r="C28" s="203"/>
      <c r="D28"/>
    </row>
    <row r="29" spans="2:4" x14ac:dyDescent="0.25">
      <c r="B29" s="198" t="s">
        <v>78</v>
      </c>
      <c r="C29" s="203"/>
      <c r="D29"/>
    </row>
    <row r="30" spans="2:4" x14ac:dyDescent="0.25">
      <c r="B30" s="33" t="s">
        <v>79</v>
      </c>
      <c r="C30" s="203"/>
      <c r="D30"/>
    </row>
    <row r="31" spans="2:4" ht="15.75" customHeight="1" x14ac:dyDescent="0.25">
      <c r="B31" s="123"/>
      <c r="C31" s="123"/>
      <c r="D31" s="19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5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23" t="s">
        <v>80</v>
      </c>
      <c r="C3" s="223"/>
      <c r="D3" s="223"/>
      <c r="E3" s="223"/>
      <c r="F3" s="223"/>
      <c r="G3" s="223"/>
      <c r="H3" s="223"/>
      <c r="I3" s="223"/>
      <c r="J3" s="223"/>
      <c r="K3" s="223"/>
    </row>
    <row r="4" spans="2:11" ht="15.75" customHeight="1" x14ac:dyDescent="0.25">
      <c r="B4" s="228" t="s">
        <v>81</v>
      </c>
      <c r="C4" s="228"/>
      <c r="D4" s="228"/>
      <c r="E4" s="228"/>
      <c r="F4" s="228"/>
      <c r="G4" s="228"/>
      <c r="H4" s="228"/>
      <c r="I4" s="228"/>
      <c r="J4" s="228"/>
      <c r="K4" s="228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2" t="s">
        <v>48</v>
      </c>
      <c r="C6" s="222"/>
      <c r="D6" s="222"/>
      <c r="E6" s="222"/>
      <c r="F6" s="222"/>
      <c r="G6" s="222"/>
      <c r="H6" s="222"/>
      <c r="I6" s="222"/>
      <c r="J6" s="222"/>
      <c r="K6" s="222"/>
    </row>
    <row r="7" spans="2:11" ht="15.75" customHeight="1" x14ac:dyDescent="0.25">
      <c r="B7" s="222" t="s">
        <v>50</v>
      </c>
      <c r="C7" s="222"/>
      <c r="D7" s="222"/>
      <c r="E7" s="222"/>
      <c r="F7" s="222"/>
      <c r="G7" s="222"/>
      <c r="H7" s="222"/>
      <c r="I7" s="222"/>
      <c r="J7" s="222"/>
      <c r="K7" s="222"/>
    </row>
    <row r="8" spans="2:11" ht="18.75" customHeight="1" x14ac:dyDescent="0.25">
      <c r="B8" s="117"/>
    </row>
    <row r="9" spans="2:11" ht="15.75" customHeight="1" x14ac:dyDescent="0.25">
      <c r="B9" s="229" t="s">
        <v>33</v>
      </c>
      <c r="C9" s="229" t="s">
        <v>82</v>
      </c>
      <c r="D9" s="229" t="s">
        <v>83</v>
      </c>
      <c r="E9" s="229"/>
      <c r="F9" s="229"/>
      <c r="G9" s="229"/>
      <c r="H9" s="229"/>
      <c r="I9" s="229"/>
      <c r="J9" s="229"/>
    </row>
    <row r="10" spans="2:11" ht="15.75" customHeight="1" x14ac:dyDescent="0.25">
      <c r="B10" s="229"/>
      <c r="C10" s="229"/>
      <c r="D10" s="229" t="s">
        <v>84</v>
      </c>
      <c r="E10" s="229" t="s">
        <v>85</v>
      </c>
      <c r="F10" s="229" t="s">
        <v>86</v>
      </c>
      <c r="G10" s="229"/>
      <c r="H10" s="229"/>
      <c r="I10" s="229"/>
      <c r="J10" s="229"/>
    </row>
    <row r="11" spans="2:11" ht="31.5" customHeight="1" x14ac:dyDescent="0.25">
      <c r="B11" s="229"/>
      <c r="C11" s="229"/>
      <c r="D11" s="229"/>
      <c r="E11" s="229"/>
      <c r="F11" s="211" t="s">
        <v>87</v>
      </c>
      <c r="G11" s="211" t="s">
        <v>88</v>
      </c>
      <c r="H11" s="211" t="s">
        <v>43</v>
      </c>
      <c r="I11" s="211" t="s">
        <v>89</v>
      </c>
      <c r="J11" s="211" t="s">
        <v>90</v>
      </c>
    </row>
    <row r="12" spans="2:11" ht="126" customHeight="1" x14ac:dyDescent="0.25">
      <c r="B12" s="204">
        <v>1</v>
      </c>
      <c r="C12" s="196" t="s">
        <v>62</v>
      </c>
      <c r="D12" s="213" t="s">
        <v>91</v>
      </c>
      <c r="E12" s="214" t="s">
        <v>92</v>
      </c>
      <c r="F12" s="205">
        <f>22433*6.97/1000</f>
        <v>156.35801000000001</v>
      </c>
      <c r="G12" s="205"/>
      <c r="H12" s="205">
        <f>290821*4.28/1000</f>
        <v>1244.71388</v>
      </c>
      <c r="I12" s="205">
        <f>56672*8.42/1000</f>
        <v>477.17824000000002</v>
      </c>
      <c r="J12" s="205">
        <f>SUM(F12:I12)</f>
        <v>1878.2501299999999</v>
      </c>
    </row>
    <row r="13" spans="2:11" ht="15.75" customHeight="1" x14ac:dyDescent="0.25">
      <c r="B13" s="226" t="s">
        <v>93</v>
      </c>
      <c r="C13" s="226"/>
      <c r="D13" s="226"/>
      <c r="E13" s="226"/>
      <c r="F13" s="206">
        <f>SUM(F12)</f>
        <v>156.35801000000001</v>
      </c>
      <c r="G13" s="206"/>
      <c r="H13" s="206">
        <f>SUM(H12)</f>
        <v>1244.71388</v>
      </c>
      <c r="I13" s="206">
        <f>SUM(I12)</f>
        <v>477.17824000000002</v>
      </c>
      <c r="J13" s="206">
        <f>SUM(J12)</f>
        <v>1878.2501299999999</v>
      </c>
    </row>
    <row r="14" spans="2:11" ht="15.75" customHeight="1" x14ac:dyDescent="0.25">
      <c r="B14" s="227" t="s">
        <v>94</v>
      </c>
      <c r="C14" s="227"/>
      <c r="D14" s="227"/>
      <c r="E14" s="227"/>
      <c r="F14" s="207">
        <f>F13</f>
        <v>156.35801000000001</v>
      </c>
      <c r="G14" s="207"/>
      <c r="H14" s="207">
        <f>H13</f>
        <v>1244.71388</v>
      </c>
      <c r="I14" s="207">
        <f>I13</f>
        <v>477.17824000000002</v>
      </c>
      <c r="J14" s="207">
        <f>J13</f>
        <v>1878.2501299999999</v>
      </c>
    </row>
    <row r="15" spans="2:11" ht="18.75" customHeight="1" x14ac:dyDescent="0.25">
      <c r="B15" s="117"/>
    </row>
    <row r="18" spans="2:3" x14ac:dyDescent="0.25">
      <c r="B18" s="198" t="s">
        <v>76</v>
      </c>
      <c r="C18" s="203"/>
    </row>
    <row r="19" spans="2:3" x14ac:dyDescent="0.25">
      <c r="B19" s="33" t="s">
        <v>77</v>
      </c>
      <c r="C19" s="203"/>
    </row>
    <row r="20" spans="2:3" x14ac:dyDescent="0.25">
      <c r="B20" s="198"/>
      <c r="C20" s="203"/>
    </row>
    <row r="21" spans="2:3" x14ac:dyDescent="0.25">
      <c r="B21" s="198" t="s">
        <v>78</v>
      </c>
      <c r="C21" s="203"/>
    </row>
    <row r="22" spans="2:3" x14ac:dyDescent="0.25">
      <c r="B22" s="33" t="s">
        <v>79</v>
      </c>
      <c r="C22" s="203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view="pageBreakPreview" zoomScaleSheetLayoutView="100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5" customWidth="1"/>
    <col min="9" max="9" width="10.140625" customWidth="1"/>
  </cols>
  <sheetData>
    <row r="2" spans="1:11" ht="15.75" customHeight="1" x14ac:dyDescent="0.25">
      <c r="A2" s="223" t="s">
        <v>95</v>
      </c>
      <c r="B2" s="223"/>
      <c r="C2" s="223"/>
      <c r="D2" s="223"/>
      <c r="E2" s="223"/>
      <c r="F2" s="223"/>
      <c r="G2" s="223"/>
      <c r="H2" s="223"/>
      <c r="I2" s="122"/>
    </row>
    <row r="3" spans="1:11" ht="18.75" customHeight="1" x14ac:dyDescent="0.25">
      <c r="A3" s="224" t="s">
        <v>96</v>
      </c>
      <c r="B3" s="224"/>
      <c r="C3" s="224"/>
      <c r="D3" s="224"/>
      <c r="E3" s="224"/>
      <c r="F3" s="224"/>
      <c r="G3" s="224"/>
      <c r="H3" s="224"/>
      <c r="I3" s="224"/>
    </row>
    <row r="4" spans="1:11" x14ac:dyDescent="0.25">
      <c r="B4" s="164"/>
      <c r="C4" s="238"/>
      <c r="D4" s="238"/>
      <c r="E4" s="238"/>
      <c r="F4" s="238"/>
      <c r="G4" s="238"/>
      <c r="H4" s="238"/>
    </row>
    <row r="5" spans="1:11" ht="15.75" customHeight="1" x14ac:dyDescent="0.25">
      <c r="C5" s="147"/>
      <c r="D5" s="147"/>
      <c r="E5" s="147"/>
      <c r="F5" s="147"/>
      <c r="G5" s="147"/>
      <c r="H5" s="148"/>
    </row>
    <row r="6" spans="1:11" ht="15" customHeight="1" x14ac:dyDescent="0.25">
      <c r="A6" s="239" t="s">
        <v>48</v>
      </c>
      <c r="B6" s="239"/>
      <c r="C6" s="239"/>
      <c r="D6" s="239"/>
      <c r="E6" s="239"/>
      <c r="F6" s="239"/>
      <c r="G6" s="239"/>
      <c r="H6" s="239"/>
    </row>
    <row r="7" spans="1:11" ht="14.25" customHeight="1" x14ac:dyDescent="0.25">
      <c r="A7" s="239"/>
      <c r="B7" s="239"/>
      <c r="C7" s="239"/>
      <c r="D7" s="239"/>
      <c r="E7" s="239"/>
      <c r="F7" s="239"/>
      <c r="G7" s="239"/>
      <c r="H7" s="239"/>
    </row>
    <row r="8" spans="1:11" ht="15.75" customHeight="1" x14ac:dyDescent="0.25">
      <c r="C8" s="149"/>
      <c r="D8" s="150"/>
      <c r="E8" s="151"/>
      <c r="F8" s="152"/>
      <c r="G8" s="153"/>
      <c r="H8" s="154"/>
    </row>
    <row r="9" spans="1:11" ht="38.25" customHeight="1" x14ac:dyDescent="0.25">
      <c r="A9" s="229" t="s">
        <v>97</v>
      </c>
      <c r="B9" s="229" t="s">
        <v>98</v>
      </c>
      <c r="C9" s="229" t="s">
        <v>99</v>
      </c>
      <c r="D9" s="229" t="s">
        <v>100</v>
      </c>
      <c r="E9" s="229" t="s">
        <v>101</v>
      </c>
      <c r="F9" s="229" t="s">
        <v>102</v>
      </c>
      <c r="G9" s="229" t="s">
        <v>103</v>
      </c>
      <c r="H9" s="229"/>
    </row>
    <row r="10" spans="1:11" ht="40.5" customHeight="1" x14ac:dyDescent="0.25">
      <c r="A10" s="229"/>
      <c r="B10" s="229"/>
      <c r="C10" s="229"/>
      <c r="D10" s="229"/>
      <c r="E10" s="229"/>
      <c r="F10" s="229"/>
      <c r="G10" s="118" t="s">
        <v>104</v>
      </c>
      <c r="H10" s="118" t="s">
        <v>105</v>
      </c>
    </row>
    <row r="11" spans="1:11" ht="15.75" customHeight="1" x14ac:dyDescent="0.25">
      <c r="A11" s="118">
        <v>1</v>
      </c>
      <c r="B11" s="155"/>
      <c r="C11" s="118">
        <v>2</v>
      </c>
      <c r="D11" s="118" t="s">
        <v>106</v>
      </c>
      <c r="E11" s="118">
        <v>4</v>
      </c>
      <c r="F11" s="118">
        <v>5</v>
      </c>
      <c r="G11" s="155">
        <v>6</v>
      </c>
      <c r="H11" s="155">
        <v>7</v>
      </c>
    </row>
    <row r="12" spans="1:11" ht="15" customHeight="1" x14ac:dyDescent="0.25">
      <c r="A12" s="237" t="s">
        <v>107</v>
      </c>
      <c r="B12" s="233"/>
      <c r="C12" s="233"/>
      <c r="D12" s="234"/>
      <c r="E12" s="156"/>
      <c r="F12" s="170">
        <f>SUM(F13:F17)</f>
        <v>731.55449999999996</v>
      </c>
      <c r="G12" s="156"/>
      <c r="H12" s="171">
        <f>SUM(H13:H17)</f>
        <v>9211.81</v>
      </c>
    </row>
    <row r="13" spans="1:11" x14ac:dyDescent="0.25">
      <c r="A13" s="209">
        <v>1</v>
      </c>
      <c r="B13" s="145"/>
      <c r="C13" s="145" t="s">
        <v>108</v>
      </c>
      <c r="D13" s="8" t="s">
        <v>109</v>
      </c>
      <c r="E13" s="2" t="s">
        <v>110</v>
      </c>
      <c r="F13" s="174">
        <v>210.5</v>
      </c>
      <c r="G13" s="47">
        <v>15.49</v>
      </c>
      <c r="H13" s="32">
        <f>ROUND(F13*G13,2)</f>
        <v>3260.65</v>
      </c>
      <c r="J13" s="158"/>
      <c r="K13" s="158"/>
    </row>
    <row r="14" spans="1:11" x14ac:dyDescent="0.25">
      <c r="A14" s="209">
        <v>2</v>
      </c>
      <c r="B14" s="145"/>
      <c r="C14" s="145" t="s">
        <v>111</v>
      </c>
      <c r="D14" s="8" t="s">
        <v>112</v>
      </c>
      <c r="E14" s="2" t="s">
        <v>110</v>
      </c>
      <c r="F14" s="174">
        <v>210.5</v>
      </c>
      <c r="G14" s="47">
        <v>14.09</v>
      </c>
      <c r="H14" s="32">
        <f>ROUND(F14*G14,2)</f>
        <v>2965.95</v>
      </c>
      <c r="J14" s="158"/>
      <c r="K14" s="158"/>
    </row>
    <row r="15" spans="1:11" x14ac:dyDescent="0.25">
      <c r="A15" s="209">
        <v>3</v>
      </c>
      <c r="B15" s="145"/>
      <c r="C15" s="145" t="s">
        <v>113</v>
      </c>
      <c r="D15" s="8" t="s">
        <v>114</v>
      </c>
      <c r="E15" s="2" t="s">
        <v>115</v>
      </c>
      <c r="F15" s="174">
        <v>302.1737</v>
      </c>
      <c r="G15" s="47">
        <v>9.6199999999999992</v>
      </c>
      <c r="H15" s="32">
        <f>ROUND(F15*G15,2)</f>
        <v>2906.91</v>
      </c>
      <c r="J15" s="158"/>
      <c r="K15" s="158"/>
    </row>
    <row r="16" spans="1:11" x14ac:dyDescent="0.25">
      <c r="A16" s="209">
        <v>4</v>
      </c>
      <c r="B16" s="145"/>
      <c r="C16" s="145" t="s">
        <v>116</v>
      </c>
      <c r="D16" s="8" t="s">
        <v>117</v>
      </c>
      <c r="E16" s="2" t="s">
        <v>115</v>
      </c>
      <c r="F16" s="174">
        <v>7.6520000000000001</v>
      </c>
      <c r="G16" s="47">
        <v>9.4</v>
      </c>
      <c r="H16" s="32">
        <f>ROUND(F16*G16,2)</f>
        <v>71.930000000000007</v>
      </c>
      <c r="J16" s="158"/>
      <c r="K16" s="158"/>
    </row>
    <row r="17" spans="1:11" x14ac:dyDescent="0.25">
      <c r="A17" s="209">
        <v>5</v>
      </c>
      <c r="B17" s="145"/>
      <c r="C17" s="145" t="s">
        <v>118</v>
      </c>
      <c r="D17" s="8" t="s">
        <v>119</v>
      </c>
      <c r="E17" s="2" t="s">
        <v>115</v>
      </c>
      <c r="F17" s="174">
        <v>0.7288</v>
      </c>
      <c r="G17" s="47">
        <v>8.74</v>
      </c>
      <c r="H17" s="32">
        <f>ROUND(F17*G17,2)</f>
        <v>6.37</v>
      </c>
      <c r="J17" s="158"/>
      <c r="K17" s="158"/>
    </row>
    <row r="18" spans="1:11" x14ac:dyDescent="0.25">
      <c r="A18" s="231" t="s">
        <v>120</v>
      </c>
      <c r="B18" s="232"/>
      <c r="C18" s="233"/>
      <c r="D18" s="234"/>
      <c r="E18" s="159"/>
      <c r="F18" s="160"/>
      <c r="G18" s="157"/>
      <c r="H18" s="172">
        <f>H19</f>
        <v>91.88</v>
      </c>
      <c r="K18" s="158"/>
    </row>
    <row r="19" spans="1:11" x14ac:dyDescent="0.25">
      <c r="A19" s="145" t="s">
        <v>121</v>
      </c>
      <c r="B19" s="169"/>
      <c r="C19" s="145">
        <v>2</v>
      </c>
      <c r="D19" s="8" t="s">
        <v>120</v>
      </c>
      <c r="E19" s="2" t="s">
        <v>115</v>
      </c>
      <c r="F19" s="2">
        <v>121.4922</v>
      </c>
      <c r="G19" s="47"/>
      <c r="H19" s="47">
        <v>91.88</v>
      </c>
    </row>
    <row r="20" spans="1:11" ht="15" customHeight="1" x14ac:dyDescent="0.25">
      <c r="A20" s="235" t="s">
        <v>122</v>
      </c>
      <c r="B20" s="235"/>
      <c r="C20" s="235"/>
      <c r="D20" s="235"/>
      <c r="E20" s="156"/>
      <c r="F20" s="156"/>
      <c r="G20" s="156"/>
      <c r="H20" s="173">
        <f>SUM(H21:H33)</f>
        <v>13390.32</v>
      </c>
      <c r="J20" s="158"/>
    </row>
    <row r="21" spans="1:11" ht="25.5" customHeight="1" x14ac:dyDescent="0.25">
      <c r="A21" s="2">
        <v>7</v>
      </c>
      <c r="B21" s="145"/>
      <c r="C21" s="145" t="s">
        <v>123</v>
      </c>
      <c r="D21" s="8" t="s">
        <v>124</v>
      </c>
      <c r="E21" s="2" t="s">
        <v>125</v>
      </c>
      <c r="F21" s="2">
        <v>48</v>
      </c>
      <c r="G21" s="103">
        <v>110.86</v>
      </c>
      <c r="H21" s="32">
        <f t="shared" ref="H21:H33" si="0">ROUND(F21*G21,2)</f>
        <v>5321.28</v>
      </c>
      <c r="I21" s="161"/>
    </row>
    <row r="22" spans="1:11" ht="25.5" customHeight="1" x14ac:dyDescent="0.25">
      <c r="A22" s="2">
        <v>8</v>
      </c>
      <c r="B22" s="145"/>
      <c r="C22" s="145" t="s">
        <v>126</v>
      </c>
      <c r="D22" s="8" t="s">
        <v>127</v>
      </c>
      <c r="E22" s="2" t="s">
        <v>125</v>
      </c>
      <c r="F22" s="2">
        <v>32.46</v>
      </c>
      <c r="G22" s="103">
        <v>111.99</v>
      </c>
      <c r="H22" s="32">
        <f t="shared" si="0"/>
        <v>3635.2</v>
      </c>
      <c r="I22" s="161"/>
    </row>
    <row r="23" spans="1:11" x14ac:dyDescent="0.25">
      <c r="A23" s="195">
        <v>9</v>
      </c>
      <c r="B23" s="145"/>
      <c r="C23" s="145" t="s">
        <v>128</v>
      </c>
      <c r="D23" s="8" t="s">
        <v>129</v>
      </c>
      <c r="E23" s="2" t="s">
        <v>125</v>
      </c>
      <c r="F23" s="2">
        <v>8.25</v>
      </c>
      <c r="G23" s="103">
        <v>287.99</v>
      </c>
      <c r="H23" s="32">
        <f t="shared" si="0"/>
        <v>2375.92</v>
      </c>
      <c r="I23" s="161"/>
    </row>
    <row r="24" spans="1:11" ht="25.5" customHeight="1" x14ac:dyDescent="0.25">
      <c r="A24" s="195">
        <v>10</v>
      </c>
      <c r="B24" s="145"/>
      <c r="C24" s="145" t="s">
        <v>130</v>
      </c>
      <c r="D24" s="8" t="s">
        <v>131</v>
      </c>
      <c r="E24" s="2" t="s">
        <v>125</v>
      </c>
      <c r="F24" s="2">
        <v>8.25</v>
      </c>
      <c r="G24" s="103">
        <v>131.44</v>
      </c>
      <c r="H24" s="32">
        <f t="shared" si="0"/>
        <v>1084.3800000000001</v>
      </c>
      <c r="I24" s="161"/>
    </row>
    <row r="25" spans="1:11" x14ac:dyDescent="0.25">
      <c r="A25" s="195">
        <v>11</v>
      </c>
      <c r="B25" s="145"/>
      <c r="C25" s="145" t="s">
        <v>132</v>
      </c>
      <c r="D25" s="8" t="s">
        <v>133</v>
      </c>
      <c r="E25" s="2" t="s">
        <v>125</v>
      </c>
      <c r="F25" s="146">
        <v>15.88</v>
      </c>
      <c r="G25" s="103">
        <v>29.6</v>
      </c>
      <c r="H25" s="32">
        <f t="shared" si="0"/>
        <v>470.05</v>
      </c>
      <c r="I25" s="161"/>
    </row>
    <row r="26" spans="1:11" x14ac:dyDescent="0.25">
      <c r="A26" s="195">
        <v>12</v>
      </c>
      <c r="B26" s="145"/>
      <c r="C26" s="145" t="s">
        <v>134</v>
      </c>
      <c r="D26" s="8" t="s">
        <v>135</v>
      </c>
      <c r="E26" s="2" t="s">
        <v>125</v>
      </c>
      <c r="F26" s="146">
        <v>6.2</v>
      </c>
      <c r="G26" s="103">
        <v>65.709999999999994</v>
      </c>
      <c r="H26" s="32">
        <f t="shared" si="0"/>
        <v>407.4</v>
      </c>
      <c r="I26" s="161"/>
    </row>
    <row r="27" spans="1:11" ht="25.5" customHeight="1" x14ac:dyDescent="0.25">
      <c r="A27" s="195">
        <v>13</v>
      </c>
      <c r="B27" s="145"/>
      <c r="C27" s="145" t="s">
        <v>136</v>
      </c>
      <c r="D27" s="8" t="s">
        <v>137</v>
      </c>
      <c r="E27" s="2" t="s">
        <v>125</v>
      </c>
      <c r="F27" s="146">
        <v>9.08</v>
      </c>
      <c r="G27" s="103">
        <v>8.1</v>
      </c>
      <c r="H27" s="32">
        <f t="shared" si="0"/>
        <v>73.55</v>
      </c>
      <c r="I27" s="161"/>
    </row>
    <row r="28" spans="1:11" x14ac:dyDescent="0.25">
      <c r="A28" s="195">
        <v>14</v>
      </c>
      <c r="B28" s="145"/>
      <c r="C28" s="145" t="s">
        <v>138</v>
      </c>
      <c r="D28" s="8" t="s">
        <v>139</v>
      </c>
      <c r="E28" s="2" t="s">
        <v>125</v>
      </c>
      <c r="F28" s="146">
        <v>16.5</v>
      </c>
      <c r="G28" s="103">
        <v>0.9</v>
      </c>
      <c r="H28" s="32">
        <f t="shared" si="0"/>
        <v>14.85</v>
      </c>
      <c r="I28" s="161"/>
    </row>
    <row r="29" spans="1:11" x14ac:dyDescent="0.25">
      <c r="A29" s="195">
        <v>15</v>
      </c>
      <c r="B29" s="145"/>
      <c r="C29" s="145" t="s">
        <v>140</v>
      </c>
      <c r="D29" s="8" t="s">
        <v>141</v>
      </c>
      <c r="E29" s="2" t="s">
        <v>125</v>
      </c>
      <c r="F29" s="146">
        <v>0.05</v>
      </c>
      <c r="G29" s="103">
        <v>70</v>
      </c>
      <c r="H29" s="32">
        <f t="shared" si="0"/>
        <v>3.5</v>
      </c>
      <c r="I29" s="161"/>
    </row>
    <row r="30" spans="1:11" x14ac:dyDescent="0.25">
      <c r="A30" s="195">
        <v>16</v>
      </c>
      <c r="B30" s="145"/>
      <c r="C30" s="145" t="s">
        <v>142</v>
      </c>
      <c r="D30" s="8" t="s">
        <v>143</v>
      </c>
      <c r="E30" s="2" t="s">
        <v>125</v>
      </c>
      <c r="F30" s="146">
        <v>0.05</v>
      </c>
      <c r="G30" s="103">
        <v>56.24</v>
      </c>
      <c r="H30" s="32">
        <f t="shared" si="0"/>
        <v>2.81</v>
      </c>
      <c r="I30" s="161"/>
    </row>
    <row r="31" spans="1:11" x14ac:dyDescent="0.25">
      <c r="A31" s="195">
        <v>17</v>
      </c>
      <c r="B31" s="145"/>
      <c r="C31" s="145" t="s">
        <v>144</v>
      </c>
      <c r="D31" s="8" t="s">
        <v>145</v>
      </c>
      <c r="E31" s="2" t="s">
        <v>125</v>
      </c>
      <c r="F31" s="146">
        <v>0.05</v>
      </c>
      <c r="G31" s="103">
        <v>16.920000000000002</v>
      </c>
      <c r="H31" s="32">
        <f t="shared" si="0"/>
        <v>0.85</v>
      </c>
      <c r="I31" s="161"/>
    </row>
    <row r="32" spans="1:11" ht="25.5" customHeight="1" x14ac:dyDescent="0.25">
      <c r="A32" s="195">
        <v>18</v>
      </c>
      <c r="B32" s="145"/>
      <c r="C32" s="145" t="s">
        <v>146</v>
      </c>
      <c r="D32" s="8" t="s">
        <v>147</v>
      </c>
      <c r="E32" s="2" t="s">
        <v>125</v>
      </c>
      <c r="F32" s="146">
        <v>0.06</v>
      </c>
      <c r="G32" s="103">
        <v>6.82</v>
      </c>
      <c r="H32" s="32">
        <f t="shared" si="0"/>
        <v>0.41</v>
      </c>
      <c r="I32" s="161"/>
    </row>
    <row r="33" spans="1:9" x14ac:dyDescent="0.25">
      <c r="A33" s="195">
        <v>19</v>
      </c>
      <c r="B33" s="145"/>
      <c r="C33" s="145" t="s">
        <v>148</v>
      </c>
      <c r="D33" s="8" t="s">
        <v>149</v>
      </c>
      <c r="E33" s="2" t="s">
        <v>125</v>
      </c>
      <c r="F33" s="146">
        <v>0.05</v>
      </c>
      <c r="G33" s="103">
        <v>2.36</v>
      </c>
      <c r="H33" s="32">
        <f t="shared" si="0"/>
        <v>0.12</v>
      </c>
      <c r="I33" s="161"/>
    </row>
    <row r="34" spans="1:9" ht="15" customHeight="1" x14ac:dyDescent="0.25">
      <c r="A34" s="236" t="s">
        <v>43</v>
      </c>
      <c r="B34" s="236"/>
      <c r="C34" s="236"/>
      <c r="D34" s="236"/>
      <c r="E34" s="162"/>
      <c r="F34" s="163"/>
      <c r="G34" s="157"/>
      <c r="H34" s="176">
        <f>SUM(H35:H37)</f>
        <v>1428455.26</v>
      </c>
      <c r="I34" s="161"/>
    </row>
    <row r="35" spans="1:9" x14ac:dyDescent="0.25">
      <c r="A35" s="2">
        <v>20</v>
      </c>
      <c r="B35" s="145"/>
      <c r="C35" s="208" t="s">
        <v>150</v>
      </c>
      <c r="D35" s="8" t="s">
        <v>151</v>
      </c>
      <c r="E35" s="2" t="s">
        <v>152</v>
      </c>
      <c r="F35" s="2">
        <v>3</v>
      </c>
      <c r="G35" s="32">
        <v>472972.97</v>
      </c>
      <c r="H35" s="32">
        <f>ROUND(F35*G35,2)</f>
        <v>1418918.91</v>
      </c>
      <c r="I35" s="161"/>
    </row>
    <row r="36" spans="1:9" x14ac:dyDescent="0.25">
      <c r="A36" s="2">
        <v>21</v>
      </c>
      <c r="B36" s="145"/>
      <c r="C36" s="208" t="s">
        <v>150</v>
      </c>
      <c r="D36" s="8" t="s">
        <v>153</v>
      </c>
      <c r="E36" s="2" t="s">
        <v>152</v>
      </c>
      <c r="F36" s="2">
        <v>1</v>
      </c>
      <c r="G36" s="32">
        <v>5872.3</v>
      </c>
      <c r="H36" s="32">
        <f>ROUND(F36*G36,2)</f>
        <v>5872.3</v>
      </c>
      <c r="I36" s="161"/>
    </row>
    <row r="37" spans="1:9" x14ac:dyDescent="0.25">
      <c r="A37" s="2">
        <v>22</v>
      </c>
      <c r="B37" s="145"/>
      <c r="C37" s="208" t="s">
        <v>150</v>
      </c>
      <c r="D37" s="8" t="s">
        <v>154</v>
      </c>
      <c r="E37" s="2" t="s">
        <v>152</v>
      </c>
      <c r="F37" s="2">
        <v>1</v>
      </c>
      <c r="G37" s="32">
        <v>3664.05</v>
      </c>
      <c r="H37" s="32">
        <f>ROUND(F37*G37,2)</f>
        <v>3664.05</v>
      </c>
      <c r="I37" s="161"/>
    </row>
    <row r="38" spans="1:9" ht="15" customHeight="1" x14ac:dyDescent="0.25">
      <c r="A38" s="235" t="s">
        <v>155</v>
      </c>
      <c r="B38" s="235"/>
      <c r="C38" s="235"/>
      <c r="D38" s="235"/>
      <c r="E38" s="168"/>
      <c r="F38" s="168"/>
      <c r="G38" s="156"/>
      <c r="H38" s="173">
        <f>SUM(H39:H61)</f>
        <v>13274.82</v>
      </c>
    </row>
    <row r="39" spans="1:9" ht="25.5" customHeight="1" x14ac:dyDescent="0.25">
      <c r="A39" s="2">
        <v>23</v>
      </c>
      <c r="B39" s="145"/>
      <c r="C39" s="180" t="s">
        <v>156</v>
      </c>
      <c r="D39" s="8" t="s">
        <v>157</v>
      </c>
      <c r="E39" s="2" t="s">
        <v>158</v>
      </c>
      <c r="F39" s="177">
        <v>5.0999999999999997E-2</v>
      </c>
      <c r="G39" s="103">
        <v>98440.41</v>
      </c>
      <c r="H39" s="32">
        <f t="shared" ref="H39:H61" si="1">ROUND(F39*G39,2)</f>
        <v>5020.46</v>
      </c>
      <c r="I39" s="161"/>
    </row>
    <row r="40" spans="1:9" x14ac:dyDescent="0.25">
      <c r="A40" s="2">
        <v>24</v>
      </c>
      <c r="B40" s="145"/>
      <c r="C40" s="175" t="s">
        <v>159</v>
      </c>
      <c r="D40" s="8" t="s">
        <v>160</v>
      </c>
      <c r="E40" s="2" t="s">
        <v>158</v>
      </c>
      <c r="F40" s="177">
        <v>7.1999999999999995E-2</v>
      </c>
      <c r="G40" s="103">
        <v>38348.22</v>
      </c>
      <c r="H40" s="32">
        <f t="shared" si="1"/>
        <v>2761.07</v>
      </c>
      <c r="I40" s="161"/>
    </row>
    <row r="41" spans="1:9" ht="51" customHeight="1" x14ac:dyDescent="0.25">
      <c r="A41" s="195">
        <v>25</v>
      </c>
      <c r="B41" s="145"/>
      <c r="C41" s="145" t="s">
        <v>161</v>
      </c>
      <c r="D41" s="8" t="s">
        <v>162</v>
      </c>
      <c r="E41" s="2" t="s">
        <v>163</v>
      </c>
      <c r="F41" s="2">
        <v>5.5399999999999998E-2</v>
      </c>
      <c r="G41" s="103">
        <v>32758.86</v>
      </c>
      <c r="H41" s="32">
        <f t="shared" si="1"/>
        <v>1814.84</v>
      </c>
      <c r="I41" s="161"/>
    </row>
    <row r="42" spans="1:9" x14ac:dyDescent="0.25">
      <c r="A42" s="195">
        <v>26</v>
      </c>
      <c r="B42" s="145"/>
      <c r="C42" s="145" t="s">
        <v>164</v>
      </c>
      <c r="D42" s="8" t="s">
        <v>165</v>
      </c>
      <c r="E42" s="2" t="s">
        <v>166</v>
      </c>
      <c r="F42" s="2">
        <v>0.03</v>
      </c>
      <c r="G42" s="103">
        <v>35576</v>
      </c>
      <c r="H42" s="32">
        <f t="shared" si="1"/>
        <v>1067.28</v>
      </c>
      <c r="I42" s="161"/>
    </row>
    <row r="43" spans="1:9" x14ac:dyDescent="0.25">
      <c r="A43" s="195">
        <v>27</v>
      </c>
      <c r="B43" s="145"/>
      <c r="C43" s="145" t="s">
        <v>167</v>
      </c>
      <c r="D43" s="8" t="s">
        <v>168</v>
      </c>
      <c r="E43" s="2" t="s">
        <v>166</v>
      </c>
      <c r="F43" s="2">
        <v>0.03</v>
      </c>
      <c r="G43" s="103">
        <v>35576</v>
      </c>
      <c r="H43" s="32">
        <f t="shared" si="1"/>
        <v>1067.28</v>
      </c>
      <c r="I43" s="161"/>
    </row>
    <row r="44" spans="1:9" ht="25.5" customHeight="1" x14ac:dyDescent="0.25">
      <c r="A44" s="195">
        <v>28</v>
      </c>
      <c r="B44" s="145"/>
      <c r="C44" s="145" t="s">
        <v>169</v>
      </c>
      <c r="D44" s="8" t="s">
        <v>170</v>
      </c>
      <c r="E44" s="2" t="s">
        <v>171</v>
      </c>
      <c r="F44" s="2">
        <v>0.28000000000000003</v>
      </c>
      <c r="G44" s="103">
        <v>1837.28</v>
      </c>
      <c r="H44" s="32">
        <f t="shared" si="1"/>
        <v>514.44000000000005</v>
      </c>
      <c r="I44" s="161"/>
    </row>
    <row r="45" spans="1:9" x14ac:dyDescent="0.25">
      <c r="A45" s="195">
        <v>29</v>
      </c>
      <c r="B45" s="145"/>
      <c r="C45" s="169" t="s">
        <v>172</v>
      </c>
      <c r="D45" s="114" t="s">
        <v>173</v>
      </c>
      <c r="E45" s="178" t="s">
        <v>174</v>
      </c>
      <c r="F45" s="178">
        <v>4</v>
      </c>
      <c r="G45" s="179">
        <v>50</v>
      </c>
      <c r="H45" s="32">
        <f t="shared" si="1"/>
        <v>200</v>
      </c>
      <c r="I45" s="161"/>
    </row>
    <row r="46" spans="1:9" x14ac:dyDescent="0.25">
      <c r="A46" s="195">
        <v>30</v>
      </c>
      <c r="B46" s="145"/>
      <c r="C46" s="145" t="s">
        <v>175</v>
      </c>
      <c r="D46" s="8" t="s">
        <v>176</v>
      </c>
      <c r="E46" s="2" t="s">
        <v>171</v>
      </c>
      <c r="F46" s="2">
        <v>1.8</v>
      </c>
      <c r="G46" s="103">
        <v>108.4</v>
      </c>
      <c r="H46" s="32">
        <f t="shared" si="1"/>
        <v>195.12</v>
      </c>
      <c r="I46" s="161"/>
    </row>
    <row r="47" spans="1:9" ht="25.5" customHeight="1" x14ac:dyDescent="0.25">
      <c r="A47" s="195">
        <v>31</v>
      </c>
      <c r="B47" s="145"/>
      <c r="C47" s="145" t="s">
        <v>177</v>
      </c>
      <c r="D47" s="8" t="s">
        <v>178</v>
      </c>
      <c r="E47" s="2" t="s">
        <v>179</v>
      </c>
      <c r="F47" s="2">
        <v>165.26589999999999</v>
      </c>
      <c r="G47" s="103">
        <v>1</v>
      </c>
      <c r="H47" s="32">
        <f t="shared" si="1"/>
        <v>165.27</v>
      </c>
      <c r="I47" s="161"/>
    </row>
    <row r="48" spans="1:9" x14ac:dyDescent="0.25">
      <c r="A48" s="195">
        <v>32</v>
      </c>
      <c r="B48" s="145"/>
      <c r="C48" s="145" t="s">
        <v>180</v>
      </c>
      <c r="D48" s="8" t="s">
        <v>181</v>
      </c>
      <c r="E48" s="2" t="s">
        <v>174</v>
      </c>
      <c r="F48" s="2">
        <v>15.3</v>
      </c>
      <c r="G48" s="103">
        <v>9.0399999999999991</v>
      </c>
      <c r="H48" s="32">
        <f t="shared" si="1"/>
        <v>138.31</v>
      </c>
      <c r="I48" s="161"/>
    </row>
    <row r="49" spans="1:9" x14ac:dyDescent="0.25">
      <c r="A49" s="195">
        <v>33</v>
      </c>
      <c r="B49" s="145"/>
      <c r="C49" s="145" t="s">
        <v>182</v>
      </c>
      <c r="D49" s="8" t="s">
        <v>183</v>
      </c>
      <c r="E49" s="2" t="s">
        <v>174</v>
      </c>
      <c r="F49" s="2">
        <v>2.5920000000000001</v>
      </c>
      <c r="G49" s="103">
        <v>28.6</v>
      </c>
      <c r="H49" s="32">
        <f t="shared" si="1"/>
        <v>74.13</v>
      </c>
      <c r="I49" s="161"/>
    </row>
    <row r="50" spans="1:9" x14ac:dyDescent="0.25">
      <c r="A50" s="195">
        <v>34</v>
      </c>
      <c r="B50" s="145"/>
      <c r="C50" s="145" t="s">
        <v>184</v>
      </c>
      <c r="D50" s="8" t="s">
        <v>185</v>
      </c>
      <c r="E50" s="2" t="s">
        <v>163</v>
      </c>
      <c r="F50" s="2">
        <v>9.4199999999999996E-3</v>
      </c>
      <c r="G50" s="103">
        <v>6159.22</v>
      </c>
      <c r="H50" s="32">
        <f t="shared" si="1"/>
        <v>58.02</v>
      </c>
      <c r="I50" s="161"/>
    </row>
    <row r="51" spans="1:9" ht="25.5" customHeight="1" x14ac:dyDescent="0.25">
      <c r="A51" s="195">
        <v>35</v>
      </c>
      <c r="B51" s="145"/>
      <c r="C51" s="145" t="s">
        <v>186</v>
      </c>
      <c r="D51" s="8" t="s">
        <v>187</v>
      </c>
      <c r="E51" s="2" t="s">
        <v>163</v>
      </c>
      <c r="F51" s="2">
        <v>1.0699999999999999E-2</v>
      </c>
      <c r="G51" s="103">
        <v>5000</v>
      </c>
      <c r="H51" s="32">
        <f t="shared" si="1"/>
        <v>53.5</v>
      </c>
      <c r="I51" s="161"/>
    </row>
    <row r="52" spans="1:9" x14ac:dyDescent="0.25">
      <c r="A52" s="195">
        <v>36</v>
      </c>
      <c r="B52" s="145"/>
      <c r="C52" s="145" t="s">
        <v>188</v>
      </c>
      <c r="D52" s="8" t="s">
        <v>189</v>
      </c>
      <c r="E52" s="2" t="s">
        <v>174</v>
      </c>
      <c r="F52" s="2">
        <v>0.13800000000000001</v>
      </c>
      <c r="G52" s="103">
        <v>238.48</v>
      </c>
      <c r="H52" s="32">
        <f t="shared" si="1"/>
        <v>32.909999999999997</v>
      </c>
      <c r="I52" s="161"/>
    </row>
    <row r="53" spans="1:9" x14ac:dyDescent="0.25">
      <c r="A53" s="195">
        <v>37</v>
      </c>
      <c r="B53" s="145"/>
      <c r="C53" s="145" t="s">
        <v>190</v>
      </c>
      <c r="D53" s="8" t="s">
        <v>191</v>
      </c>
      <c r="E53" s="2" t="s">
        <v>192</v>
      </c>
      <c r="F53" s="2">
        <v>0.378</v>
      </c>
      <c r="G53" s="103">
        <v>79.099999999999994</v>
      </c>
      <c r="H53" s="32">
        <f t="shared" si="1"/>
        <v>29.9</v>
      </c>
      <c r="I53" s="161"/>
    </row>
    <row r="54" spans="1:9" x14ac:dyDescent="0.25">
      <c r="A54" s="195">
        <v>38</v>
      </c>
      <c r="B54" s="145"/>
      <c r="C54" s="145" t="s">
        <v>193</v>
      </c>
      <c r="D54" s="8" t="s">
        <v>194</v>
      </c>
      <c r="E54" s="2" t="s">
        <v>166</v>
      </c>
      <c r="F54" s="2">
        <v>0.26519999999999999</v>
      </c>
      <c r="G54" s="103">
        <v>86</v>
      </c>
      <c r="H54" s="32">
        <f t="shared" si="1"/>
        <v>22.81</v>
      </c>
      <c r="I54" s="161"/>
    </row>
    <row r="55" spans="1:9" ht="25.5" customHeight="1" x14ac:dyDescent="0.25">
      <c r="A55" s="195">
        <v>39</v>
      </c>
      <c r="B55" s="145"/>
      <c r="C55" s="145" t="s">
        <v>195</v>
      </c>
      <c r="D55" s="8" t="s">
        <v>196</v>
      </c>
      <c r="E55" s="2" t="s">
        <v>163</v>
      </c>
      <c r="F55" s="2">
        <v>1.1000000000000001E-3</v>
      </c>
      <c r="G55" s="103">
        <v>17500</v>
      </c>
      <c r="H55" s="32">
        <f t="shared" si="1"/>
        <v>19.25</v>
      </c>
      <c r="I55" s="161"/>
    </row>
    <row r="56" spans="1:9" x14ac:dyDescent="0.25">
      <c r="A56" s="195">
        <v>40</v>
      </c>
      <c r="B56" s="145"/>
      <c r="C56" s="145" t="s">
        <v>197</v>
      </c>
      <c r="D56" s="8" t="s">
        <v>198</v>
      </c>
      <c r="E56" s="2" t="s">
        <v>174</v>
      </c>
      <c r="F56" s="2">
        <v>1.758</v>
      </c>
      <c r="G56" s="103">
        <v>10.57</v>
      </c>
      <c r="H56" s="32">
        <f t="shared" si="1"/>
        <v>18.579999999999998</v>
      </c>
      <c r="I56" s="161"/>
    </row>
    <row r="57" spans="1:9" ht="25.5" customHeight="1" x14ac:dyDescent="0.25">
      <c r="A57" s="195">
        <v>41</v>
      </c>
      <c r="B57" s="145"/>
      <c r="C57" s="145" t="s">
        <v>199</v>
      </c>
      <c r="D57" s="8" t="s">
        <v>200</v>
      </c>
      <c r="E57" s="2" t="s">
        <v>201</v>
      </c>
      <c r="F57" s="2">
        <v>0.95</v>
      </c>
      <c r="G57" s="103">
        <v>15.13</v>
      </c>
      <c r="H57" s="32">
        <f t="shared" si="1"/>
        <v>14.37</v>
      </c>
      <c r="I57" s="161"/>
    </row>
    <row r="58" spans="1:9" ht="25.5" customHeight="1" x14ac:dyDescent="0.25">
      <c r="A58" s="195">
        <v>42</v>
      </c>
      <c r="B58" s="145"/>
      <c r="C58" s="145" t="s">
        <v>202</v>
      </c>
      <c r="D58" s="8" t="s">
        <v>203</v>
      </c>
      <c r="E58" s="2" t="s">
        <v>163</v>
      </c>
      <c r="F58" s="2">
        <v>1E-3</v>
      </c>
      <c r="G58" s="103">
        <v>5941.89</v>
      </c>
      <c r="H58" s="32">
        <f t="shared" si="1"/>
        <v>5.94</v>
      </c>
      <c r="I58" s="161"/>
    </row>
    <row r="59" spans="1:9" x14ac:dyDescent="0.25">
      <c r="A59" s="195">
        <v>43</v>
      </c>
      <c r="B59" s="145"/>
      <c r="C59" s="145" t="s">
        <v>204</v>
      </c>
      <c r="D59" s="8" t="s">
        <v>205</v>
      </c>
      <c r="E59" s="2" t="s">
        <v>166</v>
      </c>
      <c r="F59" s="2">
        <v>0.02</v>
      </c>
      <c r="G59" s="103">
        <v>26.6</v>
      </c>
      <c r="H59" s="32">
        <f t="shared" si="1"/>
        <v>0.53</v>
      </c>
      <c r="I59" s="161"/>
    </row>
    <row r="60" spans="1:9" x14ac:dyDescent="0.25">
      <c r="A60" s="195">
        <v>44</v>
      </c>
      <c r="B60" s="145"/>
      <c r="C60" s="145" t="s">
        <v>206</v>
      </c>
      <c r="D60" s="8" t="s">
        <v>207</v>
      </c>
      <c r="E60" s="2" t="s">
        <v>166</v>
      </c>
      <c r="F60" s="2">
        <v>0.26519999999999999</v>
      </c>
      <c r="G60" s="103">
        <v>2</v>
      </c>
      <c r="H60" s="32">
        <f t="shared" si="1"/>
        <v>0.53</v>
      </c>
      <c r="I60" s="161"/>
    </row>
    <row r="61" spans="1:9" ht="25.5" customHeight="1" x14ac:dyDescent="0.25">
      <c r="A61" s="195">
        <v>45</v>
      </c>
      <c r="B61" s="145"/>
      <c r="C61" s="145" t="s">
        <v>208</v>
      </c>
      <c r="D61" s="8" t="s">
        <v>209</v>
      </c>
      <c r="E61" s="2" t="s">
        <v>174</v>
      </c>
      <c r="F61" s="2">
        <v>0.01</v>
      </c>
      <c r="G61" s="103">
        <v>28.22</v>
      </c>
      <c r="H61" s="32">
        <f t="shared" si="1"/>
        <v>0.28000000000000003</v>
      </c>
      <c r="I61" s="161"/>
    </row>
    <row r="62" spans="1:9" x14ac:dyDescent="0.25">
      <c r="C62" s="152"/>
      <c r="D62" s="150"/>
      <c r="E62" s="151"/>
      <c r="F62" s="151"/>
      <c r="G62" s="153"/>
      <c r="H62" s="167"/>
    </row>
    <row r="63" spans="1:9" ht="25.5" customHeight="1" x14ac:dyDescent="0.25">
      <c r="B63" s="164" t="s">
        <v>210</v>
      </c>
      <c r="C63" s="230" t="s">
        <v>211</v>
      </c>
      <c r="D63" s="230"/>
      <c r="E63" s="230"/>
      <c r="F63" s="230"/>
      <c r="G63" s="230"/>
      <c r="H63" s="230"/>
    </row>
    <row r="64" spans="1:9" x14ac:dyDescent="0.25">
      <c r="I64" s="165"/>
    </row>
    <row r="67" spans="2:8" x14ac:dyDescent="0.25">
      <c r="B67" s="198" t="s">
        <v>76</v>
      </c>
      <c r="C67" s="203"/>
      <c r="H67"/>
    </row>
    <row r="68" spans="2:8" x14ac:dyDescent="0.25">
      <c r="B68" s="33" t="s">
        <v>77</v>
      </c>
      <c r="C68" s="203"/>
      <c r="H68"/>
    </row>
    <row r="69" spans="2:8" x14ac:dyDescent="0.25">
      <c r="B69" s="198"/>
      <c r="C69" s="203"/>
      <c r="H69"/>
    </row>
    <row r="70" spans="2:8" x14ac:dyDescent="0.25">
      <c r="B70" s="198" t="s">
        <v>78</v>
      </c>
      <c r="C70" s="203"/>
      <c r="H70"/>
    </row>
    <row r="71" spans="2:8" x14ac:dyDescent="0.25">
      <c r="B71" s="33" t="s">
        <v>79</v>
      </c>
      <c r="C71" s="203"/>
      <c r="H71"/>
    </row>
  </sheetData>
  <mergeCells count="17"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  <mergeCell ref="A6:H7"/>
    <mergeCell ref="C63:H63"/>
    <mergeCell ref="A3:I3"/>
    <mergeCell ref="D9:D10"/>
    <mergeCell ref="C9:C10"/>
    <mergeCell ref="B9:B10"/>
    <mergeCell ref="G9:H9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1" t="s">
        <v>212</v>
      </c>
      <c r="B1" s="221"/>
      <c r="C1" s="221"/>
      <c r="D1" s="221"/>
    </row>
    <row r="2" spans="1:10" x14ac:dyDescent="0.25">
      <c r="A2" s="240" t="str">
        <f>'4.1 Отдел 1'!A10</f>
        <v>И5-05-02</v>
      </c>
      <c r="B2" s="240"/>
      <c r="C2" s="240"/>
      <c r="D2" s="240"/>
    </row>
    <row r="3" spans="1:10" x14ac:dyDescent="0.25">
      <c r="A3" s="241"/>
      <c r="B3" s="241"/>
      <c r="C3" s="241"/>
      <c r="D3" s="241"/>
    </row>
    <row r="4" spans="1:10" ht="51.75" customHeight="1" x14ac:dyDescent="0.25">
      <c r="A4" s="218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500 кВ</v>
      </c>
      <c r="B4" s="218"/>
      <c r="C4" s="218"/>
      <c r="D4" s="218"/>
    </row>
    <row r="5" spans="1:10" ht="15" customHeight="1" x14ac:dyDescent="0.25">
      <c r="A5" s="218"/>
      <c r="B5" s="242"/>
      <c r="C5" s="242"/>
      <c r="D5" s="242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213</v>
      </c>
      <c r="B7" s="2" t="s">
        <v>103</v>
      </c>
      <c r="C7" s="2" t="s">
        <v>214</v>
      </c>
      <c r="D7" s="2" t="s">
        <v>215</v>
      </c>
    </row>
    <row r="8" spans="1:10" x14ac:dyDescent="0.25">
      <c r="A8" s="25" t="s">
        <v>216</v>
      </c>
      <c r="B8" s="26">
        <f>'Прил.5 Расчет СМР и ОБ'!G16</f>
        <v>9211.81</v>
      </c>
      <c r="C8" s="27">
        <f t="shared" ref="C8:C15" si="0">B8/$B$21</f>
        <v>0.21960519835202</v>
      </c>
      <c r="D8" s="27">
        <f t="shared" ref="D8:D15" si="1">B8/$B$35</f>
        <v>6.0085830485211E-3</v>
      </c>
      <c r="I8" s="28"/>
      <c r="J8" s="28"/>
    </row>
    <row r="9" spans="1:10" x14ac:dyDescent="0.25">
      <c r="A9" s="25" t="s">
        <v>217</v>
      </c>
      <c r="B9" s="26">
        <f>'Прил.5 Расчет СМР и ОБ'!G25</f>
        <v>12416.78</v>
      </c>
      <c r="C9" s="27">
        <f t="shared" si="0"/>
        <v>0.29601016898888</v>
      </c>
      <c r="D9" s="27">
        <f t="shared" si="1"/>
        <v>8.0990873482210003E-3</v>
      </c>
      <c r="I9" s="28"/>
      <c r="J9" s="28"/>
    </row>
    <row r="10" spans="1:10" x14ac:dyDescent="0.25">
      <c r="A10" s="25" t="s">
        <v>218</v>
      </c>
      <c r="B10" s="26">
        <f>'Прил.5 Расчет СМР и ОБ'!G35</f>
        <v>973.54</v>
      </c>
      <c r="C10" s="27">
        <f t="shared" si="0"/>
        <v>2.32087336586E-2</v>
      </c>
      <c r="D10" s="27">
        <f t="shared" si="1"/>
        <v>6.3501048556768001E-4</v>
      </c>
      <c r="I10" s="28"/>
      <c r="J10" s="28"/>
    </row>
    <row r="11" spans="1:10" x14ac:dyDescent="0.25">
      <c r="A11" s="25" t="s">
        <v>219</v>
      </c>
      <c r="B11" s="26">
        <f>B9+B10</f>
        <v>13390.32</v>
      </c>
      <c r="C11" s="27">
        <f t="shared" si="0"/>
        <v>0.31921890264746999</v>
      </c>
      <c r="D11" s="27">
        <f t="shared" si="1"/>
        <v>8.7340978337886992E-3</v>
      </c>
      <c r="I11" s="28"/>
      <c r="J11" s="28"/>
    </row>
    <row r="12" spans="1:10" x14ac:dyDescent="0.25">
      <c r="A12" s="25" t="s">
        <v>220</v>
      </c>
      <c r="B12" s="26">
        <f>'Прил.5 Расчет СМР и ОБ'!G18</f>
        <v>91.88</v>
      </c>
      <c r="C12" s="27">
        <f t="shared" si="0"/>
        <v>2.1903757920087E-3</v>
      </c>
      <c r="D12" s="27">
        <f t="shared" si="1"/>
        <v>5.9930525108324997E-5</v>
      </c>
      <c r="I12" s="28"/>
      <c r="J12" s="28"/>
    </row>
    <row r="13" spans="1:10" x14ac:dyDescent="0.25">
      <c r="A13" s="25" t="s">
        <v>221</v>
      </c>
      <c r="B13" s="26">
        <f>'Прил.5 Расчет СМР и ОБ'!G50</f>
        <v>1814.84</v>
      </c>
      <c r="C13" s="27">
        <f t="shared" si="0"/>
        <v>4.3264928192958997E-2</v>
      </c>
      <c r="D13" s="27">
        <f t="shared" si="1"/>
        <v>1.1837648474923E-3</v>
      </c>
      <c r="I13" s="28"/>
      <c r="J13" s="28"/>
    </row>
    <row r="14" spans="1:10" x14ac:dyDescent="0.25">
      <c r="A14" s="25" t="s">
        <v>222</v>
      </c>
      <c r="B14" s="26">
        <f>'Прил.5 Расчет СМР и ОБ'!G72</f>
        <v>1543.89</v>
      </c>
      <c r="C14" s="27">
        <f t="shared" si="0"/>
        <v>3.6805608201179001E-2</v>
      </c>
      <c r="D14" s="27">
        <f t="shared" si="1"/>
        <v>1.0070324162983E-3</v>
      </c>
      <c r="I14" s="28"/>
      <c r="J14" s="28"/>
    </row>
    <row r="15" spans="1:10" x14ac:dyDescent="0.25">
      <c r="A15" s="25" t="s">
        <v>223</v>
      </c>
      <c r="B15" s="26">
        <f>B13+B14</f>
        <v>3358.73</v>
      </c>
      <c r="C15" s="27">
        <f t="shared" si="0"/>
        <v>8.0070536394137998E-2</v>
      </c>
      <c r="D15" s="27">
        <f t="shared" si="1"/>
        <v>2.1907972637906E-3</v>
      </c>
      <c r="I15" s="28"/>
      <c r="J15" s="28"/>
    </row>
    <row r="16" spans="1:10" x14ac:dyDescent="0.25">
      <c r="A16" s="25" t="s">
        <v>224</v>
      </c>
      <c r="B16" s="26">
        <f>B8+B11+B15</f>
        <v>25960.86</v>
      </c>
      <c r="C16" s="27"/>
      <c r="D16" s="27"/>
      <c r="I16" s="28"/>
      <c r="J16" s="28"/>
    </row>
    <row r="17" spans="1:10" x14ac:dyDescent="0.25">
      <c r="A17" s="25" t="s">
        <v>225</v>
      </c>
      <c r="B17" s="26">
        <f>'Прил.5 Расчет СМР и ОБ'!G76</f>
        <v>6706.65</v>
      </c>
      <c r="C17" s="27">
        <f>B17/$B$21</f>
        <v>0.15988336749538001</v>
      </c>
      <c r="D17" s="27">
        <f>B17/$B$35</f>
        <v>4.3745434938806003E-3</v>
      </c>
      <c r="I17" s="28"/>
      <c r="J17" s="28"/>
    </row>
    <row r="18" spans="1:10" x14ac:dyDescent="0.25">
      <c r="A18" s="25" t="s">
        <v>226</v>
      </c>
      <c r="B18" s="29">
        <f>B17/(B8+B12)</f>
        <v>0.72085914298520004</v>
      </c>
      <c r="C18" s="27"/>
      <c r="D18" s="27"/>
      <c r="I18" s="28"/>
      <c r="J18" s="28"/>
    </row>
    <row r="19" spans="1:10" x14ac:dyDescent="0.25">
      <c r="A19" s="25" t="s">
        <v>227</v>
      </c>
      <c r="B19" s="26">
        <f>'Прил.5 Расчет СМР и ОБ'!G75</f>
        <v>9279.6299999999992</v>
      </c>
      <c r="C19" s="27">
        <f>B19/$B$21</f>
        <v>0.22122199511099</v>
      </c>
      <c r="D19" s="27">
        <f>B19/$B$35</f>
        <v>6.0528199685564001E-3</v>
      </c>
      <c r="I19" s="28"/>
      <c r="J19" s="28"/>
    </row>
    <row r="20" spans="1:10" x14ac:dyDescent="0.25">
      <c r="A20" s="25" t="s">
        <v>228</v>
      </c>
      <c r="B20" s="29">
        <f>B19/(B8+B12)</f>
        <v>0.99741392931191997</v>
      </c>
      <c r="C20" s="27"/>
      <c r="D20" s="27"/>
      <c r="J20" s="28"/>
    </row>
    <row r="21" spans="1:10" x14ac:dyDescent="0.25">
      <c r="A21" s="25" t="s">
        <v>229</v>
      </c>
      <c r="B21" s="26">
        <f>B16+B17+B19</f>
        <v>41947.14</v>
      </c>
      <c r="C21" s="27">
        <f>B21/$B$21</f>
        <v>1</v>
      </c>
      <c r="D21" s="27">
        <f>B21/$B$35</f>
        <v>2.7360841608536999E-2</v>
      </c>
      <c r="J21" s="28"/>
    </row>
    <row r="22" spans="1:10" ht="26.45" customHeight="1" x14ac:dyDescent="0.25">
      <c r="A22" s="25" t="s">
        <v>230</v>
      </c>
      <c r="B22" s="26">
        <f>'Прил.6 Расчет ОБ'!G16</f>
        <v>1428455.26</v>
      </c>
      <c r="C22" s="27"/>
      <c r="D22" s="27">
        <f>B22/$B$35</f>
        <v>0.93173785182355995</v>
      </c>
      <c r="J22" s="28"/>
    </row>
    <row r="23" spans="1:10" ht="26.45" customHeight="1" x14ac:dyDescent="0.25">
      <c r="A23" s="25" t="s">
        <v>231</v>
      </c>
      <c r="B23" s="26">
        <f>'Прил.6 Расчет ОБ'!G15</f>
        <v>1428455.26</v>
      </c>
      <c r="C23" s="27"/>
      <c r="D23" s="27">
        <f>B23/$B$35</f>
        <v>0.93173785182355995</v>
      </c>
      <c r="J23" s="28"/>
    </row>
    <row r="24" spans="1:10" x14ac:dyDescent="0.25">
      <c r="A24" s="25" t="s">
        <v>232</v>
      </c>
      <c r="B24" s="26">
        <f>'Прил.5 Расчет СМР и ОБ'!G78</f>
        <v>1480318.49</v>
      </c>
      <c r="C24" s="27"/>
      <c r="D24" s="27">
        <f>B24/$B$35</f>
        <v>0.96556665687051002</v>
      </c>
      <c r="J24" s="28"/>
    </row>
    <row r="25" spans="1:10" ht="26.45" customHeight="1" x14ac:dyDescent="0.25">
      <c r="A25" s="25" t="s">
        <v>233</v>
      </c>
      <c r="B25" s="26"/>
      <c r="C25" s="27"/>
      <c r="D25" s="27"/>
      <c r="J25" s="28"/>
    </row>
    <row r="26" spans="1:10" x14ac:dyDescent="0.25">
      <c r="A26" s="25" t="s">
        <v>234</v>
      </c>
      <c r="B26" s="26">
        <f>'4.7 Прил.6 Расчет Прочие'!I9*1000</f>
        <v>278.41007999999999</v>
      </c>
      <c r="C26" s="27"/>
      <c r="D26" s="27">
        <f>B26/$B$35</f>
        <v>1.815984141255E-4</v>
      </c>
      <c r="J26" s="28"/>
    </row>
    <row r="27" spans="1:10" x14ac:dyDescent="0.25">
      <c r="A27" s="25" t="s">
        <v>235</v>
      </c>
      <c r="B27" s="26">
        <f>'4.7 Прил.6 Расчет Прочие'!I11*1000</f>
        <v>86.950678710000005</v>
      </c>
      <c r="C27" s="27"/>
      <c r="D27" s="27">
        <f>B27/$B$35</f>
        <v>5.6715278990155998E-5</v>
      </c>
      <c r="J27" s="28"/>
    </row>
    <row r="28" spans="1:10" x14ac:dyDescent="0.25">
      <c r="A28" s="25" t="s">
        <v>236</v>
      </c>
      <c r="B28" s="26">
        <f>'4.7 Прил.6 Расчет Прочие'!I12*1000</f>
        <v>5470.4031199999999</v>
      </c>
      <c r="C28" s="27"/>
      <c r="D28" s="27">
        <f>B28/$B$35</f>
        <v>3.5681773131891002E-3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237</v>
      </c>
      <c r="B30" s="26">
        <f>'4.7 Прил.6 Расчет Прочие'!I14*1000</f>
        <v>2300.6417510043998</v>
      </c>
      <c r="C30" s="27"/>
      <c r="D30" s="27">
        <f>B30/$B$35</f>
        <v>1.5006385309516001E-3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238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239</v>
      </c>
      <c r="B33" s="26">
        <f>B24+B26+B27+B28+B30+B32</f>
        <v>1488454.8956297</v>
      </c>
      <c r="C33" s="27"/>
      <c r="D33" s="27">
        <f>B33/$B$35</f>
        <v>0.97087378640777</v>
      </c>
      <c r="J33" s="28"/>
    </row>
    <row r="34" spans="1:10" x14ac:dyDescent="0.25">
      <c r="A34" s="25" t="s">
        <v>240</v>
      </c>
      <c r="B34" s="26">
        <f>B33*3%</f>
        <v>44653.646868891003</v>
      </c>
      <c r="C34" s="27"/>
      <c r="D34" s="27">
        <f>B34/$B$35</f>
        <v>2.9126213592233E-2</v>
      </c>
      <c r="J34" s="28"/>
    </row>
    <row r="35" spans="1:10" x14ac:dyDescent="0.25">
      <c r="A35" s="25" t="s">
        <v>241</v>
      </c>
      <c r="B35" s="26">
        <f>B33+B34</f>
        <v>1533108.5424986</v>
      </c>
      <c r="C35" s="27"/>
      <c r="D35" s="27">
        <f>B35/$B$35</f>
        <v>1</v>
      </c>
      <c r="J35" s="28"/>
    </row>
    <row r="36" spans="1:10" x14ac:dyDescent="0.25">
      <c r="A36" s="25" t="s">
        <v>242</v>
      </c>
      <c r="B36" s="26">
        <f>B35</f>
        <v>1533108.5424986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243</v>
      </c>
      <c r="B38" s="30"/>
      <c r="C38" s="30"/>
      <c r="D38" s="30"/>
    </row>
    <row r="39" spans="1:10" x14ac:dyDescent="0.25">
      <c r="A39" s="31" t="s">
        <v>244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245</v>
      </c>
      <c r="B41" s="30"/>
      <c r="C41" s="30"/>
      <c r="D41" s="30"/>
    </row>
    <row r="42" spans="1:10" x14ac:dyDescent="0.25">
      <c r="A42" s="31" t="s">
        <v>246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5" t="s">
        <v>212</v>
      </c>
      <c r="C5" s="215"/>
      <c r="D5" s="215"/>
      <c r="E5" s="215"/>
    </row>
    <row r="6" spans="2:5" x14ac:dyDescent="0.25">
      <c r="B6" s="140"/>
      <c r="C6" s="4"/>
      <c r="D6" s="4"/>
      <c r="E6" s="4"/>
    </row>
    <row r="7" spans="2:5" ht="25.5" customHeight="1" x14ac:dyDescent="0.25">
      <c r="B7" s="242" t="s">
        <v>48</v>
      </c>
      <c r="C7" s="242"/>
      <c r="D7" s="242"/>
      <c r="E7" s="242"/>
    </row>
    <row r="8" spans="2:5" x14ac:dyDescent="0.25">
      <c r="B8" s="243" t="s">
        <v>50</v>
      </c>
      <c r="C8" s="243"/>
      <c r="D8" s="243"/>
      <c r="E8" s="243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213</v>
      </c>
      <c r="C10" s="2" t="s">
        <v>248</v>
      </c>
      <c r="D10" s="2" t="s">
        <v>249</v>
      </c>
      <c r="E10" s="2" t="s">
        <v>250</v>
      </c>
    </row>
    <row r="11" spans="2:5" x14ac:dyDescent="0.25">
      <c r="B11" s="25" t="s">
        <v>216</v>
      </c>
      <c r="C11" s="181">
        <f>'Прил.5 Расчет СМР и ОБ'!J16</f>
        <v>424823.83</v>
      </c>
      <c r="D11" s="27">
        <f t="shared" ref="D11:D18" si="0">C11/$C$24</f>
        <v>0.31011513495453003</v>
      </c>
      <c r="E11" s="27">
        <f t="shared" ref="E11:E18" si="1">C11/$C$40</f>
        <v>4.9746785616924999E-2</v>
      </c>
    </row>
    <row r="12" spans="2:5" x14ac:dyDescent="0.25">
      <c r="B12" s="25" t="s">
        <v>217</v>
      </c>
      <c r="C12" s="181">
        <f>'Прил.5 Расчет СМР и ОБ'!J25</f>
        <v>167253.95000000001</v>
      </c>
      <c r="D12" s="27">
        <f t="shared" si="0"/>
        <v>0.12209291855385999</v>
      </c>
      <c r="E12" s="27">
        <f t="shared" si="1"/>
        <v>1.9585404129128001E-2</v>
      </c>
    </row>
    <row r="13" spans="2:5" x14ac:dyDescent="0.25">
      <c r="B13" s="25" t="s">
        <v>218</v>
      </c>
      <c r="C13" s="181">
        <f>'Прил.5 Расчет СМР и ОБ'!J35</f>
        <v>13113.42</v>
      </c>
      <c r="D13" s="27">
        <f t="shared" si="0"/>
        <v>9.5726033377540008E-3</v>
      </c>
      <c r="E13" s="27">
        <f t="shared" si="1"/>
        <v>1.5355788620537E-3</v>
      </c>
    </row>
    <row r="14" spans="2:5" x14ac:dyDescent="0.25">
      <c r="B14" s="25" t="s">
        <v>219</v>
      </c>
      <c r="C14" s="181">
        <f>C13+C12</f>
        <v>180367.37</v>
      </c>
      <c r="D14" s="27">
        <f t="shared" si="0"/>
        <v>0.13166552189160999</v>
      </c>
      <c r="E14" s="27">
        <f t="shared" si="1"/>
        <v>2.1120982991180998E-2</v>
      </c>
    </row>
    <row r="15" spans="2:5" x14ac:dyDescent="0.25">
      <c r="B15" s="25" t="s">
        <v>220</v>
      </c>
      <c r="C15" s="181">
        <f>'Прил.5 Расчет СМР и ОБ'!J18</f>
        <v>4068.77</v>
      </c>
      <c r="D15" s="27">
        <f t="shared" si="0"/>
        <v>2.9701421355034E-3</v>
      </c>
      <c r="E15" s="27">
        <f t="shared" si="1"/>
        <v>4.7645215409544001E-4</v>
      </c>
    </row>
    <row r="16" spans="2:5" x14ac:dyDescent="0.25">
      <c r="B16" s="25" t="s">
        <v>221</v>
      </c>
      <c r="C16" s="181">
        <f>'Прил.5 Расчет СМР и ОБ'!J50</f>
        <v>14591.32</v>
      </c>
      <c r="D16" s="27">
        <f t="shared" si="0"/>
        <v>1.065144855684E-2</v>
      </c>
      <c r="E16" s="27">
        <f t="shared" si="1"/>
        <v>1.7086406567822E-3</v>
      </c>
    </row>
    <row r="17" spans="2:5" x14ac:dyDescent="0.25">
      <c r="B17" s="25" t="s">
        <v>222</v>
      </c>
      <c r="C17" s="181">
        <f>'Прил.5 Расчет СМР и ОБ'!J72</f>
        <v>12412.88</v>
      </c>
      <c r="D17" s="27">
        <f t="shared" si="0"/>
        <v>9.0612194621341995E-3</v>
      </c>
      <c r="E17" s="27">
        <f t="shared" si="1"/>
        <v>1.4535457680154001E-3</v>
      </c>
    </row>
    <row r="18" spans="2:5" x14ac:dyDescent="0.25">
      <c r="B18" s="25" t="s">
        <v>223</v>
      </c>
      <c r="C18" s="181">
        <f>C17+C16</f>
        <v>27004.2</v>
      </c>
      <c r="D18" s="27">
        <f t="shared" si="0"/>
        <v>1.9712668018973999E-2</v>
      </c>
      <c r="E18" s="27">
        <f t="shared" si="1"/>
        <v>3.1621864247977E-3</v>
      </c>
    </row>
    <row r="19" spans="2:5" x14ac:dyDescent="0.25">
      <c r="B19" s="25" t="s">
        <v>224</v>
      </c>
      <c r="C19" s="181">
        <f>C18+C14+C11</f>
        <v>632195.4</v>
      </c>
      <c r="D19" s="27"/>
      <c r="E19" s="25"/>
    </row>
    <row r="20" spans="2:5" x14ac:dyDescent="0.25">
      <c r="B20" s="25" t="s">
        <v>225</v>
      </c>
      <c r="C20" s="181">
        <f>ROUND(C21*(C11+C15),2)</f>
        <v>308802.67</v>
      </c>
      <c r="D20" s="27">
        <f>C20/$C$24</f>
        <v>0.22542139804485001</v>
      </c>
      <c r="E20" s="27">
        <f>C20/$C$40</f>
        <v>3.6160730960935E-2</v>
      </c>
    </row>
    <row r="21" spans="2:5" x14ac:dyDescent="0.25">
      <c r="B21" s="25" t="s">
        <v>226</v>
      </c>
      <c r="C21" s="29">
        <f>'Прил.5 Расчет СМР и ОБ'!D76</f>
        <v>0.72</v>
      </c>
      <c r="D21" s="27"/>
      <c r="E21" s="25"/>
    </row>
    <row r="22" spans="2:5" x14ac:dyDescent="0.25">
      <c r="B22" s="25" t="s">
        <v>227</v>
      </c>
      <c r="C22" s="181">
        <f>ROUND(C23*(C11+C15),2)</f>
        <v>428892.6</v>
      </c>
      <c r="D22" s="27">
        <f>C22/$C$24</f>
        <v>0.31308527709002998</v>
      </c>
      <c r="E22" s="27">
        <f>C22/$C$40</f>
        <v>5.0223237771020002E-2</v>
      </c>
    </row>
    <row r="23" spans="2:5" x14ac:dyDescent="0.25">
      <c r="B23" s="25" t="s">
        <v>228</v>
      </c>
      <c r="C23" s="29">
        <f>'Прил.5 Расчет СМР и ОБ'!D75</f>
        <v>1</v>
      </c>
      <c r="D23" s="27"/>
      <c r="E23" s="25"/>
    </row>
    <row r="24" spans="2:5" x14ac:dyDescent="0.25">
      <c r="B24" s="25" t="s">
        <v>229</v>
      </c>
      <c r="C24" s="181">
        <f>C19+C20+C22</f>
        <v>1369890.67</v>
      </c>
      <c r="D24" s="27">
        <f>C24/$C$24</f>
        <v>1</v>
      </c>
      <c r="E24" s="27">
        <f>C24/$C$40</f>
        <v>0.16041392376485999</v>
      </c>
    </row>
    <row r="25" spans="2:5" ht="25.5" customHeight="1" x14ac:dyDescent="0.25">
      <c r="B25" s="25" t="s">
        <v>230</v>
      </c>
      <c r="C25" s="181">
        <f>'Прил.5 Расчет СМР и ОБ'!J44</f>
        <v>6599696.9500000002</v>
      </c>
      <c r="D25" s="27"/>
      <c r="E25" s="27">
        <f>C25/$C$40</f>
        <v>0.77282319428343005</v>
      </c>
    </row>
    <row r="26" spans="2:5" ht="25.5" customHeight="1" x14ac:dyDescent="0.25">
      <c r="B26" s="25" t="s">
        <v>231</v>
      </c>
      <c r="C26" s="181">
        <f>C25</f>
        <v>6599696.9500000002</v>
      </c>
      <c r="D26" s="27"/>
      <c r="E26" s="27">
        <f>C26/$C$40</f>
        <v>0.77282319428343005</v>
      </c>
    </row>
    <row r="27" spans="2:5" x14ac:dyDescent="0.25">
      <c r="B27" s="25" t="s">
        <v>232</v>
      </c>
      <c r="C27" s="26">
        <f>C24+C25</f>
        <v>7969587.6200000001</v>
      </c>
      <c r="D27" s="27"/>
      <c r="E27" s="27">
        <f>C27/$C$40</f>
        <v>0.93323711804829002</v>
      </c>
    </row>
    <row r="28" spans="2:5" ht="33" customHeight="1" x14ac:dyDescent="0.25">
      <c r="B28" s="25" t="s">
        <v>233</v>
      </c>
      <c r="C28" s="25"/>
      <c r="D28" s="25"/>
      <c r="E28" s="25"/>
    </row>
    <row r="29" spans="2:5" ht="25.5" customHeight="1" x14ac:dyDescent="0.25">
      <c r="B29" s="25" t="s">
        <v>251</v>
      </c>
      <c r="C29" s="26">
        <f>ROUND(C24*3.9%,2)</f>
        <v>53425.74</v>
      </c>
      <c r="D29" s="25"/>
      <c r="E29" s="27">
        <f t="shared" ref="E29:E38" si="2">C29/$C$40</f>
        <v>6.2561434800056997E-3</v>
      </c>
    </row>
    <row r="30" spans="2:5" ht="38.25" customHeight="1" x14ac:dyDescent="0.25">
      <c r="B30" s="25" t="s">
        <v>252</v>
      </c>
      <c r="C30" s="26">
        <f>ROUND((C24+C29)*2.1%,2)</f>
        <v>29889.64</v>
      </c>
      <c r="D30" s="25"/>
      <c r="E30" s="27">
        <f t="shared" si="2"/>
        <v>3.5000708723120998E-3</v>
      </c>
    </row>
    <row r="31" spans="2:5" x14ac:dyDescent="0.25">
      <c r="B31" s="25" t="s">
        <v>236</v>
      </c>
      <c r="C31" s="26">
        <v>48518.14</v>
      </c>
      <c r="D31" s="25"/>
      <c r="E31" s="27">
        <f t="shared" si="2"/>
        <v>5.6814645005012002E-3</v>
      </c>
    </row>
    <row r="32" spans="2:5" ht="25.5" customHeight="1" x14ac:dyDescent="0.25">
      <c r="B32" s="25" t="s">
        <v>253</v>
      </c>
      <c r="C32" s="26">
        <f>ROUND(C26*0%,2)</f>
        <v>0</v>
      </c>
      <c r="D32" s="25"/>
      <c r="E32" s="27">
        <f t="shared" si="2"/>
        <v>0</v>
      </c>
    </row>
    <row r="33" spans="2:11" ht="25.5" customHeight="1" x14ac:dyDescent="0.25">
      <c r="B33" s="25" t="s">
        <v>254</v>
      </c>
      <c r="C33" s="26">
        <f>ROUND(C27*0%,2)</f>
        <v>0</v>
      </c>
      <c r="D33" s="25"/>
      <c r="E33" s="27">
        <f t="shared" si="2"/>
        <v>0</v>
      </c>
    </row>
    <row r="34" spans="2:11" ht="51" customHeight="1" x14ac:dyDescent="0.25">
      <c r="B34" s="25" t="s">
        <v>255</v>
      </c>
      <c r="C34" s="26">
        <f>ROUND(C28*0%,2)</f>
        <v>0</v>
      </c>
      <c r="D34" s="25"/>
      <c r="E34" s="27">
        <f t="shared" si="2"/>
        <v>0</v>
      </c>
    </row>
    <row r="35" spans="2:11" ht="76.5" customHeight="1" x14ac:dyDescent="0.25">
      <c r="B35" s="25" t="s">
        <v>256</v>
      </c>
      <c r="C35" s="26">
        <f>ROUND(C29*0%,2)</f>
        <v>0</v>
      </c>
      <c r="D35" s="25"/>
      <c r="E35" s="27">
        <f t="shared" si="2"/>
        <v>0</v>
      </c>
    </row>
    <row r="36" spans="2:11" ht="25.5" customHeight="1" x14ac:dyDescent="0.25">
      <c r="B36" s="25" t="s">
        <v>257</v>
      </c>
      <c r="C36" s="26">
        <f>ROUND((C27+C32+C33+C34+C35+C29+C31+C30)*2.14%,2)</f>
        <v>173370.41</v>
      </c>
      <c r="D36" s="25"/>
      <c r="E36" s="27">
        <f t="shared" si="2"/>
        <v>2.0301640373113002E-2</v>
      </c>
      <c r="K36" s="141"/>
    </row>
    <row r="37" spans="2:11" x14ac:dyDescent="0.25">
      <c r="B37" s="25" t="s">
        <v>258</v>
      </c>
      <c r="C37" s="26">
        <f>ROUND((C27+C32+C33+C34+C35+C29+C31+C30)*0.2%,2)</f>
        <v>16202.84</v>
      </c>
      <c r="D37" s="25"/>
      <c r="E37" s="27">
        <f t="shared" si="2"/>
        <v>1.8973493268147001E-3</v>
      </c>
      <c r="K37" s="141"/>
    </row>
    <row r="38" spans="2:11" ht="38.25" customHeight="1" x14ac:dyDescent="0.25">
      <c r="B38" s="25" t="s">
        <v>239</v>
      </c>
      <c r="C38" s="181">
        <f>C27+C32+C33+C34+C35+C29+C31+C30+C36+C37</f>
        <v>8290994.3899999997</v>
      </c>
      <c r="D38" s="25"/>
      <c r="E38" s="27">
        <f t="shared" si="2"/>
        <v>0.97087378660103996</v>
      </c>
    </row>
    <row r="39" spans="2:11" ht="13.5" customHeight="1" x14ac:dyDescent="0.25">
      <c r="B39" s="25" t="s">
        <v>240</v>
      </c>
      <c r="C39" s="181">
        <f>ROUND(C38*3%,2)</f>
        <v>248729.83</v>
      </c>
      <c r="D39" s="25"/>
      <c r="E39" s="27">
        <f>C39/$C$38</f>
        <v>2.9999999794958002E-2</v>
      </c>
    </row>
    <row r="40" spans="2:11" x14ac:dyDescent="0.25">
      <c r="B40" s="25" t="s">
        <v>241</v>
      </c>
      <c r="C40" s="181">
        <f>C39+C38</f>
        <v>8539724.2200000007</v>
      </c>
      <c r="D40" s="25"/>
      <c r="E40" s="27">
        <f>C40/$C$40</f>
        <v>1</v>
      </c>
    </row>
    <row r="41" spans="2:11" x14ac:dyDescent="0.25">
      <c r="B41" s="25" t="s">
        <v>242</v>
      </c>
      <c r="C41" s="181">
        <f>C40/'Прил.5 Расчет СМР и ОБ'!E79</f>
        <v>8539724.2200000007</v>
      </c>
      <c r="D41" s="25"/>
      <c r="E41" s="25"/>
    </row>
    <row r="42" spans="2:11" x14ac:dyDescent="0.25">
      <c r="B42" s="142"/>
      <c r="C42" s="4"/>
      <c r="D42" s="4"/>
      <c r="E42" s="4"/>
    </row>
    <row r="43" spans="2:11" x14ac:dyDescent="0.25">
      <c r="B43" s="198" t="s">
        <v>76</v>
      </c>
      <c r="C43" s="203"/>
    </row>
    <row r="44" spans="2:11" x14ac:dyDescent="0.25">
      <c r="B44" s="33" t="s">
        <v>77</v>
      </c>
      <c r="C44" s="203"/>
    </row>
    <row r="45" spans="2:11" x14ac:dyDescent="0.25">
      <c r="B45" s="198"/>
      <c r="C45" s="203"/>
    </row>
    <row r="46" spans="2:11" x14ac:dyDescent="0.25">
      <c r="B46" s="198" t="s">
        <v>78</v>
      </c>
      <c r="C46" s="203"/>
    </row>
    <row r="47" spans="2:11" x14ac:dyDescent="0.25">
      <c r="B47" s="33" t="s">
        <v>79</v>
      </c>
      <c r="C47" s="203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view="pageBreakPreview" topLeftCell="A61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4" t="s">
        <v>259</v>
      </c>
      <c r="I2" s="244"/>
      <c r="J2" s="24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5" t="s">
        <v>260</v>
      </c>
      <c r="B4" s="215"/>
      <c r="C4" s="215"/>
      <c r="D4" s="215"/>
      <c r="E4" s="215"/>
      <c r="F4" s="215"/>
      <c r="G4" s="215"/>
      <c r="H4" s="215"/>
      <c r="I4" s="215"/>
      <c r="J4" s="215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1" t="s">
        <v>261</v>
      </c>
      <c r="B6" s="191"/>
      <c r="C6" s="191"/>
      <c r="D6" s="212" t="s">
        <v>262</v>
      </c>
      <c r="E6" s="191"/>
      <c r="F6" s="191"/>
      <c r="G6" s="191"/>
      <c r="H6" s="191"/>
      <c r="I6" s="144"/>
      <c r="J6" s="144"/>
    </row>
    <row r="7" spans="1:14" s="4" customFormat="1" ht="12.75" customHeight="1" x14ac:dyDescent="0.2">
      <c r="A7" s="218" t="s">
        <v>263</v>
      </c>
      <c r="B7" s="242"/>
      <c r="C7" s="242"/>
      <c r="D7" s="242"/>
      <c r="E7" s="242"/>
      <c r="F7" s="242"/>
      <c r="G7" s="242"/>
      <c r="H7" s="242"/>
      <c r="I7" s="49"/>
      <c r="J7" s="49"/>
    </row>
    <row r="8" spans="1:14" s="4" customFormat="1" ht="13.5" customHeight="1" x14ac:dyDescent="0.2">
      <c r="A8" s="218"/>
      <c r="B8" s="242"/>
      <c r="C8" s="242"/>
      <c r="D8" s="242"/>
      <c r="E8" s="242"/>
      <c r="F8" s="242"/>
      <c r="G8" s="242"/>
      <c r="H8" s="242"/>
    </row>
    <row r="9" spans="1:14" ht="27" customHeight="1" x14ac:dyDescent="0.25">
      <c r="A9" s="247" t="s">
        <v>13</v>
      </c>
      <c r="B9" s="247" t="s">
        <v>99</v>
      </c>
      <c r="C9" s="247" t="s">
        <v>213</v>
      </c>
      <c r="D9" s="247" t="s">
        <v>101</v>
      </c>
      <c r="E9" s="248" t="s">
        <v>264</v>
      </c>
      <c r="F9" s="245" t="s">
        <v>103</v>
      </c>
      <c r="G9" s="246"/>
      <c r="H9" s="248" t="s">
        <v>265</v>
      </c>
      <c r="I9" s="245" t="s">
        <v>266</v>
      </c>
      <c r="J9" s="246"/>
      <c r="M9" s="12"/>
      <c r="N9" s="12"/>
    </row>
    <row r="10" spans="1:14" ht="28.5" customHeight="1" x14ac:dyDescent="0.25">
      <c r="A10" s="247"/>
      <c r="B10" s="247"/>
      <c r="C10" s="247"/>
      <c r="D10" s="247"/>
      <c r="E10" s="249"/>
      <c r="F10" s="2" t="s">
        <v>267</v>
      </c>
      <c r="G10" s="2" t="s">
        <v>105</v>
      </c>
      <c r="H10" s="249"/>
      <c r="I10" s="2" t="s">
        <v>267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8">
        <v>9</v>
      </c>
      <c r="J11" s="178">
        <v>10</v>
      </c>
      <c r="M11" s="12"/>
      <c r="N11" s="12"/>
    </row>
    <row r="12" spans="1:14" x14ac:dyDescent="0.25">
      <c r="A12" s="2"/>
      <c r="B12" s="254" t="s">
        <v>268</v>
      </c>
      <c r="C12" s="250"/>
      <c r="D12" s="247"/>
      <c r="E12" s="251"/>
      <c r="F12" s="252"/>
      <c r="G12" s="252"/>
      <c r="H12" s="253"/>
      <c r="I12" s="183"/>
      <c r="J12" s="183"/>
    </row>
    <row r="13" spans="1:14" ht="25.5" customHeight="1" x14ac:dyDescent="0.25">
      <c r="A13" s="2">
        <v>1</v>
      </c>
      <c r="B13" s="145" t="s">
        <v>113</v>
      </c>
      <c r="C13" s="8" t="s">
        <v>269</v>
      </c>
      <c r="D13" s="2" t="s">
        <v>110</v>
      </c>
      <c r="E13" s="146">
        <f>G13/F13</f>
        <v>310.31288981288998</v>
      </c>
      <c r="F13" s="32">
        <v>9.6199999999999992</v>
      </c>
      <c r="G13" s="32">
        <f>SUM('Прил. 3'!H15:H17)</f>
        <v>2985.21</v>
      </c>
      <c r="H13" s="184">
        <f>G13/G16</f>
        <v>0.32406334911380003</v>
      </c>
      <c r="I13" s="32">
        <f>ФОТр.тек.!E13</f>
        <v>444.39870291576</v>
      </c>
      <c r="J13" s="32">
        <f>ROUND(I13*E13,2)</f>
        <v>137902.65</v>
      </c>
    </row>
    <row r="14" spans="1:14" x14ac:dyDescent="0.25">
      <c r="A14" s="2">
        <v>2</v>
      </c>
      <c r="B14" s="145" t="s">
        <v>108</v>
      </c>
      <c r="C14" s="8" t="s">
        <v>109</v>
      </c>
      <c r="D14" s="2" t="s">
        <v>110</v>
      </c>
      <c r="E14" s="146">
        <f>G14/F14</f>
        <v>210.50032278890001</v>
      </c>
      <c r="F14" s="32">
        <v>15.49</v>
      </c>
      <c r="G14" s="32">
        <f>'Прил. 3'!H13</f>
        <v>3260.65</v>
      </c>
      <c r="H14" s="184">
        <f>G14/G16</f>
        <v>0.35396409608968998</v>
      </c>
      <c r="I14" s="32">
        <f>ФОТр.тек.!E21</f>
        <v>713.02776960364997</v>
      </c>
      <c r="J14" s="32">
        <f>ROUND(I14*E14,2)</f>
        <v>150092.57999999999</v>
      </c>
    </row>
    <row r="15" spans="1:14" x14ac:dyDescent="0.25">
      <c r="A15" s="2">
        <v>3</v>
      </c>
      <c r="B15" s="145" t="s">
        <v>111</v>
      </c>
      <c r="C15" s="8" t="s">
        <v>112</v>
      </c>
      <c r="D15" s="2" t="s">
        <v>110</v>
      </c>
      <c r="E15" s="146">
        <f>G15/F15</f>
        <v>210.50035486159999</v>
      </c>
      <c r="F15" s="32">
        <v>14.09</v>
      </c>
      <c r="G15" s="32">
        <f>'Прил. 3'!H14</f>
        <v>2965.95</v>
      </c>
      <c r="H15" s="184">
        <f>G15/G16</f>
        <v>0.32197255479650999</v>
      </c>
      <c r="I15" s="32">
        <f>ФОТр.тек.!E29</f>
        <v>650.01601322007002</v>
      </c>
      <c r="J15" s="32">
        <f>ROUND(I15*E15,2)</f>
        <v>136828.6</v>
      </c>
    </row>
    <row r="16" spans="1:14" s="12" customFormat="1" ht="25.5" customHeight="1" x14ac:dyDescent="0.2">
      <c r="A16" s="2"/>
      <c r="B16" s="2"/>
      <c r="C16" s="104" t="s">
        <v>270</v>
      </c>
      <c r="D16" s="2" t="s">
        <v>110</v>
      </c>
      <c r="E16" s="146">
        <f>SUM(E13:E15)</f>
        <v>731.31356746338997</v>
      </c>
      <c r="F16" s="32"/>
      <c r="G16" s="32">
        <f>SUM(G13:G15)</f>
        <v>9211.81</v>
      </c>
      <c r="H16" s="182">
        <v>1</v>
      </c>
      <c r="I16" s="183"/>
      <c r="J16" s="32">
        <f>SUM(J13:J15)</f>
        <v>424823.83</v>
      </c>
    </row>
    <row r="17" spans="1:10" s="12" customFormat="1" ht="14.25" customHeight="1" x14ac:dyDescent="0.2">
      <c r="A17" s="2"/>
      <c r="B17" s="250" t="s">
        <v>120</v>
      </c>
      <c r="C17" s="250"/>
      <c r="D17" s="247"/>
      <c r="E17" s="251"/>
      <c r="F17" s="252"/>
      <c r="G17" s="252"/>
      <c r="H17" s="253"/>
      <c r="I17" s="183"/>
      <c r="J17" s="183"/>
    </row>
    <row r="18" spans="1:10" s="12" customFormat="1" ht="14.25" customHeight="1" x14ac:dyDescent="0.2">
      <c r="A18" s="2">
        <v>4</v>
      </c>
      <c r="B18" s="2">
        <v>2</v>
      </c>
      <c r="C18" s="8" t="s">
        <v>120</v>
      </c>
      <c r="D18" s="2" t="s">
        <v>110</v>
      </c>
      <c r="E18" s="146">
        <v>121.4922</v>
      </c>
      <c r="F18" s="32">
        <f>G18/E18</f>
        <v>0.75626254195743003</v>
      </c>
      <c r="G18" s="32">
        <f>'Прил. 3'!H19</f>
        <v>91.88</v>
      </c>
      <c r="H18" s="182">
        <v>1</v>
      </c>
      <c r="I18" s="32">
        <f>ROUND(F18*'Прил. 10'!D11,2)</f>
        <v>33.49</v>
      </c>
      <c r="J18" s="32">
        <f>ROUND(I18*E18,2)</f>
        <v>4068.77</v>
      </c>
    </row>
    <row r="19" spans="1:10" s="12" customFormat="1" ht="14.25" customHeight="1" x14ac:dyDescent="0.2">
      <c r="A19" s="2"/>
      <c r="B19" s="254" t="s">
        <v>122</v>
      </c>
      <c r="C19" s="250"/>
      <c r="D19" s="247"/>
      <c r="E19" s="251"/>
      <c r="F19" s="252"/>
      <c r="G19" s="252"/>
      <c r="H19" s="253"/>
      <c r="I19" s="183"/>
      <c r="J19" s="183"/>
    </row>
    <row r="20" spans="1:10" s="12" customFormat="1" ht="14.25" customHeight="1" x14ac:dyDescent="0.2">
      <c r="A20" s="2"/>
      <c r="B20" s="250" t="s">
        <v>271</v>
      </c>
      <c r="C20" s="250"/>
      <c r="D20" s="247"/>
      <c r="E20" s="251"/>
      <c r="F20" s="252"/>
      <c r="G20" s="252"/>
      <c r="H20" s="253"/>
      <c r="I20" s="183"/>
      <c r="J20" s="183"/>
    </row>
    <row r="21" spans="1:10" s="12" customFormat="1" ht="38.25" customHeight="1" x14ac:dyDescent="0.2">
      <c r="A21" s="2">
        <v>5</v>
      </c>
      <c r="B21" s="145" t="s">
        <v>123</v>
      </c>
      <c r="C21" s="8" t="s">
        <v>124</v>
      </c>
      <c r="D21" s="2" t="s">
        <v>125</v>
      </c>
      <c r="E21" s="146">
        <v>48</v>
      </c>
      <c r="F21" s="103">
        <v>110.86</v>
      </c>
      <c r="G21" s="32">
        <f>ROUND(E21*F21,2)</f>
        <v>5321.28</v>
      </c>
      <c r="H21" s="184">
        <f>G21/$G$36</f>
        <v>0.39739752298675002</v>
      </c>
      <c r="I21" s="32">
        <f>ROUND(F21*'Прил. 10'!D12,2)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45" t="s">
        <v>126</v>
      </c>
      <c r="C22" s="8" t="s">
        <v>127</v>
      </c>
      <c r="D22" s="2" t="s">
        <v>125</v>
      </c>
      <c r="E22" s="146">
        <v>32.46</v>
      </c>
      <c r="F22" s="103">
        <v>111.99</v>
      </c>
      <c r="G22" s="32">
        <f>ROUND(E22*F22,2)</f>
        <v>3635.2</v>
      </c>
      <c r="H22" s="184">
        <f>G22/$G$36</f>
        <v>0.27147969578024</v>
      </c>
      <c r="I22" s="32">
        <f>ROUND(F22*'Прил. 10'!D12,2)</f>
        <v>1508.51</v>
      </c>
      <c r="J22" s="32">
        <f>ROUND(I22*E22,2)</f>
        <v>48966.23</v>
      </c>
    </row>
    <row r="23" spans="1:10" s="12" customFormat="1" ht="25.5" customHeight="1" x14ac:dyDescent="0.2">
      <c r="A23" s="2">
        <v>7</v>
      </c>
      <c r="B23" s="145" t="s">
        <v>128</v>
      </c>
      <c r="C23" s="8" t="s">
        <v>129</v>
      </c>
      <c r="D23" s="2" t="s">
        <v>125</v>
      </c>
      <c r="E23" s="146">
        <v>8.25</v>
      </c>
      <c r="F23" s="103">
        <v>287.99</v>
      </c>
      <c r="G23" s="32">
        <f>ROUND(E23*F23,2)</f>
        <v>2375.92</v>
      </c>
      <c r="H23" s="184">
        <f>G23/$G$36</f>
        <v>0.17743564007432</v>
      </c>
      <c r="I23" s="32">
        <f>ROUND(F23*'Прил. 10'!D12,2)</f>
        <v>3879.23</v>
      </c>
      <c r="J23" s="32">
        <f>ROUND(I23*E23,2)</f>
        <v>32003.65</v>
      </c>
    </row>
    <row r="24" spans="1:10" s="12" customFormat="1" ht="25.5" customHeight="1" x14ac:dyDescent="0.2">
      <c r="A24" s="2">
        <v>8</v>
      </c>
      <c r="B24" s="145" t="s">
        <v>130</v>
      </c>
      <c r="C24" s="8" t="s">
        <v>131</v>
      </c>
      <c r="D24" s="2" t="s">
        <v>125</v>
      </c>
      <c r="E24" s="146">
        <v>8.25</v>
      </c>
      <c r="F24" s="103">
        <v>131.44</v>
      </c>
      <c r="G24" s="32">
        <f>ROUND(E24*F24,2)</f>
        <v>1084.3800000000001</v>
      </c>
      <c r="H24" s="184">
        <f>G24/$G$36</f>
        <v>8.0982381302313999E-2</v>
      </c>
      <c r="I24" s="32">
        <f>ROUND(F24*'Прил. 10'!D12,2)</f>
        <v>1770.5</v>
      </c>
      <c r="J24" s="32">
        <f>ROUND(I24*E24,2)</f>
        <v>14606.63</v>
      </c>
    </row>
    <row r="25" spans="1:10" s="12" customFormat="1" ht="14.25" customHeight="1" x14ac:dyDescent="0.2">
      <c r="A25" s="2"/>
      <c r="B25" s="2"/>
      <c r="C25" s="8" t="s">
        <v>272</v>
      </c>
      <c r="D25" s="2"/>
      <c r="E25" s="146"/>
      <c r="F25" s="32"/>
      <c r="G25" s="32">
        <f>SUM(G21:G24)</f>
        <v>12416.78</v>
      </c>
      <c r="H25" s="182">
        <f>G25/G36</f>
        <v>0.92729524014362996</v>
      </c>
      <c r="I25" s="185"/>
      <c r="J25" s="32">
        <f>SUM(J21:J24)</f>
        <v>167253.95000000001</v>
      </c>
    </row>
    <row r="26" spans="1:10" s="12" customFormat="1" ht="25.5" customHeight="1" outlineLevel="1" x14ac:dyDescent="0.2">
      <c r="A26" s="2">
        <v>9</v>
      </c>
      <c r="B26" s="145" t="s">
        <v>132</v>
      </c>
      <c r="C26" s="8" t="s">
        <v>133</v>
      </c>
      <c r="D26" s="2" t="s">
        <v>125</v>
      </c>
      <c r="E26" s="146">
        <v>15.88</v>
      </c>
      <c r="F26" s="103">
        <v>29.6</v>
      </c>
      <c r="G26" s="32">
        <f t="shared" ref="G26:G34" si="0">ROUND(E26*F26,2)</f>
        <v>470.05</v>
      </c>
      <c r="H26" s="184">
        <f t="shared" ref="H26:H34" si="1">G26/$G$36</f>
        <v>3.5103716714761E-2</v>
      </c>
      <c r="I26" s="47">
        <f>ROUND(F26*'Прил. 10'!$D$12,2)</f>
        <v>398.71</v>
      </c>
      <c r="J26" s="32">
        <f t="shared" ref="J26:J34" si="2">ROUND(I26*E26,2)</f>
        <v>6331.51</v>
      </c>
    </row>
    <row r="27" spans="1:10" s="12" customFormat="1" ht="25.5" customHeight="1" outlineLevel="1" x14ac:dyDescent="0.2">
      <c r="A27" s="2">
        <v>10</v>
      </c>
      <c r="B27" s="145" t="s">
        <v>134</v>
      </c>
      <c r="C27" s="8" t="s">
        <v>135</v>
      </c>
      <c r="D27" s="2" t="s">
        <v>125</v>
      </c>
      <c r="E27" s="146">
        <v>6.2</v>
      </c>
      <c r="F27" s="103">
        <v>65.709999999999994</v>
      </c>
      <c r="G27" s="32">
        <f t="shared" si="0"/>
        <v>407.4</v>
      </c>
      <c r="H27" s="184">
        <f t="shared" si="1"/>
        <v>3.0424963705124E-2</v>
      </c>
      <c r="I27" s="47">
        <f>ROUND(F27*'Прил. 10'!$D$12,2)</f>
        <v>885.11</v>
      </c>
      <c r="J27" s="32">
        <f t="shared" si="2"/>
        <v>5487.68</v>
      </c>
    </row>
    <row r="28" spans="1:10" s="12" customFormat="1" ht="25.5" customHeight="1" outlineLevel="1" x14ac:dyDescent="0.2">
      <c r="A28" s="2">
        <v>11</v>
      </c>
      <c r="B28" s="145" t="s">
        <v>136</v>
      </c>
      <c r="C28" s="8" t="s">
        <v>137</v>
      </c>
      <c r="D28" s="2" t="s">
        <v>125</v>
      </c>
      <c r="E28" s="146">
        <v>9.08</v>
      </c>
      <c r="F28" s="103">
        <v>8.1</v>
      </c>
      <c r="G28" s="32">
        <f t="shared" si="0"/>
        <v>73.55</v>
      </c>
      <c r="H28" s="184">
        <f t="shared" si="1"/>
        <v>5.492773884418E-3</v>
      </c>
      <c r="I28" s="47">
        <f>ROUND(F28*'Прил. 10'!$D$12,2)</f>
        <v>109.11</v>
      </c>
      <c r="J28" s="32">
        <f t="shared" si="2"/>
        <v>990.72</v>
      </c>
    </row>
    <row r="29" spans="1:10" s="12" customFormat="1" ht="25.5" customHeight="1" outlineLevel="1" x14ac:dyDescent="0.2">
      <c r="A29" s="2">
        <v>12</v>
      </c>
      <c r="B29" s="145" t="s">
        <v>138</v>
      </c>
      <c r="C29" s="8" t="s">
        <v>139</v>
      </c>
      <c r="D29" s="2" t="s">
        <v>125</v>
      </c>
      <c r="E29" s="146">
        <v>16.5</v>
      </c>
      <c r="F29" s="103">
        <v>0.9</v>
      </c>
      <c r="G29" s="32">
        <f t="shared" si="0"/>
        <v>14.85</v>
      </c>
      <c r="H29" s="184">
        <f t="shared" si="1"/>
        <v>1.1090100908716001E-3</v>
      </c>
      <c r="I29" s="47">
        <f>ROUND(F29*'Прил. 10'!$D$12,2)</f>
        <v>12.12</v>
      </c>
      <c r="J29" s="32">
        <f t="shared" si="2"/>
        <v>199.98</v>
      </c>
    </row>
    <row r="30" spans="1:10" s="12" customFormat="1" ht="25.5" customHeight="1" outlineLevel="1" x14ac:dyDescent="0.2">
      <c r="A30" s="2">
        <v>13</v>
      </c>
      <c r="B30" s="145" t="s">
        <v>140</v>
      </c>
      <c r="C30" s="8" t="s">
        <v>141</v>
      </c>
      <c r="D30" s="2" t="s">
        <v>125</v>
      </c>
      <c r="E30" s="146">
        <v>0.05</v>
      </c>
      <c r="F30" s="103">
        <v>70</v>
      </c>
      <c r="G30" s="32">
        <f t="shared" si="0"/>
        <v>3.5</v>
      </c>
      <c r="H30" s="184">
        <f t="shared" si="1"/>
        <v>2.6138284970037999E-4</v>
      </c>
      <c r="I30" s="47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2">
        <v>14</v>
      </c>
      <c r="B31" s="145" t="s">
        <v>142</v>
      </c>
      <c r="C31" s="8" t="s">
        <v>143</v>
      </c>
      <c r="D31" s="2" t="s">
        <v>125</v>
      </c>
      <c r="E31" s="146">
        <v>0.05</v>
      </c>
      <c r="F31" s="103">
        <v>56.24</v>
      </c>
      <c r="G31" s="32">
        <f t="shared" si="0"/>
        <v>2.81</v>
      </c>
      <c r="H31" s="184">
        <f t="shared" si="1"/>
        <v>2.0985308790230999E-4</v>
      </c>
      <c r="I31" s="47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2">
        <v>15</v>
      </c>
      <c r="B32" s="145" t="s">
        <v>144</v>
      </c>
      <c r="C32" s="8" t="s">
        <v>145</v>
      </c>
      <c r="D32" s="2" t="s">
        <v>125</v>
      </c>
      <c r="E32" s="146">
        <v>0.05</v>
      </c>
      <c r="F32" s="103">
        <v>16.920000000000002</v>
      </c>
      <c r="G32" s="32">
        <f t="shared" si="0"/>
        <v>0.85</v>
      </c>
      <c r="H32" s="184">
        <f t="shared" si="1"/>
        <v>6.3478692070091994E-5</v>
      </c>
      <c r="I32" s="47">
        <f>ROUND(F32*'Прил. 10'!$D$12,2)</f>
        <v>227.91</v>
      </c>
      <c r="J32" s="32">
        <f t="shared" si="2"/>
        <v>11.4</v>
      </c>
    </row>
    <row r="33" spans="1:10" s="12" customFormat="1" ht="38.25" customHeight="1" outlineLevel="1" x14ac:dyDescent="0.2">
      <c r="A33" s="2">
        <v>16</v>
      </c>
      <c r="B33" s="145" t="s">
        <v>146</v>
      </c>
      <c r="C33" s="8" t="s">
        <v>147</v>
      </c>
      <c r="D33" s="2" t="s">
        <v>125</v>
      </c>
      <c r="E33" s="146">
        <v>0.06</v>
      </c>
      <c r="F33" s="103">
        <v>6.82</v>
      </c>
      <c r="G33" s="32">
        <f t="shared" si="0"/>
        <v>0.41</v>
      </c>
      <c r="H33" s="184">
        <f t="shared" si="1"/>
        <v>3.0619133822044997E-5</v>
      </c>
      <c r="I33" s="47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2">
        <v>17</v>
      </c>
      <c r="B34" s="145" t="s">
        <v>148</v>
      </c>
      <c r="C34" s="8" t="s">
        <v>149</v>
      </c>
      <c r="D34" s="2" t="s">
        <v>125</v>
      </c>
      <c r="E34" s="146">
        <v>0.05</v>
      </c>
      <c r="F34" s="103">
        <v>2.36</v>
      </c>
      <c r="G34" s="32">
        <f t="shared" si="0"/>
        <v>0.12</v>
      </c>
      <c r="H34" s="184">
        <f t="shared" si="1"/>
        <v>8.9616977040130005E-6</v>
      </c>
      <c r="I34" s="47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273</v>
      </c>
      <c r="D35" s="2"/>
      <c r="E35" s="175"/>
      <c r="F35" s="32"/>
      <c r="G35" s="185">
        <f>SUM(G26:G34)</f>
        <v>973.54</v>
      </c>
      <c r="H35" s="184">
        <f>G35/G36</f>
        <v>7.2704759856373993E-2</v>
      </c>
      <c r="I35" s="32"/>
      <c r="J35" s="32">
        <f>SUM(J26:J34)</f>
        <v>13113.42</v>
      </c>
    </row>
    <row r="36" spans="1:10" s="12" customFormat="1" ht="25.5" customHeight="1" x14ac:dyDescent="0.2">
      <c r="A36" s="2"/>
      <c r="B36" s="2"/>
      <c r="C36" s="104" t="s">
        <v>274</v>
      </c>
      <c r="D36" s="2"/>
      <c r="E36" s="175"/>
      <c r="F36" s="32"/>
      <c r="G36" s="32">
        <f>G35+G25</f>
        <v>13390.32</v>
      </c>
      <c r="H36" s="186">
        <v>1</v>
      </c>
      <c r="I36" s="187"/>
      <c r="J36" s="188">
        <f>J35+J25</f>
        <v>180367.37</v>
      </c>
    </row>
    <row r="37" spans="1:10" ht="19.5" customHeight="1" x14ac:dyDescent="0.25">
      <c r="A37" s="2"/>
      <c r="B37" s="254" t="s">
        <v>275</v>
      </c>
      <c r="C37" s="254"/>
      <c r="D37" s="254"/>
      <c r="E37" s="254"/>
      <c r="F37" s="254"/>
      <c r="G37" s="254"/>
      <c r="H37" s="254"/>
      <c r="I37" s="254"/>
      <c r="J37" s="254"/>
    </row>
    <row r="38" spans="1:10" x14ac:dyDescent="0.25">
      <c r="A38" s="2"/>
      <c r="B38" s="250" t="s">
        <v>276</v>
      </c>
      <c r="C38" s="250"/>
      <c r="D38" s="247"/>
      <c r="E38" s="251"/>
      <c r="F38" s="252"/>
      <c r="G38" s="252"/>
      <c r="H38" s="253"/>
      <c r="I38" s="183"/>
      <c r="J38" s="183"/>
    </row>
    <row r="39" spans="1:10" x14ac:dyDescent="0.25">
      <c r="A39" s="2">
        <v>18</v>
      </c>
      <c r="B39" s="145" t="s">
        <v>277</v>
      </c>
      <c r="C39" s="8" t="s">
        <v>151</v>
      </c>
      <c r="D39" s="2" t="s">
        <v>152</v>
      </c>
      <c r="E39" s="146">
        <v>3</v>
      </c>
      <c r="F39" s="32">
        <f>ROUND(I39/'Прил. 10'!$D$14,2)</f>
        <v>348242.81</v>
      </c>
      <c r="G39" s="32">
        <f>'Прил. 3'!H35</f>
        <v>1418918.91</v>
      </c>
      <c r="H39" s="182">
        <f t="shared" ref="H39:H44" si="3">G39/$G$44</f>
        <v>0.99332401212202004</v>
      </c>
      <c r="I39" s="32">
        <v>2180000</v>
      </c>
      <c r="J39" s="189">
        <f>ROUND(I39*E39,2)</f>
        <v>6540000</v>
      </c>
    </row>
    <row r="40" spans="1:10" x14ac:dyDescent="0.25">
      <c r="A40" s="2"/>
      <c r="B40" s="2"/>
      <c r="C40" s="8" t="s">
        <v>278</v>
      </c>
      <c r="D40" s="2"/>
      <c r="E40" s="146"/>
      <c r="F40" s="32"/>
      <c r="G40" s="32">
        <f>G39</f>
        <v>1418918.91</v>
      </c>
      <c r="H40" s="182">
        <f t="shared" si="3"/>
        <v>0.99332401212202004</v>
      </c>
      <c r="I40" s="185"/>
      <c r="J40" s="32">
        <f>J39</f>
        <v>6540000</v>
      </c>
    </row>
    <row r="41" spans="1:10" outlineLevel="1" x14ac:dyDescent="0.25">
      <c r="A41" s="2">
        <v>19</v>
      </c>
      <c r="B41" s="145" t="s">
        <v>279</v>
      </c>
      <c r="C41" s="8" t="s">
        <v>153</v>
      </c>
      <c r="D41" s="2" t="s">
        <v>152</v>
      </c>
      <c r="E41" s="146">
        <v>1</v>
      </c>
      <c r="F41" s="32">
        <f>ROUND(I41/'Прил. 10'!$D$14,2)</f>
        <v>5872.2</v>
      </c>
      <c r="G41" s="32">
        <f>'Прил. 3'!H36</f>
        <v>5872.3</v>
      </c>
      <c r="H41" s="182">
        <f t="shared" si="3"/>
        <v>4.1109442937681002E-3</v>
      </c>
      <c r="I41" s="32">
        <v>36760</v>
      </c>
      <c r="J41" s="189">
        <f>ROUND(I41*E41,2)</f>
        <v>36760</v>
      </c>
    </row>
    <row r="42" spans="1:10" outlineLevel="1" x14ac:dyDescent="0.25">
      <c r="A42" s="2">
        <v>20</v>
      </c>
      <c r="B42" s="145" t="s">
        <v>280</v>
      </c>
      <c r="C42" s="8" t="s">
        <v>154</v>
      </c>
      <c r="D42" s="2" t="s">
        <v>152</v>
      </c>
      <c r="E42" s="146">
        <v>1</v>
      </c>
      <c r="F42" s="32">
        <f>ROUND(I42/'Прил. 10'!$D$14,2)</f>
        <v>3664.05</v>
      </c>
      <c r="G42" s="32">
        <f>'Прил. 3'!H37</f>
        <v>3664.05</v>
      </c>
      <c r="H42" s="182">
        <f t="shared" si="3"/>
        <v>2.5650435842141999E-3</v>
      </c>
      <c r="I42" s="32">
        <v>22936.95</v>
      </c>
      <c r="J42" s="189">
        <f>ROUND(I42*E42,2)</f>
        <v>22936.95</v>
      </c>
    </row>
    <row r="43" spans="1:10" x14ac:dyDescent="0.25">
      <c r="A43" s="2"/>
      <c r="B43" s="2"/>
      <c r="C43" s="8" t="s">
        <v>281</v>
      </c>
      <c r="D43" s="2"/>
      <c r="E43" s="146"/>
      <c r="F43" s="32"/>
      <c r="G43" s="32">
        <f>SUM(G41:G42)</f>
        <v>9536.35</v>
      </c>
      <c r="H43" s="182">
        <f t="shared" si="3"/>
        <v>6.6759878779823001E-3</v>
      </c>
      <c r="I43" s="185"/>
      <c r="J43" s="32">
        <f>SUM(J41:J42)</f>
        <v>59696.95</v>
      </c>
    </row>
    <row r="44" spans="1:10" x14ac:dyDescent="0.25">
      <c r="A44" s="2"/>
      <c r="B44" s="2"/>
      <c r="C44" s="104" t="s">
        <v>282</v>
      </c>
      <c r="D44" s="2"/>
      <c r="E44" s="175"/>
      <c r="F44" s="32"/>
      <c r="G44" s="32">
        <f>G40+G43</f>
        <v>1428455.26</v>
      </c>
      <c r="H44" s="182">
        <f t="shared" si="3"/>
        <v>1</v>
      </c>
      <c r="I44" s="185"/>
      <c r="J44" s="32">
        <f>J43+J40</f>
        <v>6599696.9500000002</v>
      </c>
    </row>
    <row r="45" spans="1:10" ht="25.5" customHeight="1" x14ac:dyDescent="0.25">
      <c r="A45" s="2"/>
      <c r="B45" s="2"/>
      <c r="C45" s="8" t="s">
        <v>283</v>
      </c>
      <c r="D45" s="2"/>
      <c r="E45" s="177"/>
      <c r="F45" s="32"/>
      <c r="G45" s="32">
        <f>G44</f>
        <v>1428455.26</v>
      </c>
      <c r="H45" s="182"/>
      <c r="I45" s="185"/>
      <c r="J45" s="32">
        <f>J44</f>
        <v>6599696.9500000002</v>
      </c>
    </row>
    <row r="46" spans="1:10" s="12" customFormat="1" ht="19.5" customHeight="1" x14ac:dyDescent="0.2">
      <c r="A46" s="2"/>
      <c r="B46" s="254" t="s">
        <v>284</v>
      </c>
      <c r="C46" s="254"/>
      <c r="D46" s="254"/>
      <c r="E46" s="254"/>
      <c r="F46" s="254"/>
      <c r="G46" s="254"/>
      <c r="H46" s="254"/>
      <c r="I46" s="254"/>
      <c r="J46" s="254"/>
    </row>
    <row r="47" spans="1:10" s="12" customFormat="1" ht="14.25" customHeight="1" x14ac:dyDescent="0.2">
      <c r="A47" s="2"/>
      <c r="B47" s="250" t="s">
        <v>285</v>
      </c>
      <c r="C47" s="250"/>
      <c r="D47" s="247"/>
      <c r="E47" s="251"/>
      <c r="F47" s="252"/>
      <c r="G47" s="252"/>
      <c r="H47" s="253"/>
      <c r="I47" s="183"/>
      <c r="J47" s="183"/>
    </row>
    <row r="48" spans="1:10" s="12" customFormat="1" ht="25.5" customHeight="1" x14ac:dyDescent="0.2">
      <c r="A48" s="2">
        <v>21</v>
      </c>
      <c r="B48" s="145" t="s">
        <v>156</v>
      </c>
      <c r="C48" s="8" t="s">
        <v>157</v>
      </c>
      <c r="D48" s="2" t="s">
        <v>158</v>
      </c>
      <c r="E48" s="146">
        <v>5.0999999999999997E-2</v>
      </c>
      <c r="F48" s="32">
        <v>98440.41</v>
      </c>
      <c r="G48" s="32">
        <f>ROUND(E48*F48,2)</f>
        <v>5020.46</v>
      </c>
      <c r="H48" s="184">
        <f t="shared" ref="H48:H71" si="4">G48/$G$73</f>
        <v>0.37819420526983</v>
      </c>
      <c r="I48" s="32">
        <f>ROUND(F48*'Прил. 10'!$D$13,2)</f>
        <v>791460.9</v>
      </c>
      <c r="J48" s="32">
        <f>ROUND(I48*E48,2)</f>
        <v>40364.51</v>
      </c>
    </row>
    <row r="49" spans="1:10" s="12" customFormat="1" ht="14.25" customHeight="1" x14ac:dyDescent="0.2">
      <c r="A49" s="2">
        <v>22</v>
      </c>
      <c r="B49" s="145" t="s">
        <v>159</v>
      </c>
      <c r="C49" s="8" t="s">
        <v>160</v>
      </c>
      <c r="D49" s="2" t="s">
        <v>158</v>
      </c>
      <c r="E49" s="146">
        <v>7.1999999999999995E-2</v>
      </c>
      <c r="F49" s="32">
        <v>38348.22</v>
      </c>
      <c r="G49" s="32">
        <f>ROUND(E49*F49,2)</f>
        <v>2761.07</v>
      </c>
      <c r="H49" s="184">
        <f t="shared" si="4"/>
        <v>0.20799302740075001</v>
      </c>
      <c r="I49" s="32">
        <f>ROUND(F49*'Прил. 10'!$D$13,2)</f>
        <v>308319.69</v>
      </c>
      <c r="J49" s="32">
        <f>ROUND(I49*E49,2)</f>
        <v>22199.02</v>
      </c>
    </row>
    <row r="50" spans="1:10" s="12" customFormat="1" ht="63.75" customHeight="1" x14ac:dyDescent="0.2">
      <c r="A50" s="2">
        <v>23</v>
      </c>
      <c r="B50" s="2" t="s">
        <v>161</v>
      </c>
      <c r="C50" s="8" t="s">
        <v>162</v>
      </c>
      <c r="D50" s="2" t="s">
        <v>163</v>
      </c>
      <c r="E50" s="146">
        <v>5.5399999999999998E-2</v>
      </c>
      <c r="F50" s="32">
        <v>32758.86</v>
      </c>
      <c r="G50" s="32">
        <f>ROUND(E50*F50,2)</f>
        <v>1814.84</v>
      </c>
      <c r="H50" s="184">
        <f t="shared" si="4"/>
        <v>0.13671296484623</v>
      </c>
      <c r="I50" s="32">
        <f>ROUND(F50*'Прил. 10'!$D$13,2)</f>
        <v>263381.23</v>
      </c>
      <c r="J50" s="32">
        <f>ROUND(I50*E50,2)</f>
        <v>14591.32</v>
      </c>
    </row>
    <row r="51" spans="1:10" s="12" customFormat="1" ht="25.5" customHeight="1" x14ac:dyDescent="0.2">
      <c r="A51" s="2">
        <v>24</v>
      </c>
      <c r="B51" s="145" t="s">
        <v>164</v>
      </c>
      <c r="C51" s="8" t="s">
        <v>165</v>
      </c>
      <c r="D51" s="2" t="s">
        <v>166</v>
      </c>
      <c r="E51" s="146">
        <v>0.03</v>
      </c>
      <c r="F51" s="32">
        <v>35576</v>
      </c>
      <c r="G51" s="32">
        <f>ROUND(E51*F51,2)</f>
        <v>1067.28</v>
      </c>
      <c r="H51" s="184">
        <f t="shared" si="4"/>
        <v>8.0398830266625004E-2</v>
      </c>
      <c r="I51" s="32">
        <f>ROUND(F51*'Прил. 10'!$D$13,2)</f>
        <v>286031.03999999998</v>
      </c>
      <c r="J51" s="32">
        <f>ROUND(I51*E51,2)</f>
        <v>8580.93</v>
      </c>
    </row>
    <row r="52" spans="1:10" s="12" customFormat="1" ht="25.5" customHeight="1" x14ac:dyDescent="0.2">
      <c r="A52" s="2">
        <v>25</v>
      </c>
      <c r="B52" s="145" t="s">
        <v>167</v>
      </c>
      <c r="C52" s="8" t="s">
        <v>168</v>
      </c>
      <c r="D52" s="2" t="s">
        <v>166</v>
      </c>
      <c r="E52" s="146">
        <v>0.03</v>
      </c>
      <c r="F52" s="32">
        <v>35576</v>
      </c>
      <c r="G52" s="32">
        <f>ROUND(E52*F52,2)</f>
        <v>1067.28</v>
      </c>
      <c r="H52" s="184">
        <f t="shared" si="4"/>
        <v>8.0398830266625004E-2</v>
      </c>
      <c r="I52" s="32">
        <f>ROUND(F52*'Прил. 10'!$D$13,2)</f>
        <v>286031.03999999998</v>
      </c>
      <c r="J52" s="32">
        <f>ROUND(I52*E52,2)</f>
        <v>8580.93</v>
      </c>
    </row>
    <row r="53" spans="1:10" s="12" customFormat="1" ht="14.25" customHeight="1" x14ac:dyDescent="0.2">
      <c r="A53" s="2"/>
      <c r="B53" s="145"/>
      <c r="C53" s="8" t="s">
        <v>286</v>
      </c>
      <c r="D53" s="2"/>
      <c r="E53" s="146"/>
      <c r="F53" s="32"/>
      <c r="G53" s="32">
        <f>SUM(G48:G52)</f>
        <v>11730.93</v>
      </c>
      <c r="H53" s="184">
        <f t="shared" si="4"/>
        <v>0.88369785805004997</v>
      </c>
      <c r="I53" s="32"/>
      <c r="J53" s="32">
        <f>SUM(J48:J52)</f>
        <v>94316.71</v>
      </c>
    </row>
    <row r="54" spans="1:10" s="12" customFormat="1" ht="25.5" customHeight="1" outlineLevel="1" x14ac:dyDescent="0.2">
      <c r="A54" s="2">
        <v>26</v>
      </c>
      <c r="B54" s="145" t="s">
        <v>169</v>
      </c>
      <c r="C54" s="8" t="s">
        <v>170</v>
      </c>
      <c r="D54" s="2" t="s">
        <v>171</v>
      </c>
      <c r="E54" s="146">
        <v>0.28000000000000003</v>
      </c>
      <c r="F54" s="32">
        <v>1837.28</v>
      </c>
      <c r="G54" s="32">
        <f t="shared" ref="G54:G71" si="5">ROUND(E54*F54,2)</f>
        <v>514.44000000000005</v>
      </c>
      <c r="H54" s="184">
        <f t="shared" si="4"/>
        <v>3.8753067838207998E-2</v>
      </c>
      <c r="I54" s="32">
        <f>ROUND(F54*'Прил. 10'!$D$13,2)</f>
        <v>14771.73</v>
      </c>
      <c r="J54" s="32">
        <f t="shared" ref="J54:J71" si="6">ROUND(I54*E54,2)</f>
        <v>4136.08</v>
      </c>
    </row>
    <row r="55" spans="1:10" s="12" customFormat="1" ht="24.75" customHeight="1" outlineLevel="1" x14ac:dyDescent="0.2">
      <c r="A55" s="2">
        <v>27</v>
      </c>
      <c r="B55" s="145" t="s">
        <v>172</v>
      </c>
      <c r="C55" s="8" t="s">
        <v>173</v>
      </c>
      <c r="D55" s="2" t="s">
        <v>174</v>
      </c>
      <c r="E55" s="146">
        <v>4</v>
      </c>
      <c r="F55" s="32">
        <v>50</v>
      </c>
      <c r="G55" s="32">
        <f t="shared" si="5"/>
        <v>200</v>
      </c>
      <c r="H55" s="184">
        <f t="shared" si="4"/>
        <v>1.5066117657339E-2</v>
      </c>
      <c r="I55" s="32">
        <f>ROUND(F55*'Прил. 10'!$D$13,2)</f>
        <v>402</v>
      </c>
      <c r="J55" s="32">
        <f t="shared" si="6"/>
        <v>1608</v>
      </c>
    </row>
    <row r="56" spans="1:10" s="12" customFormat="1" ht="25.5" customHeight="1" outlineLevel="1" x14ac:dyDescent="0.2">
      <c r="A56" s="2">
        <v>28</v>
      </c>
      <c r="B56" s="145" t="s">
        <v>175</v>
      </c>
      <c r="C56" s="8" t="s">
        <v>176</v>
      </c>
      <c r="D56" s="2" t="s">
        <v>171</v>
      </c>
      <c r="E56" s="146">
        <v>1.8</v>
      </c>
      <c r="F56" s="32">
        <v>108.4</v>
      </c>
      <c r="G56" s="32">
        <f t="shared" si="5"/>
        <v>195.12</v>
      </c>
      <c r="H56" s="184">
        <f t="shared" si="4"/>
        <v>1.46985043865E-2</v>
      </c>
      <c r="I56" s="32">
        <f>ROUND(F56*'Прил. 10'!$D$13,2)</f>
        <v>871.54</v>
      </c>
      <c r="J56" s="32">
        <f t="shared" si="6"/>
        <v>1568.77</v>
      </c>
    </row>
    <row r="57" spans="1:10" s="12" customFormat="1" ht="25.5" customHeight="1" outlineLevel="1" x14ac:dyDescent="0.2">
      <c r="A57" s="2">
        <v>29</v>
      </c>
      <c r="B57" s="145" t="s">
        <v>177</v>
      </c>
      <c r="C57" s="8" t="s">
        <v>178</v>
      </c>
      <c r="D57" s="2" t="s">
        <v>179</v>
      </c>
      <c r="E57" s="146">
        <v>165.26589999999999</v>
      </c>
      <c r="F57" s="32">
        <v>1</v>
      </c>
      <c r="G57" s="32">
        <f t="shared" si="5"/>
        <v>165.27</v>
      </c>
      <c r="H57" s="184">
        <f t="shared" si="4"/>
        <v>1.2449886326142001E-2</v>
      </c>
      <c r="I57" s="32">
        <f>ROUND(F57*'Прил. 10'!$D$13,2)</f>
        <v>8.0399999999999991</v>
      </c>
      <c r="J57" s="32">
        <f t="shared" si="6"/>
        <v>1328.74</v>
      </c>
    </row>
    <row r="58" spans="1:10" s="12" customFormat="1" ht="14.25" customHeight="1" outlineLevel="1" x14ac:dyDescent="0.2">
      <c r="A58" s="2">
        <v>30</v>
      </c>
      <c r="B58" s="145" t="s">
        <v>180</v>
      </c>
      <c r="C58" s="8" t="s">
        <v>181</v>
      </c>
      <c r="D58" s="2" t="s">
        <v>174</v>
      </c>
      <c r="E58" s="146">
        <v>15.3</v>
      </c>
      <c r="F58" s="32">
        <v>9.0399999999999991</v>
      </c>
      <c r="G58" s="32">
        <f t="shared" si="5"/>
        <v>138.31</v>
      </c>
      <c r="H58" s="184">
        <f t="shared" si="4"/>
        <v>1.0418973665932999E-2</v>
      </c>
      <c r="I58" s="32">
        <f>ROUND(F58*'Прил. 10'!$D$13,2)</f>
        <v>72.680000000000007</v>
      </c>
      <c r="J58" s="32">
        <f t="shared" si="6"/>
        <v>1112</v>
      </c>
    </row>
    <row r="59" spans="1:10" s="12" customFormat="1" ht="14.25" customHeight="1" outlineLevel="1" x14ac:dyDescent="0.2">
      <c r="A59" s="2">
        <v>31</v>
      </c>
      <c r="B59" s="145" t="s">
        <v>182</v>
      </c>
      <c r="C59" s="8" t="s">
        <v>183</v>
      </c>
      <c r="D59" s="2" t="s">
        <v>174</v>
      </c>
      <c r="E59" s="146">
        <v>2.5920000000000001</v>
      </c>
      <c r="F59" s="32">
        <v>28.6</v>
      </c>
      <c r="G59" s="32">
        <f t="shared" si="5"/>
        <v>74.13</v>
      </c>
      <c r="H59" s="184">
        <f t="shared" si="4"/>
        <v>5.5842565096928002E-3</v>
      </c>
      <c r="I59" s="32">
        <f>ROUND(F59*'Прил. 10'!$D$13,2)</f>
        <v>229.94</v>
      </c>
      <c r="J59" s="32">
        <f t="shared" si="6"/>
        <v>596</v>
      </c>
    </row>
    <row r="60" spans="1:10" s="12" customFormat="1" ht="14.25" customHeight="1" outlineLevel="1" x14ac:dyDescent="0.2">
      <c r="A60" s="2">
        <v>32</v>
      </c>
      <c r="B60" s="145" t="s">
        <v>184</v>
      </c>
      <c r="C60" s="8" t="s">
        <v>185</v>
      </c>
      <c r="D60" s="2" t="s">
        <v>163</v>
      </c>
      <c r="E60" s="146">
        <v>9.4199999999999996E-3</v>
      </c>
      <c r="F60" s="32">
        <v>6159.22</v>
      </c>
      <c r="G60" s="32">
        <f t="shared" si="5"/>
        <v>58.02</v>
      </c>
      <c r="H60" s="184">
        <f t="shared" si="4"/>
        <v>4.3706807323941003E-3</v>
      </c>
      <c r="I60" s="32">
        <f>ROUND(F60*'Прил. 10'!$D$13,2)</f>
        <v>49520.13</v>
      </c>
      <c r="J60" s="32">
        <f t="shared" si="6"/>
        <v>466.48</v>
      </c>
    </row>
    <row r="61" spans="1:10" s="12" customFormat="1" ht="25.5" customHeight="1" outlineLevel="1" x14ac:dyDescent="0.2">
      <c r="A61" s="2">
        <v>33</v>
      </c>
      <c r="B61" s="145" t="s">
        <v>186</v>
      </c>
      <c r="C61" s="8" t="s">
        <v>187</v>
      </c>
      <c r="D61" s="2" t="s">
        <v>163</v>
      </c>
      <c r="E61" s="146">
        <v>1.0699999999999999E-2</v>
      </c>
      <c r="F61" s="32">
        <v>5000</v>
      </c>
      <c r="G61" s="32">
        <f t="shared" si="5"/>
        <v>53.5</v>
      </c>
      <c r="H61" s="184">
        <f t="shared" si="4"/>
        <v>4.0301864733382001E-3</v>
      </c>
      <c r="I61" s="32">
        <f>ROUND(F61*'Прил. 10'!$D$13,2)</f>
        <v>40200</v>
      </c>
      <c r="J61" s="32">
        <f t="shared" si="6"/>
        <v>430.14</v>
      </c>
    </row>
    <row r="62" spans="1:10" s="12" customFormat="1" ht="14.25" customHeight="1" outlineLevel="1" x14ac:dyDescent="0.2">
      <c r="A62" s="2">
        <v>34</v>
      </c>
      <c r="B62" s="145" t="s">
        <v>188</v>
      </c>
      <c r="C62" s="8" t="s">
        <v>189</v>
      </c>
      <c r="D62" s="2" t="s">
        <v>174</v>
      </c>
      <c r="E62" s="146">
        <v>0.13800000000000001</v>
      </c>
      <c r="F62" s="32">
        <v>238.48</v>
      </c>
      <c r="G62" s="32">
        <f t="shared" si="5"/>
        <v>32.909999999999997</v>
      </c>
      <c r="H62" s="184">
        <f t="shared" si="4"/>
        <v>2.4791296605151999E-3</v>
      </c>
      <c r="I62" s="32">
        <f>ROUND(F62*'Прил. 10'!$D$13,2)</f>
        <v>1917.38</v>
      </c>
      <c r="J62" s="32">
        <f t="shared" si="6"/>
        <v>264.60000000000002</v>
      </c>
    </row>
    <row r="63" spans="1:10" s="12" customFormat="1" ht="14.25" customHeight="1" outlineLevel="1" x14ac:dyDescent="0.2">
      <c r="A63" s="2">
        <v>35</v>
      </c>
      <c r="B63" s="145" t="s">
        <v>190</v>
      </c>
      <c r="C63" s="8" t="s">
        <v>191</v>
      </c>
      <c r="D63" s="2" t="s">
        <v>192</v>
      </c>
      <c r="E63" s="146">
        <v>0.378</v>
      </c>
      <c r="F63" s="32">
        <v>79.099999999999994</v>
      </c>
      <c r="G63" s="32">
        <f t="shared" si="5"/>
        <v>29.9</v>
      </c>
      <c r="H63" s="184">
        <f t="shared" si="4"/>
        <v>2.2523845897721999E-3</v>
      </c>
      <c r="I63" s="32">
        <f>ROUND(F63*'Прил. 10'!$D$13,2)</f>
        <v>635.96</v>
      </c>
      <c r="J63" s="32">
        <f t="shared" si="6"/>
        <v>240.39</v>
      </c>
    </row>
    <row r="64" spans="1:10" s="12" customFormat="1" ht="14.25" customHeight="1" outlineLevel="1" x14ac:dyDescent="0.2">
      <c r="A64" s="2">
        <v>36</v>
      </c>
      <c r="B64" s="145" t="s">
        <v>193</v>
      </c>
      <c r="C64" s="8" t="s">
        <v>194</v>
      </c>
      <c r="D64" s="2" t="s">
        <v>166</v>
      </c>
      <c r="E64" s="146">
        <v>0.26519999999999999</v>
      </c>
      <c r="F64" s="32">
        <v>86</v>
      </c>
      <c r="G64" s="32">
        <f t="shared" si="5"/>
        <v>22.81</v>
      </c>
      <c r="H64" s="184">
        <f t="shared" si="4"/>
        <v>1.7182907188194999E-3</v>
      </c>
      <c r="I64" s="32">
        <f>ROUND(F64*'Прил. 10'!$D$13,2)</f>
        <v>691.44</v>
      </c>
      <c r="J64" s="32">
        <f t="shared" si="6"/>
        <v>183.37</v>
      </c>
    </row>
    <row r="65" spans="1:10" s="12" customFormat="1" ht="25.5" customHeight="1" outlineLevel="1" x14ac:dyDescent="0.2">
      <c r="A65" s="2">
        <v>37</v>
      </c>
      <c r="B65" s="145" t="s">
        <v>195</v>
      </c>
      <c r="C65" s="8" t="s">
        <v>196</v>
      </c>
      <c r="D65" s="2" t="s">
        <v>163</v>
      </c>
      <c r="E65" s="146">
        <v>1.1000000000000001E-3</v>
      </c>
      <c r="F65" s="32">
        <v>17500</v>
      </c>
      <c r="G65" s="32">
        <f t="shared" si="5"/>
        <v>19.25</v>
      </c>
      <c r="H65" s="184">
        <f t="shared" si="4"/>
        <v>1.4501138245189E-3</v>
      </c>
      <c r="I65" s="32">
        <f>ROUND(F65*'Прил. 10'!$D$13,2)</f>
        <v>140700</v>
      </c>
      <c r="J65" s="32">
        <f t="shared" si="6"/>
        <v>154.77000000000001</v>
      </c>
    </row>
    <row r="66" spans="1:10" s="12" customFormat="1" ht="14.25" customHeight="1" outlineLevel="1" x14ac:dyDescent="0.2">
      <c r="A66" s="2">
        <v>38</v>
      </c>
      <c r="B66" s="145" t="s">
        <v>197</v>
      </c>
      <c r="C66" s="8" t="s">
        <v>198</v>
      </c>
      <c r="D66" s="2" t="s">
        <v>174</v>
      </c>
      <c r="E66" s="146">
        <v>1.758</v>
      </c>
      <c r="F66" s="32">
        <v>10.57</v>
      </c>
      <c r="G66" s="32">
        <f t="shared" si="5"/>
        <v>18.579999999999998</v>
      </c>
      <c r="H66" s="184">
        <f t="shared" si="4"/>
        <v>1.3996423303668001E-3</v>
      </c>
      <c r="I66" s="32">
        <f>ROUND(F66*'Прил. 10'!$D$13,2)</f>
        <v>84.98</v>
      </c>
      <c r="J66" s="32">
        <f t="shared" si="6"/>
        <v>149.38999999999999</v>
      </c>
    </row>
    <row r="67" spans="1:10" s="12" customFormat="1" ht="25.5" customHeight="1" outlineLevel="1" x14ac:dyDescent="0.2">
      <c r="A67" s="2">
        <v>39</v>
      </c>
      <c r="B67" s="145" t="s">
        <v>199</v>
      </c>
      <c r="C67" s="8" t="s">
        <v>200</v>
      </c>
      <c r="D67" s="2" t="s">
        <v>201</v>
      </c>
      <c r="E67" s="146">
        <v>0.95</v>
      </c>
      <c r="F67" s="32">
        <v>15.13</v>
      </c>
      <c r="G67" s="32">
        <f t="shared" si="5"/>
        <v>14.37</v>
      </c>
      <c r="H67" s="184">
        <f t="shared" si="4"/>
        <v>1.0825005536798001E-3</v>
      </c>
      <c r="I67" s="32">
        <f>ROUND(F67*'Прил. 10'!$D$13,2)</f>
        <v>121.65</v>
      </c>
      <c r="J67" s="32">
        <f t="shared" si="6"/>
        <v>115.57</v>
      </c>
    </row>
    <row r="68" spans="1:10" s="12" customFormat="1" ht="25.5" customHeight="1" outlineLevel="1" x14ac:dyDescent="0.2">
      <c r="A68" s="2">
        <v>40</v>
      </c>
      <c r="B68" s="145" t="s">
        <v>202</v>
      </c>
      <c r="C68" s="8" t="s">
        <v>203</v>
      </c>
      <c r="D68" s="2" t="s">
        <v>163</v>
      </c>
      <c r="E68" s="146">
        <v>1E-3</v>
      </c>
      <c r="F68" s="32">
        <v>5941.89</v>
      </c>
      <c r="G68" s="32">
        <f t="shared" si="5"/>
        <v>5.94</v>
      </c>
      <c r="H68" s="184">
        <f t="shared" si="4"/>
        <v>4.4746369442298E-4</v>
      </c>
      <c r="I68" s="32">
        <f>ROUND(F68*'Прил. 10'!$D$13,2)</f>
        <v>47772.800000000003</v>
      </c>
      <c r="J68" s="32">
        <f t="shared" si="6"/>
        <v>47.77</v>
      </c>
    </row>
    <row r="69" spans="1:10" s="12" customFormat="1" ht="14.25" customHeight="1" outlineLevel="1" x14ac:dyDescent="0.2">
      <c r="A69" s="2">
        <v>41</v>
      </c>
      <c r="B69" s="145" t="s">
        <v>204</v>
      </c>
      <c r="C69" s="8" t="s">
        <v>205</v>
      </c>
      <c r="D69" s="2" t="s">
        <v>166</v>
      </c>
      <c r="E69" s="146">
        <v>0.02</v>
      </c>
      <c r="F69" s="32">
        <v>26.6</v>
      </c>
      <c r="G69" s="32">
        <f t="shared" si="5"/>
        <v>0.53</v>
      </c>
      <c r="H69" s="184">
        <f t="shared" si="4"/>
        <v>3.9925211791948997E-5</v>
      </c>
      <c r="I69" s="32">
        <f>ROUND(F69*'Прил. 10'!$D$13,2)</f>
        <v>213.86</v>
      </c>
      <c r="J69" s="32">
        <f t="shared" si="6"/>
        <v>4.28</v>
      </c>
    </row>
    <row r="70" spans="1:10" s="12" customFormat="1" ht="14.25" customHeight="1" outlineLevel="1" x14ac:dyDescent="0.2">
      <c r="A70" s="2">
        <v>42</v>
      </c>
      <c r="B70" s="145" t="s">
        <v>206</v>
      </c>
      <c r="C70" s="8" t="s">
        <v>207</v>
      </c>
      <c r="D70" s="2" t="s">
        <v>166</v>
      </c>
      <c r="E70" s="146">
        <v>0.26519999999999999</v>
      </c>
      <c r="F70" s="32">
        <v>2</v>
      </c>
      <c r="G70" s="32">
        <f t="shared" si="5"/>
        <v>0.53</v>
      </c>
      <c r="H70" s="184">
        <f t="shared" si="4"/>
        <v>3.9925211791948997E-5</v>
      </c>
      <c r="I70" s="32">
        <f>ROUND(F70*'Прил. 10'!$D$13,2)</f>
        <v>16.079999999999998</v>
      </c>
      <c r="J70" s="32">
        <f t="shared" si="6"/>
        <v>4.26</v>
      </c>
    </row>
    <row r="71" spans="1:10" s="12" customFormat="1" ht="25.5" customHeight="1" outlineLevel="1" x14ac:dyDescent="0.2">
      <c r="A71" s="2">
        <v>43</v>
      </c>
      <c r="B71" s="145" t="s">
        <v>208</v>
      </c>
      <c r="C71" s="8" t="s">
        <v>209</v>
      </c>
      <c r="D71" s="2" t="s">
        <v>174</v>
      </c>
      <c r="E71" s="146">
        <v>0.01</v>
      </c>
      <c r="F71" s="32">
        <v>28.22</v>
      </c>
      <c r="G71" s="32">
        <f t="shared" si="5"/>
        <v>0.28000000000000003</v>
      </c>
      <c r="H71" s="184">
        <f t="shared" si="4"/>
        <v>2.1092564720274999E-5</v>
      </c>
      <c r="I71" s="32">
        <f>ROUND(F71*'Прил. 10'!$D$13,2)</f>
        <v>226.89</v>
      </c>
      <c r="J71" s="32">
        <f t="shared" si="6"/>
        <v>2.27</v>
      </c>
    </row>
    <row r="72" spans="1:10" s="12" customFormat="1" ht="14.25" customHeight="1" x14ac:dyDescent="0.2">
      <c r="A72" s="2"/>
      <c r="B72" s="2"/>
      <c r="C72" s="8" t="s">
        <v>287</v>
      </c>
      <c r="D72" s="2"/>
      <c r="E72" s="175"/>
      <c r="F72" s="103"/>
      <c r="G72" s="32">
        <f>SUM(G54:G71)</f>
        <v>1543.89</v>
      </c>
      <c r="H72" s="182">
        <f>G72/G73</f>
        <v>0.11630214194995001</v>
      </c>
      <c r="I72" s="32"/>
      <c r="J72" s="32">
        <f>SUM(J54:J71)</f>
        <v>12412.88</v>
      </c>
    </row>
    <row r="73" spans="1:10" s="12" customFormat="1" ht="14.25" customHeight="1" x14ac:dyDescent="0.2">
      <c r="A73" s="2"/>
      <c r="B73" s="2"/>
      <c r="C73" s="104" t="s">
        <v>288</v>
      </c>
      <c r="D73" s="2"/>
      <c r="E73" s="175"/>
      <c r="F73" s="103"/>
      <c r="G73" s="32">
        <f>G53+G72</f>
        <v>13274.82</v>
      </c>
      <c r="H73" s="182">
        <v>1</v>
      </c>
      <c r="I73" s="32"/>
      <c r="J73" s="32">
        <f>J50+J72</f>
        <v>27004.2</v>
      </c>
    </row>
    <row r="74" spans="1:10" s="12" customFormat="1" ht="14.25" customHeight="1" x14ac:dyDescent="0.2">
      <c r="A74" s="2"/>
      <c r="B74" s="2"/>
      <c r="C74" s="8" t="s">
        <v>289</v>
      </c>
      <c r="D74" s="2"/>
      <c r="E74" s="175"/>
      <c r="F74" s="103"/>
      <c r="G74" s="32">
        <f>G16+G36+G73</f>
        <v>35876.949999999997</v>
      </c>
      <c r="H74" s="182"/>
      <c r="I74" s="32"/>
      <c r="J74" s="32">
        <f>J16+J36+J73</f>
        <v>632195.4</v>
      </c>
    </row>
    <row r="75" spans="1:10" s="12" customFormat="1" ht="14.25" customHeight="1" x14ac:dyDescent="0.2">
      <c r="A75" s="2"/>
      <c r="B75" s="2"/>
      <c r="C75" s="8" t="s">
        <v>290</v>
      </c>
      <c r="D75" s="190">
        <f>ROUND(G75/(G$18+$G$16),2)</f>
        <v>1</v>
      </c>
      <c r="E75" s="175"/>
      <c r="F75" s="103"/>
      <c r="G75" s="32">
        <v>9279.6299999999992</v>
      </c>
      <c r="H75" s="182"/>
      <c r="I75" s="32"/>
      <c r="J75" s="32">
        <f>ROUND(D75*(J16+J18),2)</f>
        <v>428892.6</v>
      </c>
    </row>
    <row r="76" spans="1:10" s="12" customFormat="1" ht="14.25" customHeight="1" x14ac:dyDescent="0.2">
      <c r="A76" s="2"/>
      <c r="B76" s="2"/>
      <c r="C76" s="8" t="s">
        <v>291</v>
      </c>
      <c r="D76" s="190">
        <f>ROUND(G76/(G$16+G$18),2)</f>
        <v>0.72</v>
      </c>
      <c r="E76" s="175"/>
      <c r="F76" s="103"/>
      <c r="G76" s="32">
        <v>6706.65</v>
      </c>
      <c r="H76" s="182"/>
      <c r="I76" s="32"/>
      <c r="J76" s="32">
        <f>ROUND(D76*(J16+J18),2)</f>
        <v>308802.67</v>
      </c>
    </row>
    <row r="77" spans="1:10" s="12" customFormat="1" ht="14.25" customHeight="1" x14ac:dyDescent="0.2">
      <c r="A77" s="2"/>
      <c r="B77" s="2"/>
      <c r="C77" s="8" t="s">
        <v>292</v>
      </c>
      <c r="D77" s="2"/>
      <c r="E77" s="175"/>
      <c r="F77" s="103"/>
      <c r="G77" s="32">
        <f>G16+G36+G73+G75+G76</f>
        <v>51863.23</v>
      </c>
      <c r="H77" s="182"/>
      <c r="I77" s="32"/>
      <c r="J77" s="32">
        <f>J16+J36+J73+J75+J76</f>
        <v>1369890.67</v>
      </c>
    </row>
    <row r="78" spans="1:10" s="12" customFormat="1" ht="14.25" customHeight="1" x14ac:dyDescent="0.2">
      <c r="A78" s="2"/>
      <c r="B78" s="2"/>
      <c r="C78" s="8" t="s">
        <v>293</v>
      </c>
      <c r="D78" s="2"/>
      <c r="E78" s="175"/>
      <c r="F78" s="103"/>
      <c r="G78" s="32">
        <f>G77+G44</f>
        <v>1480318.49</v>
      </c>
      <c r="H78" s="182"/>
      <c r="I78" s="32"/>
      <c r="J78" s="32">
        <f>J77+J44</f>
        <v>7969587.6200000001</v>
      </c>
    </row>
    <row r="79" spans="1:10" s="12" customFormat="1" ht="34.5" customHeight="1" x14ac:dyDescent="0.2">
      <c r="A79" s="2"/>
      <c r="B79" s="2"/>
      <c r="C79" s="8" t="s">
        <v>242</v>
      </c>
      <c r="D79" s="2" t="s">
        <v>294</v>
      </c>
      <c r="E79" s="175">
        <v>1</v>
      </c>
      <c r="F79" s="103"/>
      <c r="G79" s="32">
        <f>G78/E79</f>
        <v>1480318.49</v>
      </c>
      <c r="H79" s="182"/>
      <c r="I79" s="32"/>
      <c r="J79" s="32">
        <f>J78/E79</f>
        <v>7969587.6200000001</v>
      </c>
    </row>
    <row r="81" spans="1:12" x14ac:dyDescent="0.25">
      <c r="A81"/>
      <c r="B81" s="198" t="s">
        <v>76</v>
      </c>
      <c r="C81" s="203"/>
      <c r="D81"/>
      <c r="E81"/>
      <c r="F81"/>
      <c r="G81"/>
      <c r="H81"/>
      <c r="I81"/>
      <c r="J81"/>
      <c r="K81"/>
      <c r="L81"/>
    </row>
    <row r="82" spans="1:12" x14ac:dyDescent="0.25">
      <c r="A82"/>
      <c r="B82" s="33" t="s">
        <v>77</v>
      </c>
      <c r="C82" s="203"/>
      <c r="D82"/>
      <c r="E82"/>
      <c r="F82"/>
      <c r="G82"/>
      <c r="H82"/>
      <c r="I82"/>
      <c r="J82"/>
      <c r="K82"/>
      <c r="L82"/>
    </row>
    <row r="83" spans="1:12" x14ac:dyDescent="0.25">
      <c r="A83"/>
      <c r="B83" s="198"/>
      <c r="C83" s="203"/>
      <c r="D83"/>
      <c r="E83"/>
      <c r="F83"/>
      <c r="G83"/>
      <c r="H83"/>
      <c r="I83"/>
      <c r="J83"/>
      <c r="K83"/>
      <c r="L83"/>
    </row>
    <row r="84" spans="1:12" x14ac:dyDescent="0.25">
      <c r="A84"/>
      <c r="B84" s="198" t="s">
        <v>78</v>
      </c>
      <c r="C84" s="203"/>
      <c r="D84"/>
      <c r="E84"/>
      <c r="F84"/>
      <c r="G84"/>
      <c r="H84"/>
      <c r="I84"/>
      <c r="J84"/>
      <c r="K84"/>
      <c r="L84"/>
    </row>
    <row r="85" spans="1:12" x14ac:dyDescent="0.25">
      <c r="A85"/>
      <c r="B85" s="33" t="s">
        <v>79</v>
      </c>
      <c r="C85" s="203"/>
      <c r="D85"/>
      <c r="E85"/>
      <c r="F85"/>
      <c r="G85"/>
      <c r="H85"/>
      <c r="I85"/>
      <c r="J85"/>
      <c r="K85"/>
      <c r="L85"/>
    </row>
  </sheetData>
  <sheetProtection formatCells="0" formatColumns="0" formatRows="0" insertColumns="0" insertRows="0" insertHyperlinks="0" deleteColumns="0" deleteRows="0" sort="0" autoFilter="0" pivotTables="0"/>
  <mergeCells count="20">
    <mergeCell ref="B47:H47"/>
    <mergeCell ref="B12:H12"/>
    <mergeCell ref="B17:H17"/>
    <mergeCell ref="B19:H19"/>
    <mergeCell ref="B20:H20"/>
    <mergeCell ref="B38:H38"/>
    <mergeCell ref="B37:J37"/>
    <mergeCell ref="B46:J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2023-11-30T07:39:03Z</cp:lastPrinted>
  <dcterms:created xsi:type="dcterms:W3CDTF">2020-09-30T08:50:27Z</dcterms:created>
  <dcterms:modified xsi:type="dcterms:W3CDTF">2023-11-30T07:39:07Z</dcterms:modified>
  <cp:category/>
</cp:coreProperties>
</file>