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3'!$A$1:$H$83</definedName>
    <definedName name="_xlnm.Print_Area" localSheetId="7">'Прил.4 РМ'!$A$1:$E$48</definedName>
    <definedName name="_xlnm.Print_Area" localSheetId="8">'Прил.5 Расчет СМР и ОБ'!$A$1:$J$96</definedName>
    <definedName name="_xlnm.Print_Area" localSheetId="10">'Прил.7 Расчет пок.'!$A$1:$D$17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F14" i="10"/>
  <c r="G13" i="10"/>
  <c r="F13" i="10"/>
  <c r="G12" i="10"/>
  <c r="F12" i="10"/>
  <c r="J90" i="9"/>
  <c r="G90" i="9"/>
  <c r="J89" i="9"/>
  <c r="G89" i="9"/>
  <c r="J88" i="9"/>
  <c r="G88" i="9"/>
  <c r="J87" i="9"/>
  <c r="D87" i="9"/>
  <c r="J86" i="9"/>
  <c r="D86" i="9"/>
  <c r="J85" i="9"/>
  <c r="G85" i="9"/>
  <c r="J84" i="9"/>
  <c r="G84" i="9"/>
  <c r="J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G15" i="9"/>
  <c r="J14" i="9"/>
  <c r="I14" i="9"/>
  <c r="H14" i="9"/>
  <c r="G14" i="9"/>
  <c r="J13" i="9"/>
  <c r="I13" i="9"/>
  <c r="H13" i="9"/>
  <c r="G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19" i="6"/>
  <c r="H18" i="6"/>
  <c r="H17" i="6"/>
  <c r="H16" i="6"/>
  <c r="H15" i="6"/>
  <c r="H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<sst xmlns="http://schemas.openxmlformats.org/spreadsheetml/2006/main" count="935" uniqueCount="487">
  <si>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</si>
  <si>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</si>
  <si>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</si>
  <si>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</si>
  <si>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</si>
  <si>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</si>
  <si>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</si>
  <si>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</si>
  <si>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</si>
  <si>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</si>
  <si>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</si>
  <si>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</si>
  <si>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</si>
  <si>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</si>
  <si>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</si>
  <si>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</si>
  <si>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</si>
  <si>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</si>
  <si>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</si>
  <si>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</si>
  <si>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</si>
  <si>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</si>
  <si>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</si>
  <si>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</si>
  <si>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</si>
  <si>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</si>
  <si>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</si>
  <si>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</si>
  <si>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</si>
  <si>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</si>
  <si>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</si>
  <si>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</si>
  <si>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</si>
  <si>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</si>
  <si>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</si>
  <si>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</si>
  <si>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</si>
  <si>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</si>
  <si>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</si>
  <si>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</si>
  <si>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</si>
  <si>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</si>
  <si>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</si>
  <si>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</si>
  <si>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</si>
  <si>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</si>
  <si>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</si>
  <si>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</si>
  <si>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ТН (четыре вторичные обмотки) на три фазы без устройства фундамента напряжение 110 кВ</t>
  </si>
  <si>
    <t>Сопоставимый уровень цен: 2 квартал 2017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</si>
  <si>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</si>
  <si>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</si>
  <si>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</si>
  <si>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</si>
  <si>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500/220/110 кВ Бескудниково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</si>
  <si>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</si>
  <si>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</si>
  <si>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</si>
  <si>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</si>
  <si>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</si>
  <si>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Трансформатор - 2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</si>
  <si>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</si>
  <si>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одноступенчатый, масляный трансформатор марки  НАМИ 110 УХЛ1 без устройства фундамента
Шкаф зажимов трансформатора напряжения (ШЗН) - 2 шт.
Шкаф зажимов трансформаторанапряжения для цепей АИИС КУЭ (ЯЗН-11) - 2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</si>
  <si>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</si>
  <si>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</si>
  <si>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</si>
  <si>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</si>
  <si>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</si>
  <si>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</si>
  <si>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</si>
  <si>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</si>
  <si>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</si>
  <si>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</si>
  <si>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</si>
  <si>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</si>
  <si>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</si>
  <si>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</si>
  <si>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</si>
  <si>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</si>
  <si>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</si>
  <si>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</si>
  <si>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</si>
  <si>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ТН (четыре вторичные обмотки) на три фазы без устройства фундамента напряжение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</si>
  <si>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</si>
  <si>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</si>
  <si>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</si>
  <si>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</si>
  <si>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</si>
  <si>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</si>
  <si>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</si>
  <si>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</si>
  <si>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</si>
  <si>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02-01-04</t>
  </si>
  <si>
    <t xml:space="preserve">Монтаж оборудования в здании КРУЭ 500 кВ ( 1 этап) 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</si>
  <si>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</si>
  <si>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</si>
  <si>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</si>
  <si>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</si>
  <si>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</si>
  <si>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</si>
  <si>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</si>
  <si>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</si>
  <si>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</si>
  <si>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</si>
  <si>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</si>
  <si>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</si>
  <si>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</si>
  <si>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</si>
  <si>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</si>
  <si>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10-30-1</t>
  </si>
  <si>
    <t>Инженер I категории</t>
  </si>
  <si>
    <t>чел.час</t>
  </si>
  <si>
    <t>10-30-2</t>
  </si>
  <si>
    <t>Инженер II категории</t>
  </si>
  <si>
    <t>1-4-0</t>
  </si>
  <si>
    <t>Затраты труда рабочих (средний разряд работы 4,0)</t>
  </si>
  <si>
    <t>1-3-9</t>
  </si>
  <si>
    <t>Затраты труда рабочих (средний разряд работы 3,9)</t>
  </si>
  <si>
    <t>1-3-8</t>
  </si>
  <si>
    <t>Затраты труда рабочих (средний разряд работы 3,8)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</si>
  <si>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</si>
  <si>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</si>
  <si>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</si>
  <si>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</si>
  <si>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91.10.01-002</t>
  </si>
  <si>
    <t>Агрегаты наполнительно-опрессовочные: до 300 м3/ч</t>
  </si>
  <si>
    <t>маш.час</t>
  </si>
  <si>
    <t>91.11.01-012</t>
  </si>
  <si>
    <t>Машины монтажные для выполнения работ при прокладке и монтаже кабеля на базе автомобиля</t>
  </si>
  <si>
    <t>91.06.03-058</t>
  </si>
  <si>
    <t>Лебедки электрические тяговым усилием: 156,96 кН (16 т)</t>
  </si>
  <si>
    <t>91.05.05-014</t>
  </si>
  <si>
    <t>Краны на автомобильном ходу, грузоподъемность 10 т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</si>
  <si>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</si>
  <si>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</si>
  <si>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</si>
  <si>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</si>
  <si>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</si>
  <si>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</si>
  <si>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</si>
  <si>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</si>
  <si>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</si>
  <si>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</si>
  <si>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</si>
  <si>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</si>
  <si>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</si>
  <si>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</si>
  <si>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</si>
  <si>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</si>
  <si>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</si>
  <si>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</si>
  <si>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</si>
  <si>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напряжения 110 кВ</t>
  </si>
  <si>
    <t>шт.</t>
  </si>
  <si>
    <t>Шкаф зажимов трансформатора
напряжения (ШЗН)</t>
  </si>
  <si>
    <t>Шкаф зажимов трансформатора
напряжения для цепей АИИС КУЭ (ЯЗН-11)</t>
  </si>
  <si>
    <t>Материалы</t>
  </si>
  <si>
    <t>62.1.01.03-0002</t>
  </si>
  <si>
    <t>Выключатели автоматические: с полупроводниковым расцепителем А3733СР I-400А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</si>
  <si>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</si>
  <si>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</si>
  <si>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</si>
  <si>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</si>
  <si>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</si>
  <si>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21.2.01.02-0098</t>
  </si>
  <si>
    <t>Провод неизолированный для воздушных линий электропередачи АС 400/51</t>
  </si>
  <si>
    <t>т</t>
  </si>
  <si>
    <t>20.1.01.02-0067</t>
  </si>
  <si>
    <t>Зажим аппаратный прессуемый: А4А-400-2</t>
  </si>
  <si>
    <t>100 шт.</t>
  </si>
  <si>
    <t>05.1.01.10-0131</t>
  </si>
  <si>
    <t>Лотки каналов и тоннелей железобетонные для прокладки коммуникаций</t>
  </si>
  <si>
    <t>м3</t>
  </si>
  <si>
    <t>62.1.04.05-0017</t>
  </si>
  <si>
    <t>Реле напряжения: РН-74 УХЛ4</t>
  </si>
  <si>
    <t>шт</t>
  </si>
  <si>
    <t>01.7.17.11-0001</t>
  </si>
  <si>
    <t>Бумага шлифовальная</t>
  </si>
  <si>
    <t>кг</t>
  </si>
  <si>
    <t>69.3.02.02-0007</t>
  </si>
  <si>
    <t xml:space="preserve">Терморегуляторы проходные с дистанционным датчиком, диапазон настройки 6-26 °C, никелированные (прим.Терморегулятор ТСТ-6011.R)
</t>
  </si>
  <si>
    <t>999-9950</t>
  </si>
  <si>
    <t>Вспомогательные ненормируемые ресурсы (2% от Оплаты труда рабочих)</t>
  </si>
  <si>
    <t>руб</t>
  </si>
  <si>
    <t>02.2.05.04-1777</t>
  </si>
  <si>
    <t>Щебень М 800, фракция 20-40 мм, группа 2</t>
  </si>
  <si>
    <t>08.3.07.01-0076</t>
  </si>
  <si>
    <t>Сталь полосовая, марка стали: Ст3сп шириной 50-200 мм толщиной 4-5 мм</t>
  </si>
  <si>
    <t>01.7.15.03-0042</t>
  </si>
  <si>
    <t>Болты с гайками и шайбами строительные</t>
  </si>
  <si>
    <t>08.3.07.01-0043</t>
  </si>
  <si>
    <t>Сталь полосовая: 40х5 мм, марка Ст3сп</t>
  </si>
  <si>
    <t>07.2.07.04-0007</t>
  </si>
  <si>
    <t>Конструкции стальные индивидуальные: решетчатые сварные массой до 0,1 т</t>
  </si>
  <si>
    <t>14.4.02.09-0001</t>
  </si>
  <si>
    <t>Краска</t>
  </si>
  <si>
    <t>14.4.02.09-0301</t>
  </si>
  <si>
    <t>Краска "Цинол"</t>
  </si>
  <si>
    <t>25.2.01.01-0001</t>
  </si>
  <si>
    <t>Бирки-оконцеватели</t>
  </si>
  <si>
    <t>61.2.04.01-0002</t>
  </si>
  <si>
    <t>Арматура светосигнальная АМЕ с лампой накаливания КМ- 24В</t>
  </si>
  <si>
    <t>10 шт.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</si>
  <si>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</si>
  <si>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</si>
  <si>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</si>
  <si>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</si>
  <si>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01.7.20.08-0031</t>
  </si>
  <si>
    <t>Бязь суровая арт. 6804</t>
  </si>
  <si>
    <t>10 м2</t>
  </si>
  <si>
    <t>08.3.08.02-0091</t>
  </si>
  <si>
    <t>Сталь угловая, марки Ст3, перфорированная УП 35х35 мм</t>
  </si>
  <si>
    <t>м</t>
  </si>
  <si>
    <t>01.7.15.07-0014</t>
  </si>
  <si>
    <t>Дюбели распорные полипропиленовые</t>
  </si>
  <si>
    <t>20.1.02.23-0082</t>
  </si>
  <si>
    <t>Перемычки гибкие, тип ПГС-50</t>
  </si>
  <si>
    <t>08.3.05.02-0052</t>
  </si>
  <si>
    <t>Сталь листовая горячекатаная марки Ст3 толщиной: 2-6 мм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</si>
  <si>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</si>
  <si>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</si>
  <si>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</si>
  <si>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</si>
  <si>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</si>
  <si>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</si>
  <si>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</si>
  <si>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</si>
  <si>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01.7.15.07-0007</t>
  </si>
  <si>
    <t>Дюбели пластмассовые диаметр 14 мм</t>
  </si>
  <si>
    <t>01.7.15.03-0031</t>
  </si>
  <si>
    <t>Болты с гайками и шайбами оцинкованные, диаметр: 6 мм</t>
  </si>
  <si>
    <t>01.7.15.14-0043</t>
  </si>
  <si>
    <t>Шуруп самонарезающий: (LN) 3,5/11 мм</t>
  </si>
  <si>
    <t>01.7.02.09-0002</t>
  </si>
  <si>
    <t>Шпагат бумажный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</si>
  <si>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</si>
  <si>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</si>
  <si>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</si>
  <si>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</si>
  <si>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</si>
  <si>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</si>
  <si>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</si>
  <si>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</si>
  <si>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</si>
  <si>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</si>
  <si>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</si>
  <si>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</si>
  <si>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</si>
  <si>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</si>
  <si>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</si>
  <si>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</si>
  <si>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</si>
  <si>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</si>
  <si>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</si>
  <si>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</si>
  <si>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</si>
  <si>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</si>
  <si>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</si>
  <si>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</si>
  <si>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</si>
  <si>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</si>
  <si>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</si>
  <si>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</si>
  <si>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</si>
  <si>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</si>
  <si>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</si>
  <si>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</si>
  <si>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</si>
  <si>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</si>
  <si>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</si>
  <si>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</si>
  <si>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</si>
  <si>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</si>
  <si>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Наименование разрабатываемой расценки УНЦ — ТН (четыре вторичные обмотки) на три фазы без устройства фундамента напряжение 110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</si>
  <si>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</si>
  <si>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</si>
  <si>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</si>
  <si>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</si>
  <si>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</si>
  <si>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</si>
  <si>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</si>
  <si>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</si>
  <si>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</si>
  <si>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</si>
  <si>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</si>
  <si>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</si>
  <si>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</si>
  <si>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</si>
  <si>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 —</t>
  </si>
  <si>
    <t>ТН (четыре вторичные обмотки) на три фазы без устройства фундамента напряжение 110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</si>
  <si>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</si>
  <si>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</si>
  <si>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</si>
  <si>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</si>
  <si>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</si>
  <si>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</si>
  <si>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</si>
  <si>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чел.-ч.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</si>
  <si>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</si>
  <si>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</si>
  <si>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</si>
  <si>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</si>
  <si>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</si>
  <si>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</si>
  <si>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БЦ.16.269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</si>
  <si>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</si>
  <si>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</si>
  <si>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</si>
  <si>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</si>
  <si>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 xml:space="preserve">Материалы 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</si>
  <si>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</si>
  <si>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</si>
  <si>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</si>
  <si>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</si>
  <si>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</si>
  <si>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</si>
  <si>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</si>
  <si>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</si>
  <si>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</si>
  <si>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</si>
  <si>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</si>
  <si>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</si>
  <si>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</si>
  <si>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</si>
  <si>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</si>
  <si>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</si>
  <si>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</si>
  <si>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</si>
  <si>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</si>
  <si>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</si>
  <si>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</si>
  <si>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</si>
  <si>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И10-03-3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</si>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</sst>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0.00000"/>
    <numFmt numFmtId="171" formatCode="0.000"/>
    <numFmt numFmtId="172" formatCode="#,##0.0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403226</xdr:colOff>
      <xdr:row>15</xdr:row>
      <xdr:rowOff>150238</xdr:rowOff>
    </xdr:from>
    <xdr:to>
      <xdr:col>2</xdr:col>
      <xdr:colOff>1306420</xdr:colOff>
      <xdr:row>17</xdr:row>
      <xdr:rowOff>105826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940" y="5457024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63687</xdr:colOff>
      <xdr:row>79</xdr:row>
      <xdr:rowOff>57151</xdr:rowOff>
    </xdr:from>
    <xdr:to>
      <xdr:col>2</xdr:col>
      <xdr:colOff>998817</xdr:colOff>
      <xdr:row>82</xdr:row>
      <xdr:rowOff>41276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040" y="18143445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162300</xdr:colOff>
      <xdr:row>76</xdr:row>
      <xdr:rowOff>123825</xdr:rowOff>
    </xdr:from>
    <xdr:to>
      <xdr:col>2</xdr:col>
      <xdr:colOff>1062132</xdr:colOff>
      <xdr:row>78</xdr:row>
      <xdr:rowOff>88938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653" y="17638619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43</xdr:row>
      <xdr:rowOff>103095</xdr:rowOff>
    </xdr:from>
    <xdr:to>
      <xdr:col>1</xdr:col>
      <xdr:colOff>1861671</xdr:colOff>
      <xdr:row>46</xdr:row>
      <xdr:rowOff>58645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04" y="117235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41</xdr:row>
      <xdr:rowOff>19610</xdr:rowOff>
    </xdr:from>
    <xdr:to>
      <xdr:col>1</xdr:col>
      <xdr:colOff>1906495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52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92</xdr:row>
      <xdr:rowOff>55470</xdr:rowOff>
    </xdr:from>
    <xdr:to>
      <xdr:col>2</xdr:col>
      <xdr:colOff>356721</xdr:colOff>
      <xdr:row>95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529" y="22744020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90</xdr:row>
      <xdr:rowOff>29135</xdr:rowOff>
    </xdr:from>
    <xdr:to>
      <xdr:col>2</xdr:col>
      <xdr:colOff>420595</xdr:colOff>
      <xdr:row>91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1" y="223366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1075579</xdr:colOff>
      <xdr:row>18</xdr:row>
      <xdr:rowOff>93570</xdr:rowOff>
    </xdr:from>
    <xdr:to>
      <xdr:col>2</xdr:col>
      <xdr:colOff>842496</xdr:colOff>
      <xdr:row>21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579" y="47036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16</xdr:row>
      <xdr:rowOff>57710</xdr:rowOff>
    </xdr:from>
    <xdr:to>
      <xdr:col>2</xdr:col>
      <xdr:colOff>696820</xdr:colOff>
      <xdr:row>18</xdr:row>
      <xdr:rowOff>13298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1" y="4286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13</xdr:row>
      <xdr:rowOff>74520</xdr:rowOff>
    </xdr:from>
    <xdr:to>
      <xdr:col>1</xdr:col>
      <xdr:colOff>1890246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79" y="36844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11</xdr:row>
      <xdr:rowOff>19610</xdr:rowOff>
    </xdr:from>
    <xdr:to>
      <xdr:col>1</xdr:col>
      <xdr:colOff>1849345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176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1016187</xdr:colOff>
      <xdr:row>27</xdr:row>
      <xdr:rowOff>57151</xdr:rowOff>
    </xdr:from>
    <xdr:to>
      <xdr:col>1</xdr:col>
      <xdr:colOff>1954679</xdr:colOff>
      <xdr:row>30</xdr:row>
      <xdr:rowOff>12701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05" y="902185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1002740</xdr:colOff>
      <xdr:row>24</xdr:row>
      <xdr:rowOff>112619</xdr:rowOff>
    </xdr:from>
    <xdr:to>
      <xdr:col>1</xdr:col>
      <xdr:colOff>1905934</xdr:colOff>
      <xdr:row>26</xdr:row>
      <xdr:rowOff>68207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58" y="850582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7" t="s">
        <v>0</v>
      </c>
      <c r="B2" s="227"/>
      <c r="C2" s="227"/>
    </row>
    <row r="3" spans="1:3" x14ac:dyDescent="0.25">
      <c r="A3" s="1"/>
      <c r="B3" s="1"/>
      <c r="C3" s="1"/>
    </row>
    <row r="4" spans="1:3" x14ac:dyDescent="0.25">
      <c r="A4" s="228" t="s">
        <v>1</v>
      </c>
      <c r="B4" s="228"/>
      <c r="C4" s="22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29" t="s">
        <v>3</v>
      </c>
      <c r="C6" s="229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1184.3526848986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topLeftCell="A13" workbookViewId="0">
      <selection activeCell="D24" sqref="D2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7" t="s">
        <v>320</v>
      </c>
      <c r="B1" s="267"/>
      <c r="C1" s="267"/>
      <c r="D1" s="267"/>
      <c r="E1" s="267"/>
      <c r="F1" s="267"/>
      <c r="G1" s="267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27" t="s">
        <v>321</v>
      </c>
      <c r="B3" s="227"/>
      <c r="C3" s="227"/>
      <c r="D3" s="227"/>
      <c r="E3" s="227"/>
      <c r="F3" s="227"/>
      <c r="G3" s="227"/>
    </row>
    <row r="4" spans="1:7" ht="25.5" customHeight="1" x14ac:dyDescent="0.25">
      <c r="A4" s="230" t="s">
        <v>48</v>
      </c>
      <c r="B4" s="230"/>
      <c r="C4" s="230"/>
      <c r="D4" s="230"/>
      <c r="E4" s="230"/>
      <c r="F4" s="230"/>
      <c r="G4" s="23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9" t="s">
        <v>13</v>
      </c>
      <c r="B6" s="259" t="s">
        <v>100</v>
      </c>
      <c r="C6" s="259" t="s">
        <v>238</v>
      </c>
      <c r="D6" s="259" t="s">
        <v>102</v>
      </c>
      <c r="E6" s="260" t="s">
        <v>291</v>
      </c>
      <c r="F6" s="272" t="s">
        <v>104</v>
      </c>
      <c r="G6" s="272"/>
    </row>
    <row r="7" spans="1:7" x14ac:dyDescent="0.25">
      <c r="A7" s="259"/>
      <c r="B7" s="259"/>
      <c r="C7" s="259"/>
      <c r="D7" s="259"/>
      <c r="E7" s="261"/>
      <c r="F7" s="2" t="s">
        <v>294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8" t="s">
        <v>322</v>
      </c>
      <c r="C9" s="269"/>
      <c r="D9" s="269"/>
      <c r="E9" s="269"/>
      <c r="F9" s="269"/>
      <c r="G9" s="270"/>
    </row>
    <row r="10" spans="1:7" ht="27" customHeight="1" x14ac:dyDescent="0.25">
      <c r="A10" s="2"/>
      <c r="B10" s="104"/>
      <c r="C10" s="8" t="s">
        <v>323</v>
      </c>
      <c r="D10" s="104"/>
      <c r="E10" s="105"/>
      <c r="F10" s="103"/>
      <c r="G10" s="103">
        <v>0</v>
      </c>
    </row>
    <row r="11" spans="1:7" x14ac:dyDescent="0.25">
      <c r="A11" s="2"/>
      <c r="B11" s="262" t="s">
        <v>324</v>
      </c>
      <c r="C11" s="262"/>
      <c r="D11" s="262"/>
      <c r="E11" s="271"/>
      <c r="F11" s="264"/>
      <c r="G11" s="264"/>
    </row>
    <row r="12" spans="1:7" x14ac:dyDescent="0.25">
      <c r="A12" s="2">
        <v>1</v>
      </c>
      <c r="B12" s="143" t="s">
        <v>304</v>
      </c>
      <c r="C12" s="8" t="s">
        <v>152</v>
      </c>
      <c r="D12" s="199" t="s">
        <v>153</v>
      </c>
      <c r="E12" s="178">
        <v>6</v>
      </c>
      <c r="F12" s="32">
        <f>'Прил.5 Расчет СМР и ОБ'!F39</f>
        <v>168690.1</v>
      </c>
      <c r="G12" s="32">
        <f>'Прил.5 Расчет СМР и ОБ'!G39</f>
        <v>1012140.6</v>
      </c>
    </row>
    <row r="13" spans="1:7" ht="25.5" customHeight="1" x14ac:dyDescent="0.25">
      <c r="A13" s="2">
        <v>2</v>
      </c>
      <c r="B13" s="143" t="s">
        <v>151</v>
      </c>
      <c r="C13" s="8" t="s">
        <v>154</v>
      </c>
      <c r="D13" s="199" t="s">
        <v>153</v>
      </c>
      <c r="E13" s="2">
        <v>2</v>
      </c>
      <c r="F13" s="32">
        <f>'Прил.5 Расчет СМР и ОБ'!F41</f>
        <v>20669.939999999999</v>
      </c>
      <c r="G13" s="32">
        <f>'Прил.5 Расчет СМР и ОБ'!G41</f>
        <v>41339.879999999997</v>
      </c>
    </row>
    <row r="14" spans="1:7" ht="38.25" customHeight="1" x14ac:dyDescent="0.25">
      <c r="A14" s="2">
        <v>3</v>
      </c>
      <c r="B14" s="143" t="s">
        <v>151</v>
      </c>
      <c r="C14" s="8" t="s">
        <v>155</v>
      </c>
      <c r="D14" s="199" t="s">
        <v>153</v>
      </c>
      <c r="E14" s="2">
        <v>2</v>
      </c>
      <c r="F14" s="32">
        <f>'Прил.5 Расчет СМР и ОБ'!F42</f>
        <v>4046.87</v>
      </c>
      <c r="G14" s="32">
        <f>'Прил.5 Расчет СМР и ОБ'!G42</f>
        <v>8093.74</v>
      </c>
    </row>
    <row r="15" spans="1:7" ht="25.5" customHeight="1" x14ac:dyDescent="0.25">
      <c r="A15" s="2"/>
      <c r="B15" s="8"/>
      <c r="C15" s="8" t="s">
        <v>325</v>
      </c>
      <c r="D15" s="8"/>
      <c r="E15" s="47"/>
      <c r="F15" s="32"/>
      <c r="G15" s="32">
        <f>G14+G13+G12</f>
        <v>1061574.22</v>
      </c>
    </row>
    <row r="16" spans="1:7" ht="19.5" customHeight="1" x14ac:dyDescent="0.25">
      <c r="A16" s="2"/>
      <c r="B16" s="8"/>
      <c r="C16" s="8" t="s">
        <v>326</v>
      </c>
      <c r="D16" s="8"/>
      <c r="E16" s="47"/>
      <c r="F16" s="32"/>
      <c r="G16" s="32">
        <f>G10+G15</f>
        <v>1061574.22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s="206" customFormat="1" x14ac:dyDescent="0.25">
      <c r="B18" s="207" t="s">
        <v>76</v>
      </c>
      <c r="C18" s="214"/>
    </row>
    <row r="19" spans="1:7" s="206" customFormat="1" x14ac:dyDescent="0.25">
      <c r="B19" s="33" t="s">
        <v>77</v>
      </c>
      <c r="C19" s="214"/>
    </row>
    <row r="20" spans="1:7" s="206" customFormat="1" x14ac:dyDescent="0.25">
      <c r="B20" s="207"/>
      <c r="C20" s="214"/>
    </row>
    <row r="21" spans="1:7" s="206" customFormat="1" x14ac:dyDescent="0.25">
      <c r="B21" s="207" t="s">
        <v>78</v>
      </c>
      <c r="C21" s="214"/>
    </row>
    <row r="22" spans="1:7" s="206" customFormat="1" x14ac:dyDescent="0.25">
      <c r="B22" s="33" t="s">
        <v>79</v>
      </c>
      <c r="C22" s="21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D24" sqref="D24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4"/>
      <c r="C1" s="4"/>
      <c r="D1" s="52" t="s">
        <v>327</v>
      </c>
    </row>
    <row r="2" spans="1:6" x14ac:dyDescent="0.25">
      <c r="A2" s="52"/>
      <c r="B2" s="52"/>
      <c r="C2" s="52"/>
      <c r="D2" s="52"/>
    </row>
    <row r="3" spans="1:6" ht="24.75" customHeight="1" x14ac:dyDescent="0.25">
      <c r="A3" s="227" t="s">
        <v>328</v>
      </c>
      <c r="B3" s="227"/>
      <c r="C3" s="227"/>
      <c r="D3" s="227"/>
    </row>
    <row r="4" spans="1:6" ht="24.75" customHeight="1" x14ac:dyDescent="0.25">
      <c r="A4" s="180"/>
      <c r="B4" s="180"/>
      <c r="C4" s="180"/>
      <c r="D4" s="180"/>
    </row>
    <row r="5" spans="1:6" ht="54.75" customHeight="1" x14ac:dyDescent="0.25">
      <c r="A5" s="230" t="s">
        <v>329</v>
      </c>
      <c r="B5" s="230"/>
      <c r="C5" s="230"/>
      <c r="D5" s="205" t="str">
        <f>'Прил.5 Расчет СМР и ОБ'!D6</f>
        <v>ТН (четыре вторичные обмотки) на три фазы без устройства фундамента напряжение 110 кВ</v>
      </c>
      <c r="E5" s="206"/>
      <c r="F5" s="206"/>
    </row>
    <row r="6" spans="1:6" ht="19.899999999999999" customHeight="1" x14ac:dyDescent="0.25">
      <c r="A6" s="230" t="s">
        <v>50</v>
      </c>
      <c r="B6" s="230"/>
      <c r="C6" s="230"/>
      <c r="D6" s="205"/>
      <c r="E6" s="206"/>
      <c r="F6" s="206"/>
    </row>
    <row r="7" spans="1:6" x14ac:dyDescent="0.25">
      <c r="A7" s="207"/>
      <c r="B7" s="207"/>
      <c r="C7" s="207"/>
      <c r="D7" s="207"/>
      <c r="E7" s="206"/>
      <c r="F7" s="206"/>
    </row>
    <row r="8" spans="1:6" ht="14.45" customHeight="1" x14ac:dyDescent="0.25">
      <c r="A8" s="241" t="s">
        <v>5</v>
      </c>
      <c r="B8" s="241" t="s">
        <v>6</v>
      </c>
      <c r="C8" s="241" t="s">
        <v>330</v>
      </c>
      <c r="D8" s="241" t="s">
        <v>331</v>
      </c>
      <c r="E8" s="206"/>
      <c r="F8" s="206"/>
    </row>
    <row r="9" spans="1:6" ht="15" customHeight="1" x14ac:dyDescent="0.25">
      <c r="A9" s="241"/>
      <c r="B9" s="241"/>
      <c r="C9" s="241"/>
      <c r="D9" s="241"/>
      <c r="E9" s="206"/>
      <c r="F9" s="206"/>
    </row>
    <row r="10" spans="1:6" x14ac:dyDescent="0.25">
      <c r="A10" s="208">
        <v>1</v>
      </c>
      <c r="B10" s="208">
        <v>2</v>
      </c>
      <c r="C10" s="208">
        <v>3</v>
      </c>
      <c r="D10" s="208">
        <v>4</v>
      </c>
      <c r="E10" s="206"/>
      <c r="F10" s="206"/>
    </row>
    <row r="11" spans="1:6" ht="41.45" customHeight="1" x14ac:dyDescent="0.25">
      <c r="A11" s="208" t="s">
        <v>332</v>
      </c>
      <c r="B11" s="208" t="s">
        <v>333</v>
      </c>
      <c r="C11" s="209" t="str">
        <f>D5</f>
        <v>ТН (четыре вторичные обмотки) на три фазы без устройства фундамента напряжение 110 кВ</v>
      </c>
      <c r="D11" s="210">
        <f>'Прил.4 РМ'!C41/1000</f>
        <v>4692.3412749999998</v>
      </c>
      <c r="E11" s="211"/>
      <c r="F11" s="206"/>
    </row>
    <row r="12" spans="1:6" x14ac:dyDescent="0.25">
      <c r="A12" s="212"/>
      <c r="B12" s="213"/>
      <c r="C12" s="212"/>
      <c r="D12" s="230"/>
      <c r="E12" s="230"/>
      <c r="F12" s="230"/>
    </row>
    <row r="13" spans="1:6" s="206" customFormat="1" x14ac:dyDescent="0.25">
      <c r="B13" s="207" t="s">
        <v>76</v>
      </c>
      <c r="C13" s="214"/>
    </row>
    <row r="14" spans="1:6" s="206" customFormat="1" x14ac:dyDescent="0.25">
      <c r="B14" s="33" t="s">
        <v>77</v>
      </c>
      <c r="C14" s="214"/>
    </row>
    <row r="15" spans="1:6" s="206" customFormat="1" x14ac:dyDescent="0.25">
      <c r="B15" s="207"/>
      <c r="C15" s="214"/>
    </row>
    <row r="16" spans="1:6" s="206" customFormat="1" x14ac:dyDescent="0.25">
      <c r="B16" s="207" t="s">
        <v>78</v>
      </c>
      <c r="C16" s="214"/>
    </row>
    <row r="17" spans="2:3" s="206" customFormat="1" x14ac:dyDescent="0.25">
      <c r="B17" s="33" t="s">
        <v>79</v>
      </c>
      <c r="C17" s="214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6" zoomScale="60" zoomScaleNormal="85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8.140625" customWidth="1"/>
    <col min="4" max="4" width="32" customWidth="1"/>
    <col min="5" max="5" width="9.140625" customWidth="1"/>
  </cols>
  <sheetData>
    <row r="4" spans="2:5" ht="15.75" customHeight="1" x14ac:dyDescent="0.25">
      <c r="B4" s="235" t="s">
        <v>334</v>
      </c>
      <c r="C4" s="235"/>
      <c r="D4" s="235"/>
    </row>
    <row r="5" spans="2:5" ht="18.75" customHeight="1" x14ac:dyDescent="0.25">
      <c r="B5" s="138"/>
    </row>
    <row r="6" spans="2:5" ht="15.75" customHeight="1" x14ac:dyDescent="0.25">
      <c r="B6" s="240" t="s">
        <v>335</v>
      </c>
      <c r="C6" s="240"/>
      <c r="D6" s="240"/>
    </row>
    <row r="7" spans="2:5" x14ac:dyDescent="0.25">
      <c r="B7" s="273" t="s">
        <v>336</v>
      </c>
      <c r="C7" s="273"/>
      <c r="D7" s="273"/>
      <c r="E7" s="273"/>
    </row>
    <row r="8" spans="2:5" x14ac:dyDescent="0.25">
      <c r="B8" s="164"/>
      <c r="C8" s="164"/>
      <c r="D8" s="164"/>
      <c r="E8" s="164"/>
    </row>
    <row r="9" spans="2:5" ht="47.25" customHeight="1" x14ac:dyDescent="0.25">
      <c r="B9" s="118" t="s">
        <v>337</v>
      </c>
      <c r="C9" s="118" t="s">
        <v>338</v>
      </c>
      <c r="D9" s="118" t="s">
        <v>339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340</v>
      </c>
      <c r="C11" s="118" t="s">
        <v>341</v>
      </c>
      <c r="D11" s="118">
        <v>44.29</v>
      </c>
    </row>
    <row r="12" spans="2:5" ht="31.5" customHeight="1" x14ac:dyDescent="0.25">
      <c r="B12" s="118" t="s">
        <v>342</v>
      </c>
      <c r="C12" s="118" t="s">
        <v>341</v>
      </c>
      <c r="D12" s="118">
        <v>13.47</v>
      </c>
    </row>
    <row r="13" spans="2:5" ht="31.5" customHeight="1" x14ac:dyDescent="0.25">
      <c r="B13" s="118" t="s">
        <v>343</v>
      </c>
      <c r="C13" s="118" t="s">
        <v>341</v>
      </c>
      <c r="D13" s="118">
        <v>8.0399999999999991</v>
      </c>
    </row>
    <row r="14" spans="2:5" ht="31.5" customHeight="1" x14ac:dyDescent="0.25">
      <c r="B14" s="118" t="s">
        <v>344</v>
      </c>
      <c r="C14" s="120" t="s">
        <v>345</v>
      </c>
      <c r="D14" s="118">
        <v>6.26</v>
      </c>
    </row>
    <row r="15" spans="2:5" ht="89.25" customHeight="1" x14ac:dyDescent="0.25">
      <c r="B15" s="118" t="s">
        <v>346</v>
      </c>
      <c r="C15" s="118" t="s">
        <v>347</v>
      </c>
      <c r="D15" s="139">
        <v>3.9E-2</v>
      </c>
    </row>
    <row r="16" spans="2:5" ht="78.75" customHeight="1" x14ac:dyDescent="0.25">
      <c r="B16" s="118" t="s">
        <v>348</v>
      </c>
      <c r="C16" s="118" t="s">
        <v>349</v>
      </c>
      <c r="D16" s="139">
        <v>2.1000000000000001E-2</v>
      </c>
    </row>
    <row r="17" spans="2:4" ht="15.75" customHeight="1" x14ac:dyDescent="0.25">
      <c r="B17" s="118" t="s">
        <v>350</v>
      </c>
      <c r="C17" s="118"/>
      <c r="D17" s="118" t="s">
        <v>351</v>
      </c>
    </row>
    <row r="18" spans="2:4" ht="31.5" customHeight="1" x14ac:dyDescent="0.25">
      <c r="B18" s="118" t="s">
        <v>262</v>
      </c>
      <c r="C18" s="118" t="s">
        <v>352</v>
      </c>
      <c r="D18" s="139">
        <v>2.1399999999999999E-2</v>
      </c>
    </row>
    <row r="19" spans="2:4" ht="31.5" customHeight="1" x14ac:dyDescent="0.25">
      <c r="B19" s="118" t="s">
        <v>285</v>
      </c>
      <c r="C19" s="118" t="s">
        <v>353</v>
      </c>
      <c r="D19" s="139">
        <v>2E-3</v>
      </c>
    </row>
    <row r="20" spans="2:4" ht="24" customHeight="1" x14ac:dyDescent="0.25">
      <c r="B20" s="118" t="s">
        <v>265</v>
      </c>
      <c r="C20" s="118" t="s">
        <v>354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s="206" customFormat="1" x14ac:dyDescent="0.25">
      <c r="B27" s="207" t="s">
        <v>76</v>
      </c>
      <c r="C27" s="214"/>
    </row>
    <row r="28" spans="2:4" s="206" customFormat="1" x14ac:dyDescent="0.25">
      <c r="B28" s="33" t="s">
        <v>77</v>
      </c>
      <c r="C28" s="214"/>
    </row>
    <row r="29" spans="2:4" s="206" customFormat="1" x14ac:dyDescent="0.25">
      <c r="B29" s="207"/>
      <c r="C29" s="214"/>
    </row>
    <row r="30" spans="2:4" s="206" customFormat="1" x14ac:dyDescent="0.25">
      <c r="B30" s="207" t="s">
        <v>78</v>
      </c>
      <c r="C30" s="214"/>
    </row>
    <row r="31" spans="2:4" s="206" customFormat="1" x14ac:dyDescent="0.25">
      <c r="B31" s="33" t="s">
        <v>79</v>
      </c>
      <c r="C31" s="2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8" workbookViewId="0">
      <selection activeCell="D24" sqref="D2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0" t="s">
        <v>355</v>
      </c>
      <c r="B2" s="240"/>
      <c r="C2" s="240"/>
      <c r="D2" s="240"/>
      <c r="E2" s="240"/>
      <c r="F2" s="240"/>
    </row>
    <row r="4" spans="1:7" ht="18" customHeight="1" x14ac:dyDescent="0.25">
      <c r="A4" s="125" t="s">
        <v>356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357</v>
      </c>
      <c r="C5" s="127" t="s">
        <v>358</v>
      </c>
      <c r="D5" s="127" t="s">
        <v>359</v>
      </c>
      <c r="E5" s="127" t="s">
        <v>360</v>
      </c>
      <c r="F5" s="127" t="s">
        <v>361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362</v>
      </c>
      <c r="B7" s="129" t="s">
        <v>363</v>
      </c>
      <c r="C7" s="198" t="s">
        <v>364</v>
      </c>
      <c r="D7" s="198" t="s">
        <v>365</v>
      </c>
      <c r="E7" s="130">
        <v>47872.94</v>
      </c>
      <c r="F7" s="129" t="s">
        <v>366</v>
      </c>
      <c r="G7" s="126"/>
    </row>
    <row r="8" spans="1:7" ht="31.5" customHeight="1" x14ac:dyDescent="0.25">
      <c r="A8" s="128" t="s">
        <v>367</v>
      </c>
      <c r="B8" s="129" t="s">
        <v>368</v>
      </c>
      <c r="C8" s="198" t="s">
        <v>369</v>
      </c>
      <c r="D8" s="198" t="s">
        <v>370</v>
      </c>
      <c r="E8" s="130">
        <f>1973/12</f>
        <v>164.41666666667001</v>
      </c>
      <c r="F8" s="129" t="s">
        <v>371</v>
      </c>
      <c r="G8" s="131"/>
    </row>
    <row r="9" spans="1:7" ht="15.75" customHeight="1" x14ac:dyDescent="0.25">
      <c r="A9" s="128" t="s">
        <v>372</v>
      </c>
      <c r="B9" s="129" t="s">
        <v>373</v>
      </c>
      <c r="C9" s="198" t="s">
        <v>374</v>
      </c>
      <c r="D9" s="198" t="s">
        <v>365</v>
      </c>
      <c r="E9" s="130">
        <v>1</v>
      </c>
      <c r="F9" s="129"/>
      <c r="G9" s="131"/>
    </row>
    <row r="10" spans="1:7" ht="15.75" customHeight="1" x14ac:dyDescent="0.25">
      <c r="A10" s="128" t="s">
        <v>375</v>
      </c>
      <c r="B10" s="129" t="s">
        <v>376</v>
      </c>
      <c r="C10" s="198"/>
      <c r="D10" s="198"/>
      <c r="E10" s="132">
        <v>4</v>
      </c>
      <c r="F10" s="129" t="s">
        <v>377</v>
      </c>
      <c r="G10" s="131"/>
    </row>
    <row r="11" spans="1:7" ht="78.75" customHeight="1" x14ac:dyDescent="0.25">
      <c r="A11" s="128" t="s">
        <v>378</v>
      </c>
      <c r="B11" s="129" t="s">
        <v>379</v>
      </c>
      <c r="C11" s="198" t="s">
        <v>380</v>
      </c>
      <c r="D11" s="198" t="s">
        <v>365</v>
      </c>
      <c r="E11" s="133">
        <v>1.34</v>
      </c>
      <c r="F11" s="129" t="s">
        <v>381</v>
      </c>
      <c r="G11" s="126"/>
    </row>
    <row r="12" spans="1:7" ht="78.75" customHeight="1" x14ac:dyDescent="0.25">
      <c r="A12" s="128" t="s">
        <v>382</v>
      </c>
      <c r="B12" s="119" t="s">
        <v>383</v>
      </c>
      <c r="C12" s="198" t="s">
        <v>384</v>
      </c>
      <c r="D12" s="198" t="s">
        <v>365</v>
      </c>
      <c r="E12" s="134">
        <v>1.139</v>
      </c>
      <c r="F12" s="135" t="s">
        <v>385</v>
      </c>
      <c r="G12" s="131" t="s">
        <v>386</v>
      </c>
    </row>
    <row r="13" spans="1:7" ht="63" customHeight="1" x14ac:dyDescent="0.25">
      <c r="A13" s="128" t="s">
        <v>387</v>
      </c>
      <c r="B13" s="136" t="s">
        <v>388</v>
      </c>
      <c r="C13" s="198" t="s">
        <v>389</v>
      </c>
      <c r="D13" s="198" t="s">
        <v>390</v>
      </c>
      <c r="E13" s="137">
        <f>((E7*E9/E8)*E11)*E12</f>
        <v>444.39870291576</v>
      </c>
      <c r="F13" s="129" t="s">
        <v>391</v>
      </c>
      <c r="G13" s="126"/>
    </row>
    <row r="14" spans="1:7" ht="15.75" customHeight="1" x14ac:dyDescent="0.25">
      <c r="A14" s="126"/>
      <c r="B14" s="122" t="s">
        <v>110</v>
      </c>
      <c r="C14" s="126"/>
      <c r="D14" s="126"/>
      <c r="E14" s="126"/>
      <c r="F14" s="126"/>
    </row>
    <row r="15" spans="1:7" ht="110.25" customHeight="1" x14ac:dyDescent="0.25">
      <c r="A15" s="128" t="s">
        <v>362</v>
      </c>
      <c r="B15" s="129" t="s">
        <v>363</v>
      </c>
      <c r="C15" s="198" t="s">
        <v>364</v>
      </c>
      <c r="D15" s="198" t="s">
        <v>365</v>
      </c>
      <c r="E15" s="130">
        <v>47872.94</v>
      </c>
      <c r="F15" s="129" t="s">
        <v>366</v>
      </c>
    </row>
    <row r="16" spans="1:7" ht="31.5" customHeight="1" x14ac:dyDescent="0.25">
      <c r="A16" s="128" t="s">
        <v>367</v>
      </c>
      <c r="B16" s="129" t="s">
        <v>368</v>
      </c>
      <c r="C16" s="198" t="s">
        <v>369</v>
      </c>
      <c r="D16" s="198" t="s">
        <v>370</v>
      </c>
      <c r="E16" s="130">
        <f>1973/12</f>
        <v>164.41666666667001</v>
      </c>
      <c r="F16" s="129" t="s">
        <v>371</v>
      </c>
    </row>
    <row r="17" spans="1:6" ht="15.75" customHeight="1" x14ac:dyDescent="0.25">
      <c r="A17" s="128" t="s">
        <v>372</v>
      </c>
      <c r="B17" s="129" t="s">
        <v>373</v>
      </c>
      <c r="C17" s="198" t="s">
        <v>374</v>
      </c>
      <c r="D17" s="198" t="s">
        <v>365</v>
      </c>
      <c r="E17" s="130">
        <v>1</v>
      </c>
      <c r="F17" s="129"/>
    </row>
    <row r="18" spans="1:6" ht="15.75" customHeight="1" x14ac:dyDescent="0.25">
      <c r="A18" s="128" t="s">
        <v>375</v>
      </c>
      <c r="B18" s="129" t="s">
        <v>376</v>
      </c>
      <c r="C18" s="198"/>
      <c r="D18" s="198"/>
      <c r="E18" s="132">
        <v>1</v>
      </c>
      <c r="F18" s="129" t="s">
        <v>377</v>
      </c>
    </row>
    <row r="19" spans="1:6" ht="78.75" customHeight="1" x14ac:dyDescent="0.25">
      <c r="A19" s="128" t="s">
        <v>378</v>
      </c>
      <c r="B19" s="129" t="s">
        <v>379</v>
      </c>
      <c r="C19" s="198" t="s">
        <v>380</v>
      </c>
      <c r="D19" s="198" t="s">
        <v>365</v>
      </c>
      <c r="E19" s="133">
        <v>2.15</v>
      </c>
      <c r="F19" s="129" t="s">
        <v>392</v>
      </c>
    </row>
    <row r="20" spans="1:6" ht="78.75" customHeight="1" x14ac:dyDescent="0.25">
      <c r="A20" s="128" t="s">
        <v>382</v>
      </c>
      <c r="B20" s="119" t="s">
        <v>383</v>
      </c>
      <c r="C20" s="198" t="s">
        <v>384</v>
      </c>
      <c r="D20" s="198" t="s">
        <v>365</v>
      </c>
      <c r="E20" s="134">
        <v>1.139</v>
      </c>
      <c r="F20" s="135" t="s">
        <v>385</v>
      </c>
    </row>
    <row r="21" spans="1:6" ht="63" customHeight="1" x14ac:dyDescent="0.25">
      <c r="A21" s="128" t="s">
        <v>387</v>
      </c>
      <c r="B21" s="136" t="s">
        <v>393</v>
      </c>
      <c r="C21" s="198" t="s">
        <v>389</v>
      </c>
      <c r="D21" s="198" t="s">
        <v>390</v>
      </c>
      <c r="E21" s="137">
        <f>((E15*E17/E16)*E19)*E20</f>
        <v>713.02776960364997</v>
      </c>
      <c r="F21" s="129" t="s">
        <v>391</v>
      </c>
    </row>
    <row r="22" spans="1:6" ht="15.75" customHeight="1" x14ac:dyDescent="0.25">
      <c r="A22" s="126"/>
      <c r="B22" s="122" t="s">
        <v>113</v>
      </c>
      <c r="C22" s="126"/>
      <c r="D22" s="126"/>
      <c r="E22" s="126"/>
      <c r="F22" s="126"/>
    </row>
    <row r="23" spans="1:6" ht="110.25" customHeight="1" x14ac:dyDescent="0.25">
      <c r="A23" s="128" t="s">
        <v>362</v>
      </c>
      <c r="B23" s="129" t="s">
        <v>363</v>
      </c>
      <c r="C23" s="198" t="s">
        <v>364</v>
      </c>
      <c r="D23" s="198" t="s">
        <v>365</v>
      </c>
      <c r="E23" s="130">
        <v>47872.94</v>
      </c>
      <c r="F23" s="129" t="s">
        <v>366</v>
      </c>
    </row>
    <row r="24" spans="1:6" ht="31.5" customHeight="1" x14ac:dyDescent="0.25">
      <c r="A24" s="128" t="s">
        <v>367</v>
      </c>
      <c r="B24" s="129" t="s">
        <v>368</v>
      </c>
      <c r="C24" s="198" t="s">
        <v>369</v>
      </c>
      <c r="D24" s="198" t="s">
        <v>370</v>
      </c>
      <c r="E24" s="130">
        <f>1973/12</f>
        <v>164.41666666667001</v>
      </c>
      <c r="F24" s="129" t="s">
        <v>371</v>
      </c>
    </row>
    <row r="25" spans="1:6" ht="15.75" customHeight="1" x14ac:dyDescent="0.25">
      <c r="A25" s="128" t="s">
        <v>372</v>
      </c>
      <c r="B25" s="129" t="s">
        <v>373</v>
      </c>
      <c r="C25" s="198" t="s">
        <v>374</v>
      </c>
      <c r="D25" s="198" t="s">
        <v>365</v>
      </c>
      <c r="E25" s="130">
        <v>1</v>
      </c>
      <c r="F25" s="129"/>
    </row>
    <row r="26" spans="1:6" ht="15.75" customHeight="1" x14ac:dyDescent="0.25">
      <c r="A26" s="128" t="s">
        <v>375</v>
      </c>
      <c r="B26" s="129" t="s">
        <v>376</v>
      </c>
      <c r="C26" s="198"/>
      <c r="D26" s="198"/>
      <c r="E26" s="132">
        <v>1</v>
      </c>
      <c r="F26" s="129" t="s">
        <v>377</v>
      </c>
    </row>
    <row r="27" spans="1:6" ht="78.75" customHeight="1" x14ac:dyDescent="0.25">
      <c r="A27" s="128" t="s">
        <v>378</v>
      </c>
      <c r="B27" s="129" t="s">
        <v>379</v>
      </c>
      <c r="C27" s="198" t="s">
        <v>380</v>
      </c>
      <c r="D27" s="198" t="s">
        <v>365</v>
      </c>
      <c r="E27" s="133">
        <v>1.96</v>
      </c>
      <c r="F27" s="129" t="s">
        <v>392</v>
      </c>
    </row>
    <row r="28" spans="1:6" ht="78.75" customHeight="1" x14ac:dyDescent="0.25">
      <c r="A28" s="128" t="s">
        <v>382</v>
      </c>
      <c r="B28" s="119" t="s">
        <v>383</v>
      </c>
      <c r="C28" s="198" t="s">
        <v>384</v>
      </c>
      <c r="D28" s="198" t="s">
        <v>365</v>
      </c>
      <c r="E28" s="134">
        <v>1.139</v>
      </c>
      <c r="F28" s="135" t="s">
        <v>385</v>
      </c>
    </row>
    <row r="29" spans="1:6" ht="63" customHeight="1" x14ac:dyDescent="0.25">
      <c r="A29" s="128" t="s">
        <v>387</v>
      </c>
      <c r="B29" s="136" t="s">
        <v>393</v>
      </c>
      <c r="C29" s="198" t="s">
        <v>389</v>
      </c>
      <c r="D29" s="198" t="s">
        <v>390</v>
      </c>
      <c r="E29" s="137">
        <f>((E23*E25/E24)*E27)*E28</f>
        <v>650.01601322007002</v>
      </c>
      <c r="F29" s="129" t="s">
        <v>391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74" t="s">
        <v>394</v>
      </c>
      <c r="B1" s="274"/>
      <c r="C1" s="274"/>
      <c r="D1" s="274"/>
      <c r="E1" s="274"/>
      <c r="F1" s="274"/>
      <c r="G1" s="274"/>
      <c r="H1" s="274"/>
      <c r="I1" s="274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0" t="str">
        <f>'Прил. 3'!A6</f>
        <v>Наименование разрабатываемого показателя УНЦ - ТН (четыре вторичные обмотки) на три фазы без устройства фундамента напряжение 110 кВ</v>
      </c>
      <c r="B3" s="230"/>
      <c r="C3" s="230"/>
      <c r="D3" s="230"/>
      <c r="E3" s="230"/>
      <c r="F3" s="230"/>
      <c r="G3" s="230"/>
      <c r="H3" s="230"/>
      <c r="I3" s="230"/>
    </row>
    <row r="4" spans="1:13" s="4" customFormat="1" ht="15.75" customHeight="1" x14ac:dyDescent="0.2">
      <c r="A4" s="252"/>
      <c r="B4" s="252"/>
      <c r="C4" s="252"/>
      <c r="D4" s="252"/>
      <c r="E4" s="252"/>
      <c r="F4" s="252"/>
      <c r="G4" s="252"/>
      <c r="H4" s="252"/>
      <c r="I4" s="252"/>
    </row>
    <row r="5" spans="1:13" s="36" customFormat="1" ht="36.6" customHeight="1" x14ac:dyDescent="0.35">
      <c r="A5" s="275" t="s">
        <v>13</v>
      </c>
      <c r="B5" s="275" t="s">
        <v>395</v>
      </c>
      <c r="C5" s="275" t="s">
        <v>396</v>
      </c>
      <c r="D5" s="275" t="s">
        <v>397</v>
      </c>
      <c r="E5" s="272" t="s">
        <v>398</v>
      </c>
      <c r="F5" s="272"/>
      <c r="G5" s="272"/>
      <c r="H5" s="272"/>
      <c r="I5" s="272"/>
    </row>
    <row r="6" spans="1:13" s="30" customFormat="1" ht="31.5" customHeight="1" x14ac:dyDescent="0.2">
      <c r="A6" s="275"/>
      <c r="B6" s="275"/>
      <c r="C6" s="275"/>
      <c r="D6" s="275"/>
      <c r="E6" s="37" t="s">
        <v>88</v>
      </c>
      <c r="F6" s="37" t="s">
        <v>89</v>
      </c>
      <c r="G6" s="37" t="s">
        <v>43</v>
      </c>
      <c r="H6" s="37" t="s">
        <v>399</v>
      </c>
      <c r="I6" s="37" t="s">
        <v>400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257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401</v>
      </c>
      <c r="C9" s="8" t="s">
        <v>402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403</v>
      </c>
      <c r="C11" s="8" t="s">
        <v>348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404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405</v>
      </c>
      <c r="C12" s="8" t="s">
        <v>406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407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352</v>
      </c>
      <c r="C14" s="8" t="s">
        <v>408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409</v>
      </c>
      <c r="C16" s="8" t="s">
        <v>410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411</v>
      </c>
    </row>
    <row r="17" spans="1:10" s="30" customFormat="1" ht="81.75" customHeight="1" x14ac:dyDescent="0.2">
      <c r="A17" s="38">
        <v>7</v>
      </c>
      <c r="B17" s="8" t="s">
        <v>409</v>
      </c>
      <c r="C17" s="8" t="s">
        <v>412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413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414</v>
      </c>
      <c r="C20" s="8" t="s">
        <v>265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415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268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269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270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271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0" t="s">
        <v>416</v>
      </c>
      <c r="O2" s="280"/>
    </row>
    <row r="3" spans="1:16" x14ac:dyDescent="0.25">
      <c r="A3" s="281" t="s">
        <v>417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5" spans="1:16" ht="37.5" customHeight="1" x14ac:dyDescent="0.25">
      <c r="A5" s="282" t="s">
        <v>418</v>
      </c>
      <c r="B5" s="285" t="s">
        <v>419</v>
      </c>
      <c r="C5" s="288" t="s">
        <v>420</v>
      </c>
      <c r="D5" s="291" t="s">
        <v>421</v>
      </c>
      <c r="E5" s="292"/>
      <c r="F5" s="292"/>
      <c r="G5" s="292"/>
      <c r="H5" s="292"/>
      <c r="I5" s="291" t="s">
        <v>422</v>
      </c>
      <c r="J5" s="292"/>
      <c r="K5" s="292"/>
      <c r="L5" s="292"/>
      <c r="M5" s="292"/>
      <c r="N5" s="292"/>
      <c r="O5" s="54" t="s">
        <v>423</v>
      </c>
    </row>
    <row r="6" spans="1:16" s="57" customFormat="1" ht="150" customHeight="1" x14ac:dyDescent="0.25">
      <c r="A6" s="283"/>
      <c r="B6" s="286"/>
      <c r="C6" s="289"/>
      <c r="D6" s="288" t="s">
        <v>424</v>
      </c>
      <c r="E6" s="293" t="s">
        <v>425</v>
      </c>
      <c r="F6" s="294"/>
      <c r="G6" s="295"/>
      <c r="H6" s="55" t="s">
        <v>426</v>
      </c>
      <c r="I6" s="296" t="s">
        <v>427</v>
      </c>
      <c r="J6" s="296" t="s">
        <v>424</v>
      </c>
      <c r="K6" s="297" t="s">
        <v>425</v>
      </c>
      <c r="L6" s="297"/>
      <c r="M6" s="297"/>
      <c r="N6" s="55" t="s">
        <v>426</v>
      </c>
      <c r="O6" s="56" t="s">
        <v>428</v>
      </c>
    </row>
    <row r="7" spans="1:16" s="57" customFormat="1" ht="30.75" customHeight="1" x14ac:dyDescent="0.25">
      <c r="A7" s="284"/>
      <c r="B7" s="287"/>
      <c r="C7" s="290"/>
      <c r="D7" s="290"/>
      <c r="E7" s="54" t="s">
        <v>88</v>
      </c>
      <c r="F7" s="54" t="s">
        <v>89</v>
      </c>
      <c r="G7" s="54" t="s">
        <v>43</v>
      </c>
      <c r="H7" s="58" t="s">
        <v>429</v>
      </c>
      <c r="I7" s="296"/>
      <c r="J7" s="296"/>
      <c r="K7" s="54" t="s">
        <v>88</v>
      </c>
      <c r="L7" s="54" t="s">
        <v>89</v>
      </c>
      <c r="M7" s="54" t="s">
        <v>43</v>
      </c>
      <c r="N7" s="58" t="s">
        <v>429</v>
      </c>
      <c r="O7" s="54" t="s">
        <v>430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2" t="s">
        <v>431</v>
      </c>
      <c r="C9" s="60" t="s">
        <v>432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84"/>
      <c r="C10" s="63" t="s">
        <v>433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2" t="s">
        <v>434</v>
      </c>
      <c r="C11" s="63" t="s">
        <v>435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84"/>
      <c r="C12" s="63" t="s">
        <v>436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2" t="s">
        <v>437</v>
      </c>
      <c r="C13" s="60" t="s">
        <v>438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84"/>
      <c r="C14" s="63" t="s">
        <v>439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440</v>
      </c>
      <c r="C15" s="63" t="s">
        <v>441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442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443</v>
      </c>
    </row>
    <row r="19" spans="1:15" ht="30.75" customHeight="1" x14ac:dyDescent="0.25">
      <c r="L19" s="75"/>
    </row>
    <row r="20" spans="1:15" ht="15" customHeight="1" outlineLevel="1" x14ac:dyDescent="0.25">
      <c r="G20" s="279" t="s">
        <v>444</v>
      </c>
      <c r="H20" s="279"/>
      <c r="I20" s="279"/>
      <c r="J20" s="279"/>
      <c r="K20" s="279"/>
      <c r="L20" s="279"/>
      <c r="M20" s="279"/>
      <c r="N20" s="279"/>
    </row>
    <row r="21" spans="1:15" ht="15.75" customHeight="1" outlineLevel="1" x14ac:dyDescent="0.25">
      <c r="G21" s="76"/>
      <c r="H21" s="76" t="s">
        <v>445</v>
      </c>
      <c r="I21" s="76" t="s">
        <v>446</v>
      </c>
      <c r="J21" s="76" t="s">
        <v>447</v>
      </c>
      <c r="K21" s="77" t="s">
        <v>448</v>
      </c>
      <c r="L21" s="76" t="s">
        <v>449</v>
      </c>
      <c r="M21" s="76" t="s">
        <v>450</v>
      </c>
      <c r="N21" s="76" t="s">
        <v>451</v>
      </c>
      <c r="O21" s="70"/>
    </row>
    <row r="22" spans="1:15" ht="15.75" customHeight="1" outlineLevel="1" x14ac:dyDescent="0.25">
      <c r="G22" s="277" t="s">
        <v>452</v>
      </c>
      <c r="H22" s="276">
        <v>6.09</v>
      </c>
      <c r="I22" s="278">
        <v>6.44</v>
      </c>
      <c r="J22" s="276">
        <v>5.77</v>
      </c>
      <c r="K22" s="278">
        <v>5.77</v>
      </c>
      <c r="L22" s="276">
        <v>5.23</v>
      </c>
      <c r="M22" s="276">
        <v>5.77</v>
      </c>
      <c r="N22" s="78">
        <v>6.29</v>
      </c>
      <c r="O22" t="s">
        <v>453</v>
      </c>
    </row>
    <row r="23" spans="1:15" ht="15.75" customHeight="1" outlineLevel="1" x14ac:dyDescent="0.25">
      <c r="G23" s="277"/>
      <c r="H23" s="276"/>
      <c r="I23" s="278"/>
      <c r="J23" s="276"/>
      <c r="K23" s="278"/>
      <c r="L23" s="276"/>
      <c r="M23" s="276"/>
      <c r="N23" s="78">
        <v>6.56</v>
      </c>
      <c r="O23" t="s">
        <v>454</v>
      </c>
    </row>
    <row r="24" spans="1:15" ht="15.75" customHeight="1" outlineLevel="1" x14ac:dyDescent="0.25">
      <c r="G24" s="79" t="s">
        <v>455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429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456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457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399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98" t="s">
        <v>458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82" t="s">
        <v>418</v>
      </c>
      <c r="B4" s="285" t="s">
        <v>419</v>
      </c>
      <c r="C4" s="288" t="s">
        <v>459</v>
      </c>
      <c r="D4" s="288" t="s">
        <v>460</v>
      </c>
      <c r="E4" s="291" t="s">
        <v>461</v>
      </c>
      <c r="F4" s="292"/>
      <c r="G4" s="292"/>
      <c r="H4" s="292"/>
      <c r="I4" s="292"/>
      <c r="J4" s="292"/>
      <c r="K4" s="292"/>
      <c r="L4" s="292"/>
      <c r="M4" s="292"/>
      <c r="N4" s="299" t="s">
        <v>462</v>
      </c>
      <c r="O4" s="300"/>
      <c r="P4" s="300"/>
      <c r="Q4" s="300"/>
      <c r="R4" s="301"/>
    </row>
    <row r="5" spans="1:18" ht="60" customHeight="1" x14ac:dyDescent="0.25">
      <c r="A5" s="283"/>
      <c r="B5" s="286"/>
      <c r="C5" s="289"/>
      <c r="D5" s="289"/>
      <c r="E5" s="296" t="s">
        <v>463</v>
      </c>
      <c r="F5" s="296" t="s">
        <v>464</v>
      </c>
      <c r="G5" s="293" t="s">
        <v>425</v>
      </c>
      <c r="H5" s="294"/>
      <c r="I5" s="294"/>
      <c r="J5" s="295"/>
      <c r="K5" s="296" t="s">
        <v>465</v>
      </c>
      <c r="L5" s="296"/>
      <c r="M5" s="296"/>
      <c r="N5" s="81" t="s">
        <v>466</v>
      </c>
      <c r="O5" s="81" t="s">
        <v>467</v>
      </c>
      <c r="P5" s="81" t="s">
        <v>468</v>
      </c>
      <c r="Q5" s="82" t="s">
        <v>469</v>
      </c>
      <c r="R5" s="81" t="s">
        <v>470</v>
      </c>
    </row>
    <row r="6" spans="1:18" ht="49.5" customHeight="1" x14ac:dyDescent="0.25">
      <c r="A6" s="284"/>
      <c r="B6" s="287"/>
      <c r="C6" s="290"/>
      <c r="D6" s="290"/>
      <c r="E6" s="296"/>
      <c r="F6" s="296"/>
      <c r="G6" s="54" t="s">
        <v>88</v>
      </c>
      <c r="H6" s="54" t="s">
        <v>89</v>
      </c>
      <c r="I6" s="54" t="s">
        <v>43</v>
      </c>
      <c r="J6" s="54" t="s">
        <v>399</v>
      </c>
      <c r="K6" s="54" t="s">
        <v>466</v>
      </c>
      <c r="L6" s="54" t="s">
        <v>467</v>
      </c>
      <c r="M6" s="54" t="s">
        <v>468</v>
      </c>
      <c r="N6" s="54" t="s">
        <v>471</v>
      </c>
      <c r="O6" s="54" t="s">
        <v>472</v>
      </c>
      <c r="P6" s="54" t="s">
        <v>473</v>
      </c>
      <c r="Q6" s="55" t="s">
        <v>474</v>
      </c>
      <c r="R6" s="54" t="s">
        <v>475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2">
        <v>1</v>
      </c>
      <c r="B9" s="282" t="s">
        <v>476</v>
      </c>
      <c r="C9" s="302" t="s">
        <v>432</v>
      </c>
      <c r="D9" s="60" t="s">
        <v>477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84"/>
      <c r="B10" s="283"/>
      <c r="C10" s="303"/>
      <c r="D10" s="60" t="s">
        <v>478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2">
        <v>2</v>
      </c>
      <c r="B11" s="283"/>
      <c r="C11" s="302" t="s">
        <v>479</v>
      </c>
      <c r="D11" s="60" t="s">
        <v>477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84"/>
      <c r="B12" s="284"/>
      <c r="C12" s="303"/>
      <c r="D12" s="60" t="s">
        <v>478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2">
        <v>3</v>
      </c>
      <c r="B13" s="282" t="s">
        <v>434</v>
      </c>
      <c r="C13" s="304" t="s">
        <v>435</v>
      </c>
      <c r="D13" s="60" t="s">
        <v>480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84"/>
      <c r="B14" s="283"/>
      <c r="C14" s="305"/>
      <c r="D14" s="60" t="s">
        <v>478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2">
        <v>4</v>
      </c>
      <c r="B15" s="283"/>
      <c r="C15" s="306" t="s">
        <v>436</v>
      </c>
      <c r="D15" s="63" t="s">
        <v>480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84"/>
      <c r="B16" s="284"/>
      <c r="C16" s="307"/>
      <c r="D16" s="63" t="s">
        <v>478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2">
        <v>5</v>
      </c>
      <c r="B17" s="297" t="s">
        <v>437</v>
      </c>
      <c r="C17" s="302" t="s">
        <v>481</v>
      </c>
      <c r="D17" s="60" t="s">
        <v>482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84"/>
      <c r="B18" s="297"/>
      <c r="C18" s="303"/>
      <c r="D18" s="60" t="s">
        <v>478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2">
        <v>6</v>
      </c>
      <c r="B19" s="297"/>
      <c r="C19" s="302" t="s">
        <v>439</v>
      </c>
      <c r="D19" s="63" t="s">
        <v>480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84"/>
      <c r="B20" s="297"/>
      <c r="C20" s="303"/>
      <c r="D20" s="63" t="s">
        <v>478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2">
        <v>7</v>
      </c>
      <c r="B21" s="282" t="s">
        <v>440</v>
      </c>
      <c r="C21" s="302" t="s">
        <v>441</v>
      </c>
      <c r="D21" s="63" t="s">
        <v>483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84"/>
      <c r="B22" s="284"/>
      <c r="C22" s="303"/>
      <c r="D22" s="86" t="s">
        <v>478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484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08" t="s">
        <v>485</v>
      </c>
      <c r="E26" s="308"/>
      <c r="F26" s="308"/>
      <c r="G26" s="308"/>
      <c r="H26" s="308"/>
      <c r="I26" s="308"/>
      <c r="J26" s="308"/>
      <c r="K26" s="308"/>
      <c r="L26" s="75"/>
      <c r="R26" s="93"/>
    </row>
    <row r="27" spans="1:18" outlineLevel="1" x14ac:dyDescent="0.25">
      <c r="D27" s="94"/>
      <c r="E27" s="94" t="s">
        <v>445</v>
      </c>
      <c r="F27" s="94" t="s">
        <v>446</v>
      </c>
      <c r="G27" s="94" t="s">
        <v>447</v>
      </c>
      <c r="H27" s="95" t="s">
        <v>448</v>
      </c>
      <c r="I27" s="95" t="s">
        <v>449</v>
      </c>
      <c r="J27" s="95" t="s">
        <v>450</v>
      </c>
      <c r="K27" s="66" t="s">
        <v>451</v>
      </c>
    </row>
    <row r="28" spans="1:18" outlineLevel="1" x14ac:dyDescent="0.25">
      <c r="D28" s="309" t="s">
        <v>452</v>
      </c>
      <c r="E28" s="311">
        <v>6.09</v>
      </c>
      <c r="F28" s="313">
        <v>6.63</v>
      </c>
      <c r="G28" s="311">
        <v>5.77</v>
      </c>
      <c r="H28" s="315">
        <v>5.77</v>
      </c>
      <c r="I28" s="315">
        <v>6.35</v>
      </c>
      <c r="J28" s="311">
        <v>5.77</v>
      </c>
      <c r="K28" s="96">
        <v>6.29</v>
      </c>
      <c r="L28" t="s">
        <v>453</v>
      </c>
    </row>
    <row r="29" spans="1:18" outlineLevel="1" x14ac:dyDescent="0.25">
      <c r="D29" s="310"/>
      <c r="E29" s="312"/>
      <c r="F29" s="314"/>
      <c r="G29" s="312"/>
      <c r="H29" s="316"/>
      <c r="I29" s="316"/>
      <c r="J29" s="312"/>
      <c r="K29" s="96">
        <v>6.56</v>
      </c>
      <c r="L29" t="s">
        <v>454</v>
      </c>
    </row>
    <row r="30" spans="1:18" outlineLevel="1" x14ac:dyDescent="0.25">
      <c r="D30" s="97" t="s">
        <v>455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09" t="s">
        <v>429</v>
      </c>
      <c r="E31" s="311">
        <v>11.37</v>
      </c>
      <c r="F31" s="313">
        <v>13.56</v>
      </c>
      <c r="G31" s="311">
        <v>15.91</v>
      </c>
      <c r="H31" s="315">
        <v>15.91</v>
      </c>
      <c r="I31" s="315">
        <v>14.03</v>
      </c>
      <c r="J31" s="311">
        <v>15.91</v>
      </c>
      <c r="K31" s="96">
        <v>8.2899999999999991</v>
      </c>
      <c r="L31" t="s">
        <v>453</v>
      </c>
    </row>
    <row r="32" spans="1:18" outlineLevel="1" x14ac:dyDescent="0.25">
      <c r="D32" s="310"/>
      <c r="E32" s="312"/>
      <c r="F32" s="314"/>
      <c r="G32" s="312"/>
      <c r="H32" s="316"/>
      <c r="I32" s="316"/>
      <c r="J32" s="312"/>
      <c r="K32" s="96">
        <v>11.84</v>
      </c>
      <c r="L32" t="s">
        <v>454</v>
      </c>
    </row>
    <row r="33" spans="4:12" ht="15" customHeight="1" outlineLevel="1" x14ac:dyDescent="0.25">
      <c r="D33" s="98" t="s">
        <v>456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486</v>
      </c>
    </row>
    <row r="34" spans="4:12" outlineLevel="1" x14ac:dyDescent="0.25">
      <c r="D34" s="98" t="s">
        <v>457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486</v>
      </c>
    </row>
    <row r="35" spans="4:12" outlineLevel="1" x14ac:dyDescent="0.25">
      <c r="D35" s="97" t="s">
        <v>399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7" t="s">
        <v>10</v>
      </c>
      <c r="B2" s="227"/>
      <c r="C2" s="227"/>
      <c r="D2" s="22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0"/>
    </row>
    <row r="5" spans="1:4" x14ac:dyDescent="0.25">
      <c r="A5" s="5"/>
      <c r="B5" s="1"/>
      <c r="C5" s="1"/>
    </row>
    <row r="6" spans="1:4" x14ac:dyDescent="0.25">
      <c r="A6" s="227" t="s">
        <v>12</v>
      </c>
      <c r="B6" s="227"/>
      <c r="C6" s="227"/>
      <c r="D6" s="22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1184.3526848986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1061.57422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1184.3526848986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1" t="s">
        <v>5</v>
      </c>
      <c r="B15" s="232" t="s">
        <v>15</v>
      </c>
      <c r="C15" s="232"/>
      <c r="D15" s="232"/>
    </row>
    <row r="16" spans="1:4" x14ac:dyDescent="0.25">
      <c r="A16" s="231"/>
      <c r="B16" s="231" t="s">
        <v>17</v>
      </c>
      <c r="C16" s="232" t="s">
        <v>28</v>
      </c>
      <c r="D16" s="232"/>
    </row>
    <row r="17" spans="1:4" ht="39" customHeight="1" x14ac:dyDescent="0.25">
      <c r="A17" s="231"/>
      <c r="B17" s="23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1184.3526848986</v>
      </c>
      <c r="C18" s="3">
        <f>C11</f>
        <v>0</v>
      </c>
      <c r="D18" s="3">
        <f>C12</f>
        <v>1061.57422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3" t="s">
        <v>29</v>
      </c>
      <c r="B2" s="233"/>
      <c r="C2" s="233"/>
      <c r="D2" s="233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3" zoomScale="70" zoomScaleNormal="70" workbookViewId="0">
      <selection activeCell="D24" sqref="D24"/>
    </sheetView>
  </sheetViews>
  <sheetFormatPr defaultRowHeight="15" x14ac:dyDescent="0.25"/>
  <cols>
    <col min="3" max="3" width="36.85546875" customWidth="1"/>
    <col min="4" max="4" width="49.5703125" style="164" customWidth="1"/>
  </cols>
  <sheetData>
    <row r="3" spans="2:4" ht="15.75" customHeight="1" x14ac:dyDescent="0.25">
      <c r="B3" s="235" t="s">
        <v>45</v>
      </c>
      <c r="C3" s="235"/>
      <c r="D3" s="235"/>
    </row>
    <row r="4" spans="2:4" ht="18.75" customHeight="1" x14ac:dyDescent="0.25">
      <c r="B4" s="236" t="s">
        <v>46</v>
      </c>
      <c r="C4" s="236"/>
      <c r="D4" s="236"/>
    </row>
    <row r="5" spans="2:4" ht="84" customHeight="1" x14ac:dyDescent="0.25">
      <c r="B5" s="237" t="s">
        <v>47</v>
      </c>
      <c r="C5" s="237"/>
      <c r="D5" s="237"/>
    </row>
    <row r="6" spans="2:4" ht="18.75" customHeight="1" x14ac:dyDescent="0.25">
      <c r="B6" s="116"/>
      <c r="C6" s="116"/>
      <c r="D6" s="116"/>
    </row>
    <row r="7" spans="2:4" ht="42" customHeight="1" x14ac:dyDescent="0.25">
      <c r="B7" s="234" t="s">
        <v>48</v>
      </c>
      <c r="C7" s="234"/>
      <c r="D7" s="234"/>
    </row>
    <row r="8" spans="2:4" ht="15.75" customHeight="1" x14ac:dyDescent="0.25">
      <c r="B8" s="234" t="s">
        <v>49</v>
      </c>
      <c r="C8" s="234"/>
      <c r="D8" s="234"/>
    </row>
    <row r="9" spans="2:4" ht="15.75" customHeight="1" x14ac:dyDescent="0.25">
      <c r="B9" s="234" t="s">
        <v>50</v>
      </c>
      <c r="C9" s="234"/>
      <c r="D9" s="234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200" t="s">
        <v>54</v>
      </c>
    </row>
    <row r="13" spans="2:4" ht="31.5" customHeight="1" x14ac:dyDescent="0.25">
      <c r="B13" s="118">
        <v>2</v>
      </c>
      <c r="C13" s="119" t="s">
        <v>55</v>
      </c>
      <c r="D13" s="200" t="s">
        <v>56</v>
      </c>
    </row>
    <row r="14" spans="2:4" ht="15.75" customHeight="1" x14ac:dyDescent="0.25">
      <c r="B14" s="118">
        <v>3</v>
      </c>
      <c r="C14" s="119" t="s">
        <v>57</v>
      </c>
      <c r="D14" s="200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85.25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196">
        <f>SUM(D18:D21)</f>
        <v>6062.77</v>
      </c>
    </row>
    <row r="18" spans="2:4" ht="15.75" customHeight="1" x14ac:dyDescent="0.25">
      <c r="B18" s="121" t="s">
        <v>64</v>
      </c>
      <c r="C18" s="119" t="s">
        <v>65</v>
      </c>
      <c r="D18" s="196">
        <v>234.51</v>
      </c>
    </row>
    <row r="19" spans="2:4" ht="15.75" customHeight="1" x14ac:dyDescent="0.25">
      <c r="B19" s="121" t="s">
        <v>66</v>
      </c>
      <c r="C19" s="119" t="s">
        <v>67</v>
      </c>
      <c r="D19" s="196">
        <v>4096.6000000000004</v>
      </c>
    </row>
    <row r="20" spans="2:4" ht="15.75" customHeight="1" x14ac:dyDescent="0.25">
      <c r="B20" s="121" t="s">
        <v>68</v>
      </c>
      <c r="C20" s="119" t="s">
        <v>69</v>
      </c>
      <c r="D20" s="196"/>
    </row>
    <row r="21" spans="2:4" ht="31.5" customHeight="1" x14ac:dyDescent="0.25">
      <c r="B21" s="121" t="s">
        <v>70</v>
      </c>
      <c r="C21" s="119" t="s">
        <v>71</v>
      </c>
      <c r="D21" s="196">
        <v>1731.66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196">
        <f>D17</f>
        <v>6062.77</v>
      </c>
    </row>
    <row r="24" spans="2:4" ht="61.5" customHeight="1" x14ac:dyDescent="0.25">
      <c r="B24" s="118">
        <v>9</v>
      </c>
      <c r="C24" s="120" t="s">
        <v>75</v>
      </c>
      <c r="D24" s="196">
        <f>D23/2</f>
        <v>3031.3850000000002</v>
      </c>
    </row>
    <row r="25" spans="2:4" ht="37.5" customHeight="1" x14ac:dyDescent="0.25">
      <c r="B25" s="122"/>
      <c r="C25" s="123"/>
      <c r="D25" s="197"/>
    </row>
    <row r="26" spans="2:4" s="206" customFormat="1" x14ac:dyDescent="0.25">
      <c r="B26" s="207" t="s">
        <v>76</v>
      </c>
      <c r="C26" s="214"/>
    </row>
    <row r="27" spans="2:4" s="206" customFormat="1" x14ac:dyDescent="0.25">
      <c r="B27" s="33" t="s">
        <v>77</v>
      </c>
      <c r="C27" s="214"/>
    </row>
    <row r="28" spans="2:4" s="206" customFormat="1" x14ac:dyDescent="0.25">
      <c r="B28" s="207"/>
      <c r="C28" s="214"/>
    </row>
    <row r="29" spans="2:4" s="206" customFormat="1" x14ac:dyDescent="0.25">
      <c r="B29" s="207" t="s">
        <v>78</v>
      </c>
      <c r="C29" s="214"/>
    </row>
    <row r="30" spans="2:4" s="206" customFormat="1" x14ac:dyDescent="0.25">
      <c r="B30" s="33" t="s">
        <v>79</v>
      </c>
      <c r="C30" s="214"/>
    </row>
    <row r="31" spans="2:4" ht="15.75" customHeight="1" x14ac:dyDescent="0.25">
      <c r="B31" s="123"/>
      <c r="C31" s="123"/>
      <c r="D31" s="197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70" workbookViewId="0">
      <selection activeCell="D24" sqref="D24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5" t="s">
        <v>80</v>
      </c>
      <c r="C3" s="235"/>
      <c r="D3" s="235"/>
      <c r="E3" s="235"/>
      <c r="F3" s="235"/>
      <c r="G3" s="235"/>
      <c r="H3" s="235"/>
      <c r="I3" s="235"/>
      <c r="J3" s="235"/>
      <c r="K3" s="235"/>
    </row>
    <row r="4" spans="2:11" ht="15.75" customHeight="1" x14ac:dyDescent="0.25">
      <c r="B4" s="240" t="s">
        <v>81</v>
      </c>
      <c r="C4" s="240"/>
      <c r="D4" s="240"/>
      <c r="E4" s="240"/>
      <c r="F4" s="240"/>
      <c r="G4" s="240"/>
      <c r="H4" s="240"/>
      <c r="I4" s="240"/>
      <c r="J4" s="240"/>
      <c r="K4" s="240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34" t="s">
        <v>82</v>
      </c>
      <c r="C6" s="234"/>
      <c r="D6" s="234"/>
      <c r="E6" s="234"/>
      <c r="F6" s="234"/>
      <c r="G6" s="234"/>
      <c r="H6" s="234"/>
      <c r="I6" s="234"/>
      <c r="J6" s="234"/>
      <c r="K6" s="234"/>
    </row>
    <row r="7" spans="2:11" ht="15.75" customHeight="1" x14ac:dyDescent="0.25">
      <c r="B7" s="234" t="s">
        <v>50</v>
      </c>
      <c r="C7" s="234"/>
      <c r="D7" s="234"/>
      <c r="E7" s="234"/>
      <c r="F7" s="234"/>
      <c r="G7" s="234"/>
      <c r="H7" s="234"/>
      <c r="I7" s="234"/>
      <c r="J7" s="234"/>
      <c r="K7" s="234"/>
    </row>
    <row r="8" spans="2:11" ht="18.75" customHeight="1" x14ac:dyDescent="0.25">
      <c r="B8" s="117"/>
    </row>
    <row r="9" spans="2:11" ht="15.75" customHeight="1" x14ac:dyDescent="0.25">
      <c r="B9" s="241" t="s">
        <v>33</v>
      </c>
      <c r="C9" s="241" t="s">
        <v>83</v>
      </c>
      <c r="D9" s="241" t="s">
        <v>84</v>
      </c>
      <c r="E9" s="241"/>
      <c r="F9" s="241"/>
      <c r="G9" s="241"/>
      <c r="H9" s="241"/>
      <c r="I9" s="241"/>
      <c r="J9" s="241"/>
    </row>
    <row r="10" spans="2:11" ht="15.75" customHeight="1" x14ac:dyDescent="0.25">
      <c r="B10" s="241"/>
      <c r="C10" s="241"/>
      <c r="D10" s="241" t="s">
        <v>85</v>
      </c>
      <c r="E10" s="241" t="s">
        <v>86</v>
      </c>
      <c r="F10" s="241" t="s">
        <v>87</v>
      </c>
      <c r="G10" s="241"/>
      <c r="H10" s="241"/>
      <c r="I10" s="241"/>
      <c r="J10" s="241"/>
    </row>
    <row r="11" spans="2:11" ht="31.5" customHeight="1" x14ac:dyDescent="0.25">
      <c r="B11" s="241"/>
      <c r="C11" s="241"/>
      <c r="D11" s="241"/>
      <c r="E11" s="241"/>
      <c r="F11" s="225" t="s">
        <v>88</v>
      </c>
      <c r="G11" s="225" t="s">
        <v>89</v>
      </c>
      <c r="H11" s="225" t="s">
        <v>43</v>
      </c>
      <c r="I11" s="225" t="s">
        <v>90</v>
      </c>
      <c r="J11" s="225" t="s">
        <v>91</v>
      </c>
    </row>
    <row r="12" spans="2:11" ht="173.25" customHeight="1" x14ac:dyDescent="0.25">
      <c r="B12" s="219">
        <v>1</v>
      </c>
      <c r="C12" s="200" t="s">
        <v>62</v>
      </c>
      <c r="D12" s="223" t="s">
        <v>92</v>
      </c>
      <c r="E12" s="224" t="s">
        <v>93</v>
      </c>
      <c r="F12" s="220">
        <f>33645*6.97/1000</f>
        <v>234.50565</v>
      </c>
      <c r="G12" s="220"/>
      <c r="H12" s="220">
        <f>957149*4.28/1000</f>
        <v>4096.5977199999998</v>
      </c>
      <c r="I12" s="220">
        <f>205660*8.42/1000</f>
        <v>1731.6572000000001</v>
      </c>
      <c r="J12" s="220">
        <f>SUM(F12:I12)</f>
        <v>6062.7605700000004</v>
      </c>
    </row>
    <row r="13" spans="2:11" ht="15.75" customHeight="1" x14ac:dyDescent="0.25">
      <c r="B13" s="238" t="s">
        <v>94</v>
      </c>
      <c r="C13" s="238"/>
      <c r="D13" s="238"/>
      <c r="E13" s="238"/>
      <c r="F13" s="221">
        <f>SUM(F12)</f>
        <v>234.50565</v>
      </c>
      <c r="G13" s="221"/>
      <c r="H13" s="221">
        <f>SUM(H12)</f>
        <v>4096.5977199999998</v>
      </c>
      <c r="I13" s="221">
        <f>SUM(I12)</f>
        <v>1731.6572000000001</v>
      </c>
      <c r="J13" s="221">
        <f>SUM(J12)</f>
        <v>6062.7605700000004</v>
      </c>
    </row>
    <row r="14" spans="2:11" ht="15.75" customHeight="1" x14ac:dyDescent="0.25">
      <c r="B14" s="239" t="s">
        <v>95</v>
      </c>
      <c r="C14" s="239"/>
      <c r="D14" s="239"/>
      <c r="E14" s="239"/>
      <c r="F14" s="222">
        <f>F13</f>
        <v>234.50565</v>
      </c>
      <c r="G14" s="222"/>
      <c r="H14" s="222">
        <f>H13</f>
        <v>4096.5977199999998</v>
      </c>
      <c r="I14" s="222">
        <f>I13</f>
        <v>1731.6572000000001</v>
      </c>
      <c r="J14" s="222">
        <f>J13</f>
        <v>6062.7605700000004</v>
      </c>
    </row>
    <row r="15" spans="2:11" ht="18.75" customHeight="1" x14ac:dyDescent="0.25">
      <c r="B15" s="117"/>
    </row>
    <row r="18" spans="2:3" s="206" customFormat="1" x14ac:dyDescent="0.25">
      <c r="B18" s="207" t="s">
        <v>76</v>
      </c>
      <c r="C18" s="214"/>
    </row>
    <row r="19" spans="2:3" s="206" customFormat="1" x14ac:dyDescent="0.25">
      <c r="B19" s="33" t="s">
        <v>77</v>
      </c>
      <c r="C19" s="214"/>
    </row>
    <row r="20" spans="2:3" s="206" customFormat="1" x14ac:dyDescent="0.25">
      <c r="B20" s="207"/>
      <c r="C20" s="214"/>
    </row>
    <row r="21" spans="2:3" s="206" customFormat="1" x14ac:dyDescent="0.25">
      <c r="B21" s="207" t="s">
        <v>78</v>
      </c>
      <c r="C21" s="214"/>
    </row>
    <row r="22" spans="2:3" s="206" customFormat="1" x14ac:dyDescent="0.25">
      <c r="B22" s="33" t="s">
        <v>79</v>
      </c>
      <c r="C22" s="214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view="pageBreakPreview" topLeftCell="A55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56.28515625" customWidth="1"/>
    <col min="5" max="5" width="12.28515625" customWidth="1"/>
    <col min="6" max="6" width="19.85546875" customWidth="1"/>
    <col min="7" max="7" width="17.85546875" customWidth="1"/>
    <col min="8" max="8" width="19.42578125" style="163" customWidth="1"/>
    <col min="9" max="9" width="10.140625" customWidth="1"/>
  </cols>
  <sheetData>
    <row r="2" spans="1:11" ht="15.75" customHeight="1" x14ac:dyDescent="0.25">
      <c r="A2" s="235" t="s">
        <v>96</v>
      </c>
      <c r="B2" s="235"/>
      <c r="C2" s="235"/>
      <c r="D2" s="235"/>
      <c r="E2" s="235"/>
      <c r="F2" s="235"/>
      <c r="G2" s="235"/>
      <c r="H2" s="235"/>
      <c r="I2" s="122"/>
    </row>
    <row r="3" spans="1:11" ht="18.75" customHeight="1" x14ac:dyDescent="0.25">
      <c r="A3" s="236" t="s">
        <v>97</v>
      </c>
      <c r="B3" s="236"/>
      <c r="C3" s="236"/>
      <c r="D3" s="236"/>
      <c r="E3" s="236"/>
      <c r="F3" s="236"/>
      <c r="G3" s="236"/>
      <c r="H3" s="236"/>
      <c r="I3" s="236"/>
    </row>
    <row r="4" spans="1:11" x14ac:dyDescent="0.25">
      <c r="B4" s="162"/>
      <c r="C4" s="250"/>
      <c r="D4" s="250"/>
      <c r="E4" s="250"/>
      <c r="F4" s="250"/>
      <c r="G4" s="250"/>
      <c r="H4" s="250"/>
    </row>
    <row r="5" spans="1:11" ht="15.75" customHeight="1" x14ac:dyDescent="0.25">
      <c r="C5" s="145"/>
      <c r="D5" s="145"/>
      <c r="E5" s="145"/>
      <c r="F5" s="145"/>
      <c r="G5" s="145"/>
      <c r="H5" s="146"/>
    </row>
    <row r="6" spans="1:11" ht="15" customHeight="1" x14ac:dyDescent="0.25">
      <c r="A6" s="251" t="s">
        <v>82</v>
      </c>
      <c r="B6" s="251"/>
      <c r="C6" s="251"/>
      <c r="D6" s="251"/>
      <c r="E6" s="251"/>
      <c r="F6" s="251"/>
      <c r="G6" s="251"/>
      <c r="H6" s="251"/>
    </row>
    <row r="7" spans="1:11" ht="14.25" customHeight="1" x14ac:dyDescent="0.25">
      <c r="A7" s="251"/>
      <c r="B7" s="251"/>
      <c r="C7" s="251"/>
      <c r="D7" s="251"/>
      <c r="E7" s="251"/>
      <c r="F7" s="251"/>
      <c r="G7" s="251"/>
      <c r="H7" s="251"/>
    </row>
    <row r="8" spans="1:11" ht="15.75" customHeight="1" x14ac:dyDescent="0.25">
      <c r="C8" s="147"/>
      <c r="D8" s="148"/>
      <c r="E8" s="149"/>
      <c r="F8" s="150"/>
      <c r="G8" s="151"/>
      <c r="H8" s="152"/>
    </row>
    <row r="9" spans="1:11" ht="38.25" customHeight="1" x14ac:dyDescent="0.25">
      <c r="A9" s="241" t="s">
        <v>98</v>
      </c>
      <c r="B9" s="241" t="s">
        <v>99</v>
      </c>
      <c r="C9" s="241" t="s">
        <v>100</v>
      </c>
      <c r="D9" s="241" t="s">
        <v>101</v>
      </c>
      <c r="E9" s="241" t="s">
        <v>102</v>
      </c>
      <c r="F9" s="241" t="s">
        <v>103</v>
      </c>
      <c r="G9" s="241" t="s">
        <v>104</v>
      </c>
      <c r="H9" s="241"/>
    </row>
    <row r="10" spans="1:11" ht="40.5" customHeight="1" x14ac:dyDescent="0.25">
      <c r="A10" s="241"/>
      <c r="B10" s="241"/>
      <c r="C10" s="241"/>
      <c r="D10" s="241"/>
      <c r="E10" s="241"/>
      <c r="F10" s="241"/>
      <c r="G10" s="118" t="s">
        <v>105</v>
      </c>
      <c r="H10" s="118" t="s">
        <v>106</v>
      </c>
    </row>
    <row r="11" spans="1:11" ht="15.75" customHeight="1" x14ac:dyDescent="0.25">
      <c r="A11" s="118">
        <v>1</v>
      </c>
      <c r="B11" s="153"/>
      <c r="C11" s="118">
        <v>2</v>
      </c>
      <c r="D11" s="118" t="s">
        <v>107</v>
      </c>
      <c r="E11" s="118">
        <v>4</v>
      </c>
      <c r="F11" s="118">
        <v>5</v>
      </c>
      <c r="G11" s="153">
        <v>6</v>
      </c>
      <c r="H11" s="153">
        <v>7</v>
      </c>
    </row>
    <row r="12" spans="1:11" ht="15" customHeight="1" x14ac:dyDescent="0.25">
      <c r="A12" s="249" t="s">
        <v>108</v>
      </c>
      <c r="B12" s="245"/>
      <c r="C12" s="245"/>
      <c r="D12" s="246"/>
      <c r="E12" s="154"/>
      <c r="F12" s="169">
        <f>SUM(F13:F18)</f>
        <v>1012.2893</v>
      </c>
      <c r="G12" s="154"/>
      <c r="H12" s="170">
        <f>SUM(H13:H18)</f>
        <v>13048.43</v>
      </c>
    </row>
    <row r="13" spans="1:11" x14ac:dyDescent="0.25">
      <c r="A13" s="217">
        <v>1</v>
      </c>
      <c r="B13" s="143"/>
      <c r="C13" s="143" t="s">
        <v>109</v>
      </c>
      <c r="D13" s="8" t="s">
        <v>110</v>
      </c>
      <c r="E13" s="2" t="s">
        <v>111</v>
      </c>
      <c r="F13" s="167">
        <v>320.5</v>
      </c>
      <c r="G13" s="47">
        <v>15.49</v>
      </c>
      <c r="H13" s="32">
        <f t="shared" ref="H13:H18" si="0">ROUND(F13*G13,2)</f>
        <v>4964.55</v>
      </c>
      <c r="J13" s="157"/>
      <c r="K13" s="157"/>
    </row>
    <row r="14" spans="1:11" x14ac:dyDescent="0.25">
      <c r="A14" s="217">
        <v>2</v>
      </c>
      <c r="B14" s="143"/>
      <c r="C14" s="143" t="s">
        <v>112</v>
      </c>
      <c r="D14" s="8" t="s">
        <v>113</v>
      </c>
      <c r="E14" s="2" t="s">
        <v>111</v>
      </c>
      <c r="F14" s="167">
        <v>320.5</v>
      </c>
      <c r="G14" s="47">
        <v>14.09</v>
      </c>
      <c r="H14" s="32">
        <f t="shared" si="0"/>
        <v>4515.8500000000004</v>
      </c>
      <c r="J14" s="157"/>
      <c r="K14" s="157"/>
    </row>
    <row r="15" spans="1:11" x14ac:dyDescent="0.25">
      <c r="A15" s="217">
        <v>3</v>
      </c>
      <c r="B15" s="143"/>
      <c r="C15" s="155" t="s">
        <v>114</v>
      </c>
      <c r="D15" s="174" t="s">
        <v>115</v>
      </c>
      <c r="E15" s="7" t="s">
        <v>111</v>
      </c>
      <c r="F15" s="176">
        <v>348.86070000000001</v>
      </c>
      <c r="G15" s="175">
        <v>9.6199999999999992</v>
      </c>
      <c r="H15" s="32">
        <f t="shared" si="0"/>
        <v>3356.04</v>
      </c>
      <c r="J15" s="157"/>
      <c r="K15" s="157"/>
    </row>
    <row r="16" spans="1:11" x14ac:dyDescent="0.25">
      <c r="A16" s="217">
        <v>4</v>
      </c>
      <c r="B16" s="143"/>
      <c r="C16" s="155" t="s">
        <v>116</v>
      </c>
      <c r="D16" s="174" t="s">
        <v>117</v>
      </c>
      <c r="E16" s="7" t="s">
        <v>111</v>
      </c>
      <c r="F16" s="176">
        <v>15.111499999999999</v>
      </c>
      <c r="G16" s="175">
        <v>9.51</v>
      </c>
      <c r="H16" s="32">
        <f t="shared" si="0"/>
        <v>143.71</v>
      </c>
      <c r="J16" s="157"/>
      <c r="K16" s="157"/>
    </row>
    <row r="17" spans="1:11" x14ac:dyDescent="0.25">
      <c r="A17" s="217">
        <v>5</v>
      </c>
      <c r="B17" s="143"/>
      <c r="C17" s="155" t="s">
        <v>118</v>
      </c>
      <c r="D17" s="174" t="s">
        <v>119</v>
      </c>
      <c r="E17" s="7" t="s">
        <v>111</v>
      </c>
      <c r="F17" s="176">
        <v>6.5571000000000002</v>
      </c>
      <c r="G17" s="175">
        <v>9.4</v>
      </c>
      <c r="H17" s="32">
        <f t="shared" si="0"/>
        <v>61.64</v>
      </c>
      <c r="J17" s="157"/>
      <c r="K17" s="157"/>
    </row>
    <row r="18" spans="1:11" x14ac:dyDescent="0.25">
      <c r="A18" s="217">
        <v>6</v>
      </c>
      <c r="B18" s="143"/>
      <c r="C18" s="155" t="s">
        <v>120</v>
      </c>
      <c r="D18" s="174" t="s">
        <v>121</v>
      </c>
      <c r="E18" s="7" t="s">
        <v>111</v>
      </c>
      <c r="F18" s="176">
        <v>0.76</v>
      </c>
      <c r="G18" s="175">
        <v>8.74</v>
      </c>
      <c r="H18" s="32">
        <f t="shared" si="0"/>
        <v>6.64</v>
      </c>
      <c r="J18" s="157"/>
      <c r="K18" s="157"/>
    </row>
    <row r="19" spans="1:11" x14ac:dyDescent="0.25">
      <c r="A19" s="243" t="s">
        <v>122</v>
      </c>
      <c r="B19" s="244"/>
      <c r="C19" s="245"/>
      <c r="D19" s="246"/>
      <c r="E19" s="158"/>
      <c r="F19" s="155"/>
      <c r="G19" s="156"/>
      <c r="H19" s="171">
        <f>H20</f>
        <v>91.88</v>
      </c>
      <c r="K19" s="157"/>
    </row>
    <row r="20" spans="1:11" x14ac:dyDescent="0.25">
      <c r="A20" s="218">
        <v>7</v>
      </c>
      <c r="B20" s="168"/>
      <c r="C20" s="143">
        <v>2</v>
      </c>
      <c r="D20" s="8" t="s">
        <v>122</v>
      </c>
      <c r="E20" s="2" t="s">
        <v>111</v>
      </c>
      <c r="F20" s="2">
        <v>131.77379999999999</v>
      </c>
      <c r="G20" s="47"/>
      <c r="H20" s="47">
        <v>91.88</v>
      </c>
    </row>
    <row r="21" spans="1:11" ht="15" customHeight="1" x14ac:dyDescent="0.25">
      <c r="A21" s="247" t="s">
        <v>123</v>
      </c>
      <c r="B21" s="247"/>
      <c r="C21" s="247"/>
      <c r="D21" s="247"/>
      <c r="E21" s="154"/>
      <c r="F21" s="154"/>
      <c r="G21" s="154"/>
      <c r="H21" s="172">
        <f>SUM(H22:H34)</f>
        <v>17548.810000000001</v>
      </c>
      <c r="J21" s="157"/>
    </row>
    <row r="22" spans="1:11" x14ac:dyDescent="0.25">
      <c r="A22" s="217">
        <v>8</v>
      </c>
      <c r="B22" s="143"/>
      <c r="C22" s="143" t="s">
        <v>124</v>
      </c>
      <c r="D22" s="8" t="s">
        <v>125</v>
      </c>
      <c r="E22" s="2" t="s">
        <v>126</v>
      </c>
      <c r="F22" s="177">
        <v>22.98</v>
      </c>
      <c r="G22" s="103">
        <v>287.99</v>
      </c>
      <c r="H22" s="32">
        <f t="shared" ref="H22:H34" si="1">ROUND(F22*G22,2)</f>
        <v>6618.01</v>
      </c>
      <c r="I22" s="159"/>
    </row>
    <row r="23" spans="1:11" ht="25.5" customHeight="1" x14ac:dyDescent="0.25">
      <c r="A23" s="217">
        <v>9</v>
      </c>
      <c r="B23" s="143"/>
      <c r="C23" s="143" t="s">
        <v>127</v>
      </c>
      <c r="D23" s="8" t="s">
        <v>128</v>
      </c>
      <c r="E23" s="2" t="s">
        <v>126</v>
      </c>
      <c r="F23" s="177">
        <v>48</v>
      </c>
      <c r="G23" s="103">
        <v>110.86</v>
      </c>
      <c r="H23" s="32">
        <f t="shared" si="1"/>
        <v>5321.28</v>
      </c>
      <c r="I23" s="159"/>
    </row>
    <row r="24" spans="1:11" x14ac:dyDescent="0.25">
      <c r="A24" s="217">
        <v>10</v>
      </c>
      <c r="B24" s="143"/>
      <c r="C24" s="143" t="s">
        <v>129</v>
      </c>
      <c r="D24" s="8" t="s">
        <v>130</v>
      </c>
      <c r="E24" s="2" t="s">
        <v>126</v>
      </c>
      <c r="F24" s="177">
        <v>22.98</v>
      </c>
      <c r="G24" s="103">
        <v>131.44</v>
      </c>
      <c r="H24" s="32">
        <f t="shared" si="1"/>
        <v>3020.49</v>
      </c>
      <c r="I24" s="159"/>
    </row>
    <row r="25" spans="1:11" x14ac:dyDescent="0.25">
      <c r="A25" s="217">
        <v>11</v>
      </c>
      <c r="B25" s="143"/>
      <c r="C25" s="143" t="s">
        <v>131</v>
      </c>
      <c r="D25" s="8" t="s">
        <v>132</v>
      </c>
      <c r="E25" s="2" t="s">
        <v>126</v>
      </c>
      <c r="F25" s="177">
        <v>15.05</v>
      </c>
      <c r="G25" s="103">
        <v>111.99</v>
      </c>
      <c r="H25" s="32">
        <f t="shared" si="1"/>
        <v>1685.45</v>
      </c>
      <c r="I25" s="159"/>
    </row>
    <row r="26" spans="1:11" x14ac:dyDescent="0.25">
      <c r="A26" s="217">
        <v>12</v>
      </c>
      <c r="B26" s="143"/>
      <c r="C26" s="143" t="s">
        <v>133</v>
      </c>
      <c r="D26" s="8" t="s">
        <v>134</v>
      </c>
      <c r="E26" s="2" t="s">
        <v>126</v>
      </c>
      <c r="F26" s="177">
        <v>14.19</v>
      </c>
      <c r="G26" s="103">
        <v>29.6</v>
      </c>
      <c r="H26" s="32">
        <f t="shared" si="1"/>
        <v>420.02</v>
      </c>
      <c r="I26" s="159"/>
    </row>
    <row r="27" spans="1:11" x14ac:dyDescent="0.25">
      <c r="A27" s="217">
        <v>13</v>
      </c>
      <c r="B27" s="143"/>
      <c r="C27" s="143" t="s">
        <v>135</v>
      </c>
      <c r="D27" s="8" t="s">
        <v>136</v>
      </c>
      <c r="E27" s="2" t="s">
        <v>126</v>
      </c>
      <c r="F27" s="177">
        <v>5.9</v>
      </c>
      <c r="G27" s="103">
        <v>65.709999999999994</v>
      </c>
      <c r="H27" s="32">
        <f t="shared" si="1"/>
        <v>387.69</v>
      </c>
      <c r="I27" s="159"/>
    </row>
    <row r="28" spans="1:11" x14ac:dyDescent="0.25">
      <c r="A28" s="217">
        <v>14</v>
      </c>
      <c r="B28" s="143"/>
      <c r="C28" s="143" t="s">
        <v>137</v>
      </c>
      <c r="D28" s="8" t="s">
        <v>138</v>
      </c>
      <c r="E28" s="2" t="s">
        <v>126</v>
      </c>
      <c r="F28" s="167">
        <v>5.78</v>
      </c>
      <c r="G28" s="103">
        <v>8.1</v>
      </c>
      <c r="H28" s="32">
        <f t="shared" si="1"/>
        <v>46.82</v>
      </c>
      <c r="I28" s="159"/>
    </row>
    <row r="29" spans="1:11" x14ac:dyDescent="0.25">
      <c r="A29" s="217">
        <v>15</v>
      </c>
      <c r="B29" s="143"/>
      <c r="C29" s="143" t="s">
        <v>139</v>
      </c>
      <c r="D29" s="8" t="s">
        <v>140</v>
      </c>
      <c r="E29" s="2" t="s">
        <v>126</v>
      </c>
      <c r="F29" s="167">
        <v>45.96</v>
      </c>
      <c r="G29" s="103">
        <v>0.9</v>
      </c>
      <c r="H29" s="32">
        <f t="shared" si="1"/>
        <v>41.36</v>
      </c>
      <c r="I29" s="159"/>
    </row>
    <row r="30" spans="1:11" x14ac:dyDescent="0.25">
      <c r="A30" s="217">
        <v>16</v>
      </c>
      <c r="B30" s="143"/>
      <c r="C30" s="143" t="s">
        <v>141</v>
      </c>
      <c r="D30" s="8" t="s">
        <v>142</v>
      </c>
      <c r="E30" s="2" t="s">
        <v>126</v>
      </c>
      <c r="F30" s="167">
        <v>0.05</v>
      </c>
      <c r="G30" s="103">
        <v>70</v>
      </c>
      <c r="H30" s="32">
        <f t="shared" si="1"/>
        <v>3.5</v>
      </c>
      <c r="I30" s="159"/>
    </row>
    <row r="31" spans="1:11" x14ac:dyDescent="0.25">
      <c r="A31" s="217">
        <v>17</v>
      </c>
      <c r="B31" s="143"/>
      <c r="C31" s="143" t="s">
        <v>143</v>
      </c>
      <c r="D31" s="8" t="s">
        <v>144</v>
      </c>
      <c r="E31" s="2" t="s">
        <v>126</v>
      </c>
      <c r="F31" s="167">
        <v>0.05</v>
      </c>
      <c r="G31" s="103">
        <v>56.24</v>
      </c>
      <c r="H31" s="32">
        <f t="shared" si="1"/>
        <v>2.81</v>
      </c>
      <c r="I31" s="159"/>
    </row>
    <row r="32" spans="1:11" x14ac:dyDescent="0.25">
      <c r="A32" s="217">
        <v>18</v>
      </c>
      <c r="B32" s="143"/>
      <c r="C32" s="143" t="s">
        <v>145</v>
      </c>
      <c r="D32" s="8" t="s">
        <v>146</v>
      </c>
      <c r="E32" s="2" t="s">
        <v>126</v>
      </c>
      <c r="F32" s="167">
        <v>0.05</v>
      </c>
      <c r="G32" s="103">
        <v>16.920000000000002</v>
      </c>
      <c r="H32" s="32">
        <f t="shared" si="1"/>
        <v>0.85</v>
      </c>
      <c r="I32" s="159"/>
    </row>
    <row r="33" spans="1:9" ht="25.5" customHeight="1" x14ac:dyDescent="0.25">
      <c r="A33" s="217">
        <v>19</v>
      </c>
      <c r="B33" s="143"/>
      <c r="C33" s="143" t="s">
        <v>147</v>
      </c>
      <c r="D33" s="8" t="s">
        <v>148</v>
      </c>
      <c r="E33" s="2" t="s">
        <v>126</v>
      </c>
      <c r="F33" s="167">
        <v>0.06</v>
      </c>
      <c r="G33" s="103">
        <v>6.82</v>
      </c>
      <c r="H33" s="32">
        <f t="shared" si="1"/>
        <v>0.41</v>
      </c>
      <c r="I33" s="159"/>
    </row>
    <row r="34" spans="1:9" x14ac:dyDescent="0.25">
      <c r="A34" s="217">
        <v>20</v>
      </c>
      <c r="B34" s="143"/>
      <c r="C34" s="143" t="s">
        <v>149</v>
      </c>
      <c r="D34" s="8" t="s">
        <v>150</v>
      </c>
      <c r="E34" s="2" t="s">
        <v>126</v>
      </c>
      <c r="F34" s="167">
        <v>0.05</v>
      </c>
      <c r="G34" s="103">
        <v>2.36</v>
      </c>
      <c r="H34" s="32">
        <f t="shared" si="1"/>
        <v>0.12</v>
      </c>
      <c r="I34" s="159"/>
    </row>
    <row r="35" spans="1:9" ht="15" customHeight="1" x14ac:dyDescent="0.25">
      <c r="A35" s="248" t="s">
        <v>43</v>
      </c>
      <c r="B35" s="248"/>
      <c r="C35" s="248"/>
      <c r="D35" s="248"/>
      <c r="E35" s="160"/>
      <c r="F35" s="161"/>
      <c r="G35" s="156"/>
      <c r="H35" s="173">
        <f>SUM(H36:H38)</f>
        <v>1914298.42</v>
      </c>
      <c r="I35" s="159"/>
    </row>
    <row r="36" spans="1:9" x14ac:dyDescent="0.25">
      <c r="A36" s="217">
        <v>21</v>
      </c>
      <c r="B36" s="143"/>
      <c r="C36" s="215" t="s">
        <v>151</v>
      </c>
      <c r="D36" s="8" t="s">
        <v>152</v>
      </c>
      <c r="E36" s="2" t="s">
        <v>153</v>
      </c>
      <c r="F36" s="178">
        <v>6</v>
      </c>
      <c r="G36" s="32">
        <v>310810.8</v>
      </c>
      <c r="H36" s="32">
        <f>ROUND(F36*G36,2)</f>
        <v>1864864.8</v>
      </c>
      <c r="I36" s="159"/>
    </row>
    <row r="37" spans="1:9" ht="25.5" customHeight="1" x14ac:dyDescent="0.25">
      <c r="A37" s="217">
        <v>22</v>
      </c>
      <c r="B37" s="143"/>
      <c r="C37" s="216" t="s">
        <v>151</v>
      </c>
      <c r="D37" s="8" t="s">
        <v>154</v>
      </c>
      <c r="E37" s="2" t="s">
        <v>153</v>
      </c>
      <c r="F37" s="2">
        <v>2</v>
      </c>
      <c r="G37" s="32">
        <v>20669.939999999999</v>
      </c>
      <c r="H37" s="32">
        <f>ROUND(F37*G37,2)</f>
        <v>41339.879999999997</v>
      </c>
      <c r="I37" s="159"/>
    </row>
    <row r="38" spans="1:9" ht="25.5" customHeight="1" x14ac:dyDescent="0.25">
      <c r="A38" s="217">
        <v>23</v>
      </c>
      <c r="B38" s="143"/>
      <c r="C38" s="216" t="s">
        <v>151</v>
      </c>
      <c r="D38" s="8" t="s">
        <v>155</v>
      </c>
      <c r="E38" s="2" t="s">
        <v>153</v>
      </c>
      <c r="F38" s="178">
        <v>2</v>
      </c>
      <c r="G38" s="32">
        <v>4046.87</v>
      </c>
      <c r="H38" s="32">
        <f>ROUND(F38*G38,2)</f>
        <v>8093.74</v>
      </c>
      <c r="I38" s="159"/>
    </row>
    <row r="39" spans="1:9" ht="15" customHeight="1" x14ac:dyDescent="0.25">
      <c r="A39" s="247" t="s">
        <v>156</v>
      </c>
      <c r="B39" s="247"/>
      <c r="C39" s="247"/>
      <c r="D39" s="247"/>
      <c r="E39" s="166"/>
      <c r="F39" s="166"/>
      <c r="G39" s="154"/>
      <c r="H39" s="172">
        <f>SUM(H40:H73)</f>
        <v>28121.38</v>
      </c>
    </row>
    <row r="40" spans="1:9" ht="25.5" customHeight="1" x14ac:dyDescent="0.25">
      <c r="A40" s="217">
        <v>24</v>
      </c>
      <c r="B40" s="143"/>
      <c r="C40" s="226" t="s">
        <v>157</v>
      </c>
      <c r="D40" s="8" t="s">
        <v>158</v>
      </c>
      <c r="E40" s="2" t="s">
        <v>153</v>
      </c>
      <c r="F40" s="203">
        <v>6</v>
      </c>
      <c r="G40" s="103">
        <v>1983.15</v>
      </c>
      <c r="H40" s="32">
        <f t="shared" ref="H40:H73" si="2">ROUND(F40*G40,2)</f>
        <v>11898.9</v>
      </c>
      <c r="I40" s="159"/>
    </row>
    <row r="41" spans="1:9" ht="25.5" customHeight="1" x14ac:dyDescent="0.25">
      <c r="A41" s="217">
        <v>25</v>
      </c>
      <c r="B41" s="143"/>
      <c r="C41" s="143" t="s">
        <v>159</v>
      </c>
      <c r="D41" s="8" t="s">
        <v>160</v>
      </c>
      <c r="E41" s="2" t="s">
        <v>161</v>
      </c>
      <c r="F41" s="144">
        <v>5.3999999999999999E-2</v>
      </c>
      <c r="G41" s="103">
        <v>98440.41</v>
      </c>
      <c r="H41" s="32">
        <f t="shared" si="2"/>
        <v>5315.78</v>
      </c>
      <c r="I41" s="159"/>
    </row>
    <row r="42" spans="1:9" x14ac:dyDescent="0.25">
      <c r="A42" s="217">
        <v>26</v>
      </c>
      <c r="B42" s="143"/>
      <c r="C42" s="167" t="s">
        <v>162</v>
      </c>
      <c r="D42" s="8" t="s">
        <v>163</v>
      </c>
      <c r="E42" s="2" t="s">
        <v>161</v>
      </c>
      <c r="F42" s="144">
        <v>9.6000000000000002E-2</v>
      </c>
      <c r="G42" s="103">
        <v>38348.22</v>
      </c>
      <c r="H42" s="32">
        <f t="shared" si="2"/>
        <v>3681.43</v>
      </c>
      <c r="I42" s="159"/>
    </row>
    <row r="43" spans="1:9" ht="25.5" customHeight="1" x14ac:dyDescent="0.25">
      <c r="A43" s="217">
        <v>27</v>
      </c>
      <c r="B43" s="143"/>
      <c r="C43" s="167" t="s">
        <v>164</v>
      </c>
      <c r="D43" s="8" t="s">
        <v>165</v>
      </c>
      <c r="E43" s="2" t="s">
        <v>166</v>
      </c>
      <c r="F43" s="144">
        <v>5.2150000000000002E-2</v>
      </c>
      <c r="G43" s="103">
        <v>34500.53</v>
      </c>
      <c r="H43" s="32">
        <f t="shared" si="2"/>
        <v>1799.2</v>
      </c>
      <c r="I43" s="159"/>
    </row>
    <row r="44" spans="1:9" x14ac:dyDescent="0.25">
      <c r="A44" s="217">
        <v>28</v>
      </c>
      <c r="B44" s="143"/>
      <c r="C44" s="167" t="s">
        <v>167</v>
      </c>
      <c r="D44" s="8" t="s">
        <v>168</v>
      </c>
      <c r="E44" s="2" t="s">
        <v>169</v>
      </c>
      <c r="F44" s="144">
        <v>0.18</v>
      </c>
      <c r="G44" s="103">
        <v>6505</v>
      </c>
      <c r="H44" s="32">
        <f t="shared" si="2"/>
        <v>1170.9000000000001</v>
      </c>
      <c r="I44" s="159"/>
    </row>
    <row r="45" spans="1:9" ht="25.5" customHeight="1" x14ac:dyDescent="0.25">
      <c r="A45" s="217">
        <v>29</v>
      </c>
      <c r="B45" s="143"/>
      <c r="C45" s="167" t="s">
        <v>170</v>
      </c>
      <c r="D45" s="8" t="s">
        <v>171</v>
      </c>
      <c r="E45" s="2" t="s">
        <v>172</v>
      </c>
      <c r="F45" s="144">
        <v>0.56000000000000005</v>
      </c>
      <c r="G45" s="103">
        <v>1837.28</v>
      </c>
      <c r="H45" s="32">
        <f t="shared" si="2"/>
        <v>1028.8800000000001</v>
      </c>
      <c r="I45" s="159"/>
    </row>
    <row r="46" spans="1:9" x14ac:dyDescent="0.25">
      <c r="A46" s="217">
        <v>30</v>
      </c>
      <c r="B46" s="143"/>
      <c r="C46" s="167" t="s">
        <v>173</v>
      </c>
      <c r="D46" s="8" t="s">
        <v>174</v>
      </c>
      <c r="E46" s="2" t="s">
        <v>175</v>
      </c>
      <c r="F46" s="144">
        <v>2</v>
      </c>
      <c r="G46" s="103">
        <v>485.39</v>
      </c>
      <c r="H46" s="32">
        <f t="shared" si="2"/>
        <v>970.78</v>
      </c>
      <c r="I46" s="159"/>
    </row>
    <row r="47" spans="1:9" x14ac:dyDescent="0.25">
      <c r="A47" s="217">
        <v>31</v>
      </c>
      <c r="B47" s="143"/>
      <c r="C47" s="167" t="s">
        <v>176</v>
      </c>
      <c r="D47" s="8" t="s">
        <v>177</v>
      </c>
      <c r="E47" s="2" t="s">
        <v>178</v>
      </c>
      <c r="F47" s="144">
        <v>8</v>
      </c>
      <c r="G47" s="103">
        <v>50</v>
      </c>
      <c r="H47" s="32">
        <f t="shared" si="2"/>
        <v>400</v>
      </c>
      <c r="I47" s="159"/>
    </row>
    <row r="48" spans="1:9" ht="51" customHeight="1" x14ac:dyDescent="0.25">
      <c r="A48" s="217">
        <v>32</v>
      </c>
      <c r="B48" s="143"/>
      <c r="C48" s="167" t="s">
        <v>179</v>
      </c>
      <c r="D48" s="8" t="s">
        <v>180</v>
      </c>
      <c r="E48" s="2" t="s">
        <v>153</v>
      </c>
      <c r="F48" s="144">
        <v>2</v>
      </c>
      <c r="G48" s="103">
        <v>240.8</v>
      </c>
      <c r="H48" s="32">
        <f t="shared" si="2"/>
        <v>481.6</v>
      </c>
      <c r="I48" s="159"/>
    </row>
    <row r="49" spans="1:9" ht="25.5" customHeight="1" x14ac:dyDescent="0.25">
      <c r="A49" s="217">
        <v>33</v>
      </c>
      <c r="B49" s="143"/>
      <c r="C49" s="167" t="s">
        <v>181</v>
      </c>
      <c r="D49" s="8" t="s">
        <v>182</v>
      </c>
      <c r="E49" s="2" t="s">
        <v>183</v>
      </c>
      <c r="F49" s="144">
        <v>236.2516</v>
      </c>
      <c r="G49" s="103">
        <v>1</v>
      </c>
      <c r="H49" s="32">
        <f t="shared" si="2"/>
        <v>236.25</v>
      </c>
      <c r="I49" s="159"/>
    </row>
    <row r="50" spans="1:9" x14ac:dyDescent="0.25">
      <c r="A50" s="217">
        <v>34</v>
      </c>
      <c r="B50" s="143"/>
      <c r="C50" s="167" t="s">
        <v>184</v>
      </c>
      <c r="D50" s="8" t="s">
        <v>185</v>
      </c>
      <c r="E50" s="2" t="s">
        <v>172</v>
      </c>
      <c r="F50" s="144">
        <v>2</v>
      </c>
      <c r="G50" s="103">
        <v>108.4</v>
      </c>
      <c r="H50" s="32">
        <f t="shared" si="2"/>
        <v>216.8</v>
      </c>
      <c r="I50" s="159"/>
    </row>
    <row r="51" spans="1:9" ht="25.5" customHeight="1" x14ac:dyDescent="0.25">
      <c r="A51" s="217">
        <v>35</v>
      </c>
      <c r="B51" s="143"/>
      <c r="C51" s="167" t="s">
        <v>186</v>
      </c>
      <c r="D51" s="8" t="s">
        <v>187</v>
      </c>
      <c r="E51" s="2" t="s">
        <v>166</v>
      </c>
      <c r="F51" s="144">
        <v>3.8600000000000002E-2</v>
      </c>
      <c r="G51" s="103">
        <v>5000</v>
      </c>
      <c r="H51" s="32">
        <f t="shared" si="2"/>
        <v>193</v>
      </c>
      <c r="I51" s="159"/>
    </row>
    <row r="52" spans="1:9" x14ac:dyDescent="0.25">
      <c r="A52" s="217">
        <v>36</v>
      </c>
      <c r="B52" s="143"/>
      <c r="C52" s="167" t="s">
        <v>188</v>
      </c>
      <c r="D52" s="8" t="s">
        <v>189</v>
      </c>
      <c r="E52" s="2" t="s">
        <v>178</v>
      </c>
      <c r="F52" s="144">
        <v>15.378</v>
      </c>
      <c r="G52" s="103">
        <v>9.0399999999999991</v>
      </c>
      <c r="H52" s="32">
        <f t="shared" si="2"/>
        <v>139.02000000000001</v>
      </c>
      <c r="I52" s="159"/>
    </row>
    <row r="53" spans="1:9" x14ac:dyDescent="0.25">
      <c r="A53" s="217">
        <v>37</v>
      </c>
      <c r="B53" s="143"/>
      <c r="C53" s="167" t="s">
        <v>190</v>
      </c>
      <c r="D53" s="8" t="s">
        <v>191</v>
      </c>
      <c r="E53" s="2" t="s">
        <v>166</v>
      </c>
      <c r="F53" s="144">
        <v>1.8839999999999999E-2</v>
      </c>
      <c r="G53" s="103">
        <v>6159.22</v>
      </c>
      <c r="H53" s="32">
        <f t="shared" si="2"/>
        <v>116.04</v>
      </c>
      <c r="I53" s="159"/>
    </row>
    <row r="54" spans="1:9" ht="25.5" customHeight="1" x14ac:dyDescent="0.25">
      <c r="A54" s="217">
        <v>38</v>
      </c>
      <c r="B54" s="143"/>
      <c r="C54" s="167" t="s">
        <v>192</v>
      </c>
      <c r="D54" s="8" t="s">
        <v>193</v>
      </c>
      <c r="E54" s="2" t="s">
        <v>166</v>
      </c>
      <c r="F54" s="144">
        <v>0.01</v>
      </c>
      <c r="G54" s="103">
        <v>11500</v>
      </c>
      <c r="H54" s="32">
        <f t="shared" si="2"/>
        <v>115</v>
      </c>
      <c r="I54" s="159"/>
    </row>
    <row r="55" spans="1:9" x14ac:dyDescent="0.25">
      <c r="A55" s="217">
        <v>39</v>
      </c>
      <c r="B55" s="143"/>
      <c r="C55" s="167" t="s">
        <v>194</v>
      </c>
      <c r="D55" s="8" t="s">
        <v>195</v>
      </c>
      <c r="E55" s="2" t="s">
        <v>178</v>
      </c>
      <c r="F55" s="144">
        <v>2.6840000000000002</v>
      </c>
      <c r="G55" s="103">
        <v>28.6</v>
      </c>
      <c r="H55" s="32">
        <f t="shared" si="2"/>
        <v>76.760000000000005</v>
      </c>
      <c r="I55" s="159"/>
    </row>
    <row r="56" spans="1:9" x14ac:dyDescent="0.25">
      <c r="A56" s="217">
        <v>40</v>
      </c>
      <c r="B56" s="143"/>
      <c r="C56" s="167" t="s">
        <v>196</v>
      </c>
      <c r="D56" s="8" t="s">
        <v>197</v>
      </c>
      <c r="E56" s="2" t="s">
        <v>178</v>
      </c>
      <c r="F56" s="144">
        <v>0.27600000000000002</v>
      </c>
      <c r="G56" s="103">
        <v>238.48</v>
      </c>
      <c r="H56" s="32">
        <f t="shared" si="2"/>
        <v>65.819999999999993</v>
      </c>
      <c r="I56" s="159"/>
    </row>
    <row r="57" spans="1:9" x14ac:dyDescent="0.25">
      <c r="A57" s="217">
        <v>41</v>
      </c>
      <c r="B57" s="143"/>
      <c r="C57" s="155" t="s">
        <v>198</v>
      </c>
      <c r="D57" s="174" t="s">
        <v>199</v>
      </c>
      <c r="E57" s="158" t="s">
        <v>169</v>
      </c>
      <c r="F57" s="167">
        <v>0.82</v>
      </c>
      <c r="G57" s="47">
        <v>63</v>
      </c>
      <c r="H57" s="32">
        <f t="shared" si="2"/>
        <v>51.66</v>
      </c>
      <c r="I57" s="159"/>
    </row>
    <row r="58" spans="1:9" ht="25.5" customHeight="1" x14ac:dyDescent="0.25">
      <c r="A58" s="217">
        <v>42</v>
      </c>
      <c r="B58" s="143"/>
      <c r="C58" s="167" t="s">
        <v>200</v>
      </c>
      <c r="D58" s="8" t="s">
        <v>201</v>
      </c>
      <c r="E58" s="2" t="s">
        <v>202</v>
      </c>
      <c r="F58" s="144">
        <v>0.2</v>
      </c>
      <c r="G58" s="103">
        <v>194.2</v>
      </c>
      <c r="H58" s="32">
        <f t="shared" si="2"/>
        <v>38.840000000000003</v>
      </c>
      <c r="I58" s="159"/>
    </row>
    <row r="59" spans="1:9" x14ac:dyDescent="0.25">
      <c r="A59" s="217">
        <v>43</v>
      </c>
      <c r="B59" s="143"/>
      <c r="C59" s="167" t="s">
        <v>203</v>
      </c>
      <c r="D59" s="8" t="s">
        <v>204</v>
      </c>
      <c r="E59" s="2" t="s">
        <v>166</v>
      </c>
      <c r="F59" s="144">
        <v>1.6000000000000001E-3</v>
      </c>
      <c r="G59" s="103">
        <v>17500</v>
      </c>
      <c r="H59" s="32">
        <f t="shared" si="2"/>
        <v>28</v>
      </c>
      <c r="I59" s="159"/>
    </row>
    <row r="60" spans="1:9" x14ac:dyDescent="0.25">
      <c r="A60" s="217">
        <v>44</v>
      </c>
      <c r="B60" s="143"/>
      <c r="C60" s="167" t="s">
        <v>205</v>
      </c>
      <c r="D60" s="8" t="s">
        <v>206</v>
      </c>
      <c r="E60" s="2" t="s">
        <v>178</v>
      </c>
      <c r="F60" s="144">
        <v>2.0960000000000001</v>
      </c>
      <c r="G60" s="103">
        <v>10.57</v>
      </c>
      <c r="H60" s="32">
        <f t="shared" si="2"/>
        <v>22.15</v>
      </c>
      <c r="I60" s="159"/>
    </row>
    <row r="61" spans="1:9" x14ac:dyDescent="0.25">
      <c r="A61" s="217">
        <v>45</v>
      </c>
      <c r="B61" s="143"/>
      <c r="C61" s="167" t="s">
        <v>207</v>
      </c>
      <c r="D61" s="8" t="s">
        <v>208</v>
      </c>
      <c r="E61" s="2" t="s">
        <v>209</v>
      </c>
      <c r="F61" s="144">
        <v>0.252</v>
      </c>
      <c r="G61" s="103">
        <v>79.099999999999994</v>
      </c>
      <c r="H61" s="32">
        <f t="shared" si="2"/>
        <v>19.93</v>
      </c>
      <c r="I61" s="159"/>
    </row>
    <row r="62" spans="1:9" x14ac:dyDescent="0.25">
      <c r="A62" s="217">
        <v>46</v>
      </c>
      <c r="B62" s="143"/>
      <c r="C62" s="167" t="s">
        <v>210</v>
      </c>
      <c r="D62" s="8" t="s">
        <v>211</v>
      </c>
      <c r="E62" s="2" t="s">
        <v>212</v>
      </c>
      <c r="F62" s="144">
        <v>0.95</v>
      </c>
      <c r="G62" s="103">
        <v>15.13</v>
      </c>
      <c r="H62" s="32">
        <f t="shared" si="2"/>
        <v>14.37</v>
      </c>
      <c r="I62" s="159"/>
    </row>
    <row r="63" spans="1:9" x14ac:dyDescent="0.25">
      <c r="A63" s="217">
        <v>47</v>
      </c>
      <c r="B63" s="143"/>
      <c r="C63" s="167" t="s">
        <v>213</v>
      </c>
      <c r="D63" s="8" t="s">
        <v>214</v>
      </c>
      <c r="E63" s="2" t="s">
        <v>169</v>
      </c>
      <c r="F63" s="144">
        <v>0.15040000000000001</v>
      </c>
      <c r="G63" s="103">
        <v>86</v>
      </c>
      <c r="H63" s="32">
        <f t="shared" si="2"/>
        <v>12.93</v>
      </c>
      <c r="I63" s="159"/>
    </row>
    <row r="64" spans="1:9" x14ac:dyDescent="0.25">
      <c r="A64" s="217">
        <v>48</v>
      </c>
      <c r="B64" s="143"/>
      <c r="C64" s="167" t="s">
        <v>215</v>
      </c>
      <c r="D64" s="8" t="s">
        <v>216</v>
      </c>
      <c r="E64" s="2" t="s">
        <v>202</v>
      </c>
      <c r="F64" s="144">
        <v>0.2</v>
      </c>
      <c r="G64" s="103">
        <v>39</v>
      </c>
      <c r="H64" s="32">
        <f t="shared" si="2"/>
        <v>7.8</v>
      </c>
      <c r="I64" s="159"/>
    </row>
    <row r="65" spans="1:9" x14ac:dyDescent="0.25">
      <c r="A65" s="217">
        <v>49</v>
      </c>
      <c r="B65" s="143"/>
      <c r="C65" s="167" t="s">
        <v>217</v>
      </c>
      <c r="D65" s="8" t="s">
        <v>218</v>
      </c>
      <c r="E65" s="2" t="s">
        <v>166</v>
      </c>
      <c r="F65" s="144">
        <v>1E-3</v>
      </c>
      <c r="G65" s="103">
        <v>5941.89</v>
      </c>
      <c r="H65" s="32">
        <f t="shared" si="2"/>
        <v>5.94</v>
      </c>
      <c r="I65" s="159"/>
    </row>
    <row r="66" spans="1:9" ht="25.5" customHeight="1" x14ac:dyDescent="0.25">
      <c r="A66" s="217">
        <v>50</v>
      </c>
      <c r="B66" s="143"/>
      <c r="C66" s="167" t="s">
        <v>219</v>
      </c>
      <c r="D66" s="8" t="s">
        <v>220</v>
      </c>
      <c r="E66" s="2" t="s">
        <v>178</v>
      </c>
      <c r="F66" s="144">
        <v>0.16</v>
      </c>
      <c r="G66" s="103">
        <v>30.4</v>
      </c>
      <c r="H66" s="32">
        <f t="shared" si="2"/>
        <v>4.8600000000000003</v>
      </c>
      <c r="I66" s="159"/>
    </row>
    <row r="67" spans="1:9" x14ac:dyDescent="0.25">
      <c r="A67" s="217">
        <v>51</v>
      </c>
      <c r="B67" s="143"/>
      <c r="C67" s="167" t="s">
        <v>221</v>
      </c>
      <c r="D67" s="8" t="s">
        <v>222</v>
      </c>
      <c r="E67" s="2" t="s">
        <v>178</v>
      </c>
      <c r="F67" s="144">
        <v>0.08</v>
      </c>
      <c r="G67" s="103">
        <v>44.97</v>
      </c>
      <c r="H67" s="32">
        <f t="shared" si="2"/>
        <v>3.6</v>
      </c>
      <c r="I67" s="159"/>
    </row>
    <row r="68" spans="1:9" x14ac:dyDescent="0.25">
      <c r="A68" s="217">
        <v>52</v>
      </c>
      <c r="B68" s="143"/>
      <c r="C68" s="167" t="s">
        <v>223</v>
      </c>
      <c r="D68" s="8" t="s">
        <v>224</v>
      </c>
      <c r="E68" s="2" t="s">
        <v>178</v>
      </c>
      <c r="F68" s="144">
        <v>0.08</v>
      </c>
      <c r="G68" s="103">
        <v>35.630000000000003</v>
      </c>
      <c r="H68" s="32">
        <f t="shared" si="2"/>
        <v>2.85</v>
      </c>
      <c r="I68" s="159"/>
    </row>
    <row r="69" spans="1:9" x14ac:dyDescent="0.25">
      <c r="A69" s="217">
        <v>53</v>
      </c>
      <c r="B69" s="143"/>
      <c r="C69" s="167" t="s">
        <v>225</v>
      </c>
      <c r="D69" s="8" t="s">
        <v>226</v>
      </c>
      <c r="E69" s="2" t="s">
        <v>178</v>
      </c>
      <c r="F69" s="144">
        <v>8.0000000000000002E-3</v>
      </c>
      <c r="G69" s="103">
        <v>133.05000000000001</v>
      </c>
      <c r="H69" s="32">
        <f t="shared" si="2"/>
        <v>1.06</v>
      </c>
      <c r="I69" s="159"/>
    </row>
    <row r="70" spans="1:9" x14ac:dyDescent="0.25">
      <c r="A70" s="217">
        <v>54</v>
      </c>
      <c r="B70" s="143"/>
      <c r="C70" s="167" t="s">
        <v>227</v>
      </c>
      <c r="D70" s="8" t="s">
        <v>228</v>
      </c>
      <c r="E70" s="2" t="s">
        <v>169</v>
      </c>
      <c r="F70" s="144">
        <v>0.02</v>
      </c>
      <c r="G70" s="103">
        <v>26.6</v>
      </c>
      <c r="H70" s="32">
        <f t="shared" si="2"/>
        <v>0.53</v>
      </c>
      <c r="I70" s="159"/>
    </row>
    <row r="71" spans="1:9" x14ac:dyDescent="0.25">
      <c r="A71" s="217">
        <v>55</v>
      </c>
      <c r="B71" s="143"/>
      <c r="C71" s="167" t="s">
        <v>229</v>
      </c>
      <c r="D71" s="8" t="s">
        <v>230</v>
      </c>
      <c r="E71" s="2" t="s">
        <v>178</v>
      </c>
      <c r="F71" s="144">
        <v>0.01</v>
      </c>
      <c r="G71" s="103">
        <v>28.22</v>
      </c>
      <c r="H71" s="32">
        <f t="shared" si="2"/>
        <v>0.28000000000000003</v>
      </c>
      <c r="I71" s="159"/>
    </row>
    <row r="72" spans="1:9" x14ac:dyDescent="0.25">
      <c r="A72" s="217">
        <v>56</v>
      </c>
      <c r="B72" s="143"/>
      <c r="C72" s="167" t="s">
        <v>231</v>
      </c>
      <c r="D72" s="8" t="s">
        <v>232</v>
      </c>
      <c r="E72" s="2" t="s">
        <v>169</v>
      </c>
      <c r="F72" s="144">
        <v>0.12239999999999999</v>
      </c>
      <c r="G72" s="103">
        <v>2</v>
      </c>
      <c r="H72" s="32">
        <f t="shared" si="2"/>
        <v>0.24</v>
      </c>
      <c r="I72" s="159"/>
    </row>
    <row r="73" spans="1:9" x14ac:dyDescent="0.25">
      <c r="A73" s="217">
        <v>57</v>
      </c>
      <c r="B73" s="143"/>
      <c r="C73" s="167" t="s">
        <v>233</v>
      </c>
      <c r="D73" s="8" t="s">
        <v>234</v>
      </c>
      <c r="E73" s="2" t="s">
        <v>178</v>
      </c>
      <c r="F73" s="144">
        <v>1.6E-2</v>
      </c>
      <c r="G73" s="103">
        <v>11.5</v>
      </c>
      <c r="H73" s="32">
        <f t="shared" si="2"/>
        <v>0.18</v>
      </c>
      <c r="I73" s="159"/>
    </row>
    <row r="74" spans="1:9" x14ac:dyDescent="0.25">
      <c r="C74" s="150"/>
      <c r="D74" s="148"/>
      <c r="E74" s="149"/>
      <c r="F74" s="149"/>
      <c r="G74" s="151"/>
      <c r="H74" s="165"/>
    </row>
    <row r="75" spans="1:9" ht="25.5" customHeight="1" x14ac:dyDescent="0.25">
      <c r="B75" s="162" t="s">
        <v>235</v>
      </c>
      <c r="C75" s="242" t="s">
        <v>236</v>
      </c>
      <c r="D75" s="242"/>
      <c r="E75" s="242"/>
      <c r="F75" s="242"/>
      <c r="G75" s="242"/>
      <c r="H75" s="242"/>
    </row>
    <row r="76" spans="1:9" x14ac:dyDescent="0.25">
      <c r="I76" s="163"/>
    </row>
    <row r="79" spans="1:9" s="206" customFormat="1" x14ac:dyDescent="0.25">
      <c r="B79" s="207" t="s">
        <v>76</v>
      </c>
      <c r="C79" s="214"/>
    </row>
    <row r="80" spans="1:9" s="206" customFormat="1" x14ac:dyDescent="0.25">
      <c r="B80" s="33" t="s">
        <v>77</v>
      </c>
      <c r="C80" s="214"/>
    </row>
    <row r="81" spans="2:3" s="206" customFormat="1" x14ac:dyDescent="0.25">
      <c r="B81" s="207"/>
      <c r="C81" s="214"/>
    </row>
    <row r="82" spans="2:3" s="206" customFormat="1" x14ac:dyDescent="0.25">
      <c r="B82" s="207" t="s">
        <v>78</v>
      </c>
      <c r="C82" s="214"/>
    </row>
    <row r="83" spans="2:3" s="206" customFormat="1" x14ac:dyDescent="0.25">
      <c r="B83" s="33" t="s">
        <v>79</v>
      </c>
      <c r="C83" s="214"/>
    </row>
  </sheetData>
  <mergeCells count="17">
    <mergeCell ref="A2:H2"/>
    <mergeCell ref="A19:D19"/>
    <mergeCell ref="A21:D21"/>
    <mergeCell ref="A39:D39"/>
    <mergeCell ref="A35:D35"/>
    <mergeCell ref="A9:A10"/>
    <mergeCell ref="A12:D12"/>
    <mergeCell ref="E9:E10"/>
    <mergeCell ref="F9:F10"/>
    <mergeCell ref="C4:H4"/>
    <mergeCell ref="A6:H7"/>
    <mergeCell ref="C75:H75"/>
    <mergeCell ref="A3:I3"/>
    <mergeCell ref="D9:D10"/>
    <mergeCell ref="C9:C10"/>
    <mergeCell ref="B9:B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colBreaks count="1" manualBreakCount="1">
    <brk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3" t="s">
        <v>237</v>
      </c>
      <c r="B1" s="233"/>
      <c r="C1" s="233"/>
      <c r="D1" s="233"/>
    </row>
    <row r="2" spans="1:10" x14ac:dyDescent="0.25">
      <c r="A2" s="252" t="str">
        <f>'4.1 Отдел 1'!A10</f>
        <v>И5-05-02</v>
      </c>
      <c r="B2" s="252"/>
      <c r="C2" s="252"/>
      <c r="D2" s="252"/>
    </row>
    <row r="3" spans="1:10" x14ac:dyDescent="0.25">
      <c r="A3" s="253"/>
      <c r="B3" s="253"/>
      <c r="C3" s="253"/>
      <c r="D3" s="253"/>
    </row>
    <row r="4" spans="1:10" ht="51.75" customHeight="1" x14ac:dyDescent="0.25">
      <c r="A4" s="230" t="str">
        <f>'Прил. 3'!A6</f>
        <v>Наименование разрабатываемого показателя УНЦ - ТН (четыре вторичные обмотки) на три фазы без устройства фундамента напряжение 110 кВ</v>
      </c>
      <c r="B4" s="230"/>
      <c r="C4" s="230"/>
      <c r="D4" s="230"/>
    </row>
    <row r="5" spans="1:10" ht="15" customHeight="1" x14ac:dyDescent="0.25">
      <c r="A5" s="230"/>
      <c r="B5" s="254"/>
      <c r="C5" s="254"/>
      <c r="D5" s="254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238</v>
      </c>
      <c r="B7" s="2" t="s">
        <v>104</v>
      </c>
      <c r="C7" s="2" t="s">
        <v>239</v>
      </c>
      <c r="D7" s="2" t="s">
        <v>240</v>
      </c>
    </row>
    <row r="8" spans="1:10" x14ac:dyDescent="0.25">
      <c r="A8" s="25" t="s">
        <v>241</v>
      </c>
      <c r="B8" s="26">
        <f>'Прил.5 Расчет СМР и ОБ'!G16</f>
        <v>13048.43</v>
      </c>
      <c r="C8" s="27">
        <f t="shared" ref="C8:C15" si="0">B8/$B$21</f>
        <v>0.16280753895842001</v>
      </c>
      <c r="D8" s="27">
        <f t="shared" ref="D8:D15" si="1">B8/$B$35</f>
        <v>1.1017351643963001E-2</v>
      </c>
      <c r="I8" s="28"/>
      <c r="J8" s="28"/>
    </row>
    <row r="9" spans="1:10" x14ac:dyDescent="0.25">
      <c r="A9" s="25" t="s">
        <v>242</v>
      </c>
      <c r="B9" s="26">
        <f>'Прил.5 Расчет СМР и ОБ'!G24</f>
        <v>14959.78</v>
      </c>
      <c r="C9" s="27">
        <f t="shared" si="0"/>
        <v>0.18665578657043999</v>
      </c>
      <c r="D9" s="27">
        <f t="shared" si="1"/>
        <v>1.2631186799970001E-2</v>
      </c>
      <c r="I9" s="28"/>
      <c r="J9" s="28"/>
    </row>
    <row r="10" spans="1:10" x14ac:dyDescent="0.25">
      <c r="A10" s="25" t="s">
        <v>243</v>
      </c>
      <c r="B10" s="26">
        <f>'Прил.5 Расчет СМР и ОБ'!G35</f>
        <v>2589.0300000000002</v>
      </c>
      <c r="C10" s="27">
        <f t="shared" si="0"/>
        <v>3.2303779273791002E-2</v>
      </c>
      <c r="D10" s="27">
        <f t="shared" si="1"/>
        <v>2.1860295780235998E-3</v>
      </c>
      <c r="I10" s="28"/>
      <c r="J10" s="28"/>
    </row>
    <row r="11" spans="1:10" x14ac:dyDescent="0.25">
      <c r="A11" s="25" t="s">
        <v>244</v>
      </c>
      <c r="B11" s="26">
        <f>B9+B10</f>
        <v>17548.810000000001</v>
      </c>
      <c r="C11" s="27">
        <f t="shared" si="0"/>
        <v>0.21895956584422999</v>
      </c>
      <c r="D11" s="27">
        <f t="shared" si="1"/>
        <v>1.4817216377993001E-2</v>
      </c>
      <c r="I11" s="28"/>
      <c r="J11" s="28"/>
    </row>
    <row r="12" spans="1:10" x14ac:dyDescent="0.25">
      <c r="A12" s="25" t="s">
        <v>245</v>
      </c>
      <c r="B12" s="26">
        <f>'Прил.5 Расчет СМР и ОБ'!G18</f>
        <v>91.88</v>
      </c>
      <c r="C12" s="27">
        <f t="shared" si="0"/>
        <v>1.1464027993789E-3</v>
      </c>
      <c r="D12" s="27">
        <f t="shared" si="1"/>
        <v>7.7578242673436001E-5</v>
      </c>
      <c r="I12" s="28"/>
      <c r="J12" s="28"/>
    </row>
    <row r="13" spans="1:10" x14ac:dyDescent="0.25">
      <c r="A13" s="25" t="s">
        <v>246</v>
      </c>
      <c r="B13" s="26">
        <f>'Прил.5 Расчет СМР и ОБ'!G54</f>
        <v>24895.09</v>
      </c>
      <c r="C13" s="27">
        <f t="shared" si="0"/>
        <v>0.31062038383531998</v>
      </c>
      <c r="D13" s="27">
        <f t="shared" si="1"/>
        <v>2.1019997098357002E-2</v>
      </c>
      <c r="I13" s="28"/>
      <c r="J13" s="28"/>
    </row>
    <row r="14" spans="1:10" x14ac:dyDescent="0.25">
      <c r="A14" s="25" t="s">
        <v>247</v>
      </c>
      <c r="B14" s="26">
        <f>'Прил.5 Расчет СМР и ОБ'!G83</f>
        <v>3226.29</v>
      </c>
      <c r="C14" s="27">
        <f t="shared" si="0"/>
        <v>4.0254983539486998E-2</v>
      </c>
      <c r="D14" s="27">
        <f t="shared" si="1"/>
        <v>2.7240956525345999E-3</v>
      </c>
      <c r="I14" s="28"/>
      <c r="J14" s="28"/>
    </row>
    <row r="15" spans="1:10" x14ac:dyDescent="0.25">
      <c r="A15" s="25" t="s">
        <v>248</v>
      </c>
      <c r="B15" s="26">
        <f>B13+B14</f>
        <v>28121.38</v>
      </c>
      <c r="C15" s="27">
        <f t="shared" si="0"/>
        <v>0.35087536737481001</v>
      </c>
      <c r="D15" s="27">
        <f t="shared" si="1"/>
        <v>2.3744092750891999E-2</v>
      </c>
      <c r="I15" s="28"/>
      <c r="J15" s="28"/>
    </row>
    <row r="16" spans="1:10" x14ac:dyDescent="0.25">
      <c r="A16" s="25" t="s">
        <v>249</v>
      </c>
      <c r="B16" s="26">
        <f>B8+B11+B15</f>
        <v>58718.62</v>
      </c>
      <c r="C16" s="27"/>
      <c r="D16" s="27"/>
      <c r="I16" s="28"/>
      <c r="J16" s="28"/>
    </row>
    <row r="17" spans="1:10" x14ac:dyDescent="0.25">
      <c r="A17" s="25" t="s">
        <v>250</v>
      </c>
      <c r="B17" s="26">
        <f>'Прил.5 Расчет СМР и ОБ'!G87</f>
        <v>9018.92</v>
      </c>
      <c r="C17" s="27">
        <f>B17/$B$21</f>
        <v>0.1125306392618</v>
      </c>
      <c r="D17" s="27">
        <f>B17/$B$35</f>
        <v>7.6150627384882997E-3</v>
      </c>
      <c r="I17" s="28"/>
      <c r="J17" s="28"/>
    </row>
    <row r="18" spans="1:10" x14ac:dyDescent="0.25">
      <c r="A18" s="25" t="s">
        <v>251</v>
      </c>
      <c r="B18" s="29">
        <f>B17/(B8+B12)</f>
        <v>0.68635519253350996</v>
      </c>
      <c r="C18" s="27"/>
      <c r="D18" s="27"/>
      <c r="I18" s="28"/>
      <c r="J18" s="28"/>
    </row>
    <row r="19" spans="1:10" x14ac:dyDescent="0.25">
      <c r="A19" s="25" t="s">
        <v>252</v>
      </c>
      <c r="B19" s="26">
        <f>'Прил.5 Расчет СМР и ОБ'!G86</f>
        <v>12408.81</v>
      </c>
      <c r="C19" s="27">
        <f>B19/$B$21</f>
        <v>0.15482688856074001</v>
      </c>
      <c r="D19" s="27">
        <f>B19/$B$35</f>
        <v>1.0477292919771E-2</v>
      </c>
      <c r="I19" s="28"/>
      <c r="J19" s="28"/>
    </row>
    <row r="20" spans="1:10" x14ac:dyDescent="0.25">
      <c r="A20" s="25" t="s">
        <v>253</v>
      </c>
      <c r="B20" s="29">
        <f>B19/(B8+B12)</f>
        <v>0.94433160252687998</v>
      </c>
      <c r="C20" s="27"/>
      <c r="D20" s="27"/>
      <c r="J20" s="28"/>
    </row>
    <row r="21" spans="1:10" x14ac:dyDescent="0.25">
      <c r="A21" s="25" t="s">
        <v>254</v>
      </c>
      <c r="B21" s="26">
        <f>B16+B17+B19</f>
        <v>80146.350000000006</v>
      </c>
      <c r="C21" s="27">
        <f>B21/$B$21</f>
        <v>1</v>
      </c>
      <c r="D21" s="27">
        <f>B21/$B$35</f>
        <v>6.7671016431107997E-2</v>
      </c>
      <c r="J21" s="28"/>
    </row>
    <row r="22" spans="1:10" ht="26.45" customHeight="1" x14ac:dyDescent="0.25">
      <c r="A22" s="25" t="s">
        <v>255</v>
      </c>
      <c r="B22" s="26">
        <f>'Прил.6 Расчет ОБ'!G16</f>
        <v>1061574.22</v>
      </c>
      <c r="C22" s="27"/>
      <c r="D22" s="27">
        <f>B22/$B$35</f>
        <v>0.89633285214435998</v>
      </c>
      <c r="J22" s="28"/>
    </row>
    <row r="23" spans="1:10" ht="26.45" customHeight="1" x14ac:dyDescent="0.25">
      <c r="A23" s="25" t="s">
        <v>256</v>
      </c>
      <c r="B23" s="26">
        <f>'Прил.6 Расчет ОБ'!G15</f>
        <v>1061574.22</v>
      </c>
      <c r="C23" s="27"/>
      <c r="D23" s="27">
        <f>B23/$B$35</f>
        <v>0.89633285214435998</v>
      </c>
      <c r="J23" s="28"/>
    </row>
    <row r="24" spans="1:10" x14ac:dyDescent="0.25">
      <c r="A24" s="25" t="s">
        <v>257</v>
      </c>
      <c r="B24" s="26">
        <f>'Прил.5 Расчет СМР и ОБ'!G89</f>
        <v>1141720.57</v>
      </c>
      <c r="C24" s="27"/>
      <c r="D24" s="27">
        <f>B24/$B$35</f>
        <v>0.96400386857547005</v>
      </c>
      <c r="J24" s="28"/>
    </row>
    <row r="25" spans="1:10" ht="26.45" customHeight="1" x14ac:dyDescent="0.25">
      <c r="A25" s="25" t="s">
        <v>258</v>
      </c>
      <c r="B25" s="26"/>
      <c r="C25" s="27"/>
      <c r="D25" s="27"/>
      <c r="J25" s="28"/>
    </row>
    <row r="26" spans="1:10" x14ac:dyDescent="0.25">
      <c r="A26" s="25" t="s">
        <v>259</v>
      </c>
      <c r="B26" s="26">
        <f>'4.7 Прил.6 Расчет Прочие'!I9*1000</f>
        <v>278.41007999999999</v>
      </c>
      <c r="C26" s="27"/>
      <c r="D26" s="27">
        <f>B26/$B$35</f>
        <v>2.3507362591392001E-4</v>
      </c>
      <c r="J26" s="28"/>
    </row>
    <row r="27" spans="1:10" x14ac:dyDescent="0.25">
      <c r="A27" s="25" t="s">
        <v>260</v>
      </c>
      <c r="B27" s="26">
        <f>'4.7 Прил.6 Расчет Прочие'!I11*1000</f>
        <v>86.950678710000005</v>
      </c>
      <c r="C27" s="27"/>
      <c r="D27" s="27">
        <f>B27/$B$35</f>
        <v>7.3416204327214006E-5</v>
      </c>
      <c r="J27" s="28"/>
    </row>
    <row r="28" spans="1:10" x14ac:dyDescent="0.25">
      <c r="A28" s="25" t="s">
        <v>261</v>
      </c>
      <c r="B28" s="26">
        <f>'4.7 Прил.6 Расчет Прочие'!I12*1000</f>
        <v>5470.4031199999999</v>
      </c>
      <c r="C28" s="27"/>
      <c r="D28" s="27">
        <f>B28/$B$35</f>
        <v>4.6188970479417004E-3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262</v>
      </c>
      <c r="B30" s="26">
        <f>'4.7 Прил.6 Расчет Прочие'!I14*1000</f>
        <v>2300.6417510043998</v>
      </c>
      <c r="C30" s="27"/>
      <c r="D30" s="27">
        <f>B30/$B$35</f>
        <v>1.9425309541147E-3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263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264</v>
      </c>
      <c r="B33" s="26">
        <f>B24+B26+B27+B28+B30+B32</f>
        <v>1149856.9756297001</v>
      </c>
      <c r="C33" s="27"/>
      <c r="D33" s="27">
        <f>B33/$B$35</f>
        <v>0.97087378640777</v>
      </c>
      <c r="J33" s="28"/>
    </row>
    <row r="34" spans="1:10" x14ac:dyDescent="0.25">
      <c r="A34" s="25" t="s">
        <v>265</v>
      </c>
      <c r="B34" s="26">
        <f>B33*3%</f>
        <v>34495.709268890998</v>
      </c>
      <c r="C34" s="27"/>
      <c r="D34" s="27">
        <f>B34/$B$35</f>
        <v>2.9126213592233E-2</v>
      </c>
      <c r="J34" s="28"/>
    </row>
    <row r="35" spans="1:10" x14ac:dyDescent="0.25">
      <c r="A35" s="25" t="s">
        <v>266</v>
      </c>
      <c r="B35" s="26">
        <f>B33+B34</f>
        <v>1184352.6848986</v>
      </c>
      <c r="C35" s="27"/>
      <c r="D35" s="27">
        <f>B35/$B$35</f>
        <v>1</v>
      </c>
      <c r="J35" s="28"/>
    </row>
    <row r="36" spans="1:10" x14ac:dyDescent="0.25">
      <c r="A36" s="25" t="s">
        <v>267</v>
      </c>
      <c r="B36" s="26">
        <f>B35</f>
        <v>1184352.6848986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268</v>
      </c>
      <c r="B38" s="30"/>
      <c r="C38" s="30"/>
      <c r="D38" s="30"/>
    </row>
    <row r="39" spans="1:10" x14ac:dyDescent="0.25">
      <c r="A39" s="31" t="s">
        <v>269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270</v>
      </c>
      <c r="B41" s="30"/>
      <c r="C41" s="30"/>
      <c r="D41" s="30"/>
    </row>
    <row r="42" spans="1:10" x14ac:dyDescent="0.25">
      <c r="A42" s="31" t="s">
        <v>271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view="pageBreakPreview" topLeftCell="A37" workbookViewId="0">
      <selection activeCell="D24" sqref="D2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272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7" t="s">
        <v>237</v>
      </c>
      <c r="C5" s="227"/>
      <c r="D5" s="227"/>
      <c r="E5" s="227"/>
    </row>
    <row r="6" spans="2:5" x14ac:dyDescent="0.25">
      <c r="B6" s="140"/>
      <c r="C6" s="4"/>
      <c r="D6" s="4"/>
      <c r="E6" s="4"/>
    </row>
    <row r="7" spans="2:5" ht="25.5" customHeight="1" x14ac:dyDescent="0.25">
      <c r="B7" s="254" t="s">
        <v>273</v>
      </c>
      <c r="C7" s="254"/>
      <c r="D7" s="254"/>
      <c r="E7" s="254"/>
    </row>
    <row r="8" spans="2:5" x14ac:dyDescent="0.25">
      <c r="B8" s="255" t="s">
        <v>50</v>
      </c>
      <c r="C8" s="255"/>
      <c r="D8" s="255"/>
      <c r="E8" s="255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238</v>
      </c>
      <c r="C10" s="2" t="s">
        <v>274</v>
      </c>
      <c r="D10" s="2" t="s">
        <v>275</v>
      </c>
      <c r="E10" s="2" t="s">
        <v>276</v>
      </c>
    </row>
    <row r="11" spans="2:5" x14ac:dyDescent="0.25">
      <c r="B11" s="25" t="s">
        <v>241</v>
      </c>
      <c r="C11" s="179">
        <f>'Прил.5 Расчет СМР и ОБ'!J16</f>
        <v>601681.72</v>
      </c>
      <c r="D11" s="27">
        <f t="shared" ref="D11:D18" si="0">C11/$C$24</f>
        <v>0.29328377588699001</v>
      </c>
      <c r="E11" s="27">
        <f t="shared" ref="E11:E18" si="1">C11/$C$40</f>
        <v>6.4113167045804997E-2</v>
      </c>
    </row>
    <row r="12" spans="2:5" x14ac:dyDescent="0.25">
      <c r="B12" s="25" t="s">
        <v>242</v>
      </c>
      <c r="C12" s="179">
        <f>'Прил.5 Расчет СМР и ОБ'!J24</f>
        <v>201508.24</v>
      </c>
      <c r="D12" s="27">
        <f t="shared" si="0"/>
        <v>9.8223189329305002E-2</v>
      </c>
      <c r="E12" s="27">
        <f t="shared" si="1"/>
        <v>2.1472035833540001E-2</v>
      </c>
    </row>
    <row r="13" spans="2:5" x14ac:dyDescent="0.25">
      <c r="B13" s="25" t="s">
        <v>243</v>
      </c>
      <c r="C13" s="179">
        <f>'Прил.5 Расчет СМР и ОБ'!J35</f>
        <v>34874.15</v>
      </c>
      <c r="D13" s="27">
        <f t="shared" si="0"/>
        <v>1.6999057895342999E-2</v>
      </c>
      <c r="E13" s="27">
        <f t="shared" si="1"/>
        <v>3.7160713550188E-3</v>
      </c>
    </row>
    <row r="14" spans="2:5" x14ac:dyDescent="0.25">
      <c r="B14" s="25" t="s">
        <v>244</v>
      </c>
      <c r="C14" s="179">
        <f>C13+C12</f>
        <v>236382.39</v>
      </c>
      <c r="D14" s="27">
        <f t="shared" si="0"/>
        <v>0.11522224722465001</v>
      </c>
      <c r="E14" s="27">
        <f t="shared" si="1"/>
        <v>2.5188107188559E-2</v>
      </c>
    </row>
    <row r="15" spans="2:5" x14ac:dyDescent="0.25">
      <c r="B15" s="25" t="s">
        <v>245</v>
      </c>
      <c r="C15" s="179">
        <f>'Прил.5 Расчет СМР и ОБ'!J18</f>
        <v>4069.17</v>
      </c>
      <c r="D15" s="27">
        <f t="shared" si="0"/>
        <v>1.9834764837562999E-3</v>
      </c>
      <c r="E15" s="27">
        <f t="shared" si="1"/>
        <v>4.3359697872785003E-4</v>
      </c>
    </row>
    <row r="16" spans="2:5" x14ac:dyDescent="0.25">
      <c r="B16" s="25" t="s">
        <v>246</v>
      </c>
      <c r="C16" s="179">
        <f>'Прил.5 Расчет СМР и ОБ'!J54</f>
        <v>200156.56</v>
      </c>
      <c r="D16" s="27">
        <f t="shared" si="0"/>
        <v>9.7564326344086003E-2</v>
      </c>
      <c r="E16" s="27">
        <f t="shared" si="1"/>
        <v>2.1328005388952E-2</v>
      </c>
    </row>
    <row r="17" spans="2:5" x14ac:dyDescent="0.25">
      <c r="B17" s="25" t="s">
        <v>247</v>
      </c>
      <c r="C17" s="179">
        <f>'Прил.5 Расчет СМР и ОБ'!J83</f>
        <v>25939.66</v>
      </c>
      <c r="D17" s="27">
        <f t="shared" si="0"/>
        <v>1.2644029521164E-2</v>
      </c>
      <c r="E17" s="27">
        <f t="shared" si="1"/>
        <v>2.7640423489871E-3</v>
      </c>
    </row>
    <row r="18" spans="2:5" x14ac:dyDescent="0.25">
      <c r="B18" s="25" t="s">
        <v>248</v>
      </c>
      <c r="C18" s="179">
        <f>C17+C16</f>
        <v>226096.22</v>
      </c>
      <c r="D18" s="27">
        <f t="shared" si="0"/>
        <v>0.11020835586525</v>
      </c>
      <c r="E18" s="27">
        <f t="shared" si="1"/>
        <v>2.4092047737939E-2</v>
      </c>
    </row>
    <row r="19" spans="2:5" x14ac:dyDescent="0.25">
      <c r="B19" s="25" t="s">
        <v>249</v>
      </c>
      <c r="C19" s="179">
        <f>C18+C14+C11</f>
        <v>1064160.33</v>
      </c>
      <c r="D19" s="27"/>
      <c r="E19" s="25"/>
    </row>
    <row r="20" spans="2:5" x14ac:dyDescent="0.25">
      <c r="B20" s="25" t="s">
        <v>250</v>
      </c>
      <c r="C20" s="179">
        <f>ROUND(C21*(C11+C15),2)</f>
        <v>417968.11</v>
      </c>
      <c r="D20" s="27">
        <f>C20/$C$24</f>
        <v>0.20373440213731001</v>
      </c>
      <c r="E20" s="27">
        <f>C20/$C$40</f>
        <v>4.4537266740045003E-2</v>
      </c>
    </row>
    <row r="21" spans="2:5" x14ac:dyDescent="0.25">
      <c r="B21" s="25" t="s">
        <v>251</v>
      </c>
      <c r="C21" s="29">
        <f>'Прил.5 Расчет СМР и ОБ'!D87</f>
        <v>0.69</v>
      </c>
      <c r="D21" s="27"/>
      <c r="E21" s="25"/>
    </row>
    <row r="22" spans="2:5" x14ac:dyDescent="0.25">
      <c r="B22" s="25" t="s">
        <v>252</v>
      </c>
      <c r="C22" s="179">
        <f>ROUND(C23*(C11+C15),2)</f>
        <v>569405.84</v>
      </c>
      <c r="D22" s="27">
        <f>C22/$C$24</f>
        <v>0.27755121888579998</v>
      </c>
      <c r="E22" s="27">
        <f>C22/$C$40</f>
        <v>6.0673958545352999E-2</v>
      </c>
    </row>
    <row r="23" spans="2:5" x14ac:dyDescent="0.25">
      <c r="B23" s="25" t="s">
        <v>253</v>
      </c>
      <c r="C23" s="29">
        <f>'Прил.5 Расчет СМР и ОБ'!D86</f>
        <v>0.94</v>
      </c>
      <c r="D23" s="27"/>
      <c r="E23" s="25"/>
    </row>
    <row r="24" spans="2:5" x14ac:dyDescent="0.25">
      <c r="B24" s="25" t="s">
        <v>254</v>
      </c>
      <c r="C24" s="179">
        <f>C19+C20+C22</f>
        <v>2051534.28</v>
      </c>
      <c r="D24" s="27">
        <f>C24/$C$24</f>
        <v>1</v>
      </c>
      <c r="E24" s="27">
        <f>C24/$C$40</f>
        <v>0.21860454725770001</v>
      </c>
    </row>
    <row r="25" spans="2:5" ht="25.5" customHeight="1" x14ac:dyDescent="0.25">
      <c r="B25" s="25" t="s">
        <v>255</v>
      </c>
      <c r="C25" s="179">
        <f>'Прил.5 Расчет СМР и ОБ'!J44</f>
        <v>6645454.46</v>
      </c>
      <c r="D25" s="27"/>
      <c r="E25" s="27">
        <f>C25/$C$40</f>
        <v>0.70811712858630005</v>
      </c>
    </row>
    <row r="26" spans="2:5" ht="25.5" customHeight="1" x14ac:dyDescent="0.25">
      <c r="B26" s="25" t="s">
        <v>256</v>
      </c>
      <c r="C26" s="179">
        <f>C25</f>
        <v>6645454.46</v>
      </c>
      <c r="D26" s="27"/>
      <c r="E26" s="27">
        <f>C26/$C$40</f>
        <v>0.70811712858630005</v>
      </c>
    </row>
    <row r="27" spans="2:5" x14ac:dyDescent="0.25">
      <c r="B27" s="25" t="s">
        <v>257</v>
      </c>
      <c r="C27" s="26">
        <f>C24+C25</f>
        <v>8696988.7400000002</v>
      </c>
      <c r="D27" s="27"/>
      <c r="E27" s="27">
        <f>C27/$C$40</f>
        <v>0.92672167584401</v>
      </c>
    </row>
    <row r="28" spans="2:5" ht="33" customHeight="1" x14ac:dyDescent="0.25">
      <c r="B28" s="25" t="s">
        <v>258</v>
      </c>
      <c r="C28" s="25"/>
      <c r="D28" s="25"/>
      <c r="E28" s="25"/>
    </row>
    <row r="29" spans="2:5" ht="25.5" customHeight="1" x14ac:dyDescent="0.25">
      <c r="B29" s="25" t="s">
        <v>277</v>
      </c>
      <c r="C29" s="26">
        <f>ROUND(C24*3.9%,2)</f>
        <v>80009.84</v>
      </c>
      <c r="D29" s="25"/>
      <c r="E29" s="27">
        <f t="shared" ref="E29:E38" si="2">C29/$C$40</f>
        <v>8.5255776712446999E-3</v>
      </c>
    </row>
    <row r="30" spans="2:5" ht="38.25" customHeight="1" x14ac:dyDescent="0.25">
      <c r="B30" s="25" t="s">
        <v>278</v>
      </c>
      <c r="C30" s="26">
        <f>ROUND((C24+C29)*2.1%,2)</f>
        <v>44762.43</v>
      </c>
      <c r="D30" s="25"/>
      <c r="E30" s="27">
        <f t="shared" si="2"/>
        <v>4.7697329943248998E-3</v>
      </c>
    </row>
    <row r="31" spans="2:5" x14ac:dyDescent="0.25">
      <c r="B31" s="25" t="s">
        <v>279</v>
      </c>
      <c r="C31" s="26">
        <v>81250.8</v>
      </c>
      <c r="D31" s="25"/>
      <c r="E31" s="27">
        <f t="shared" si="2"/>
        <v>8.6578101674840008E-3</v>
      </c>
    </row>
    <row r="32" spans="2:5" ht="25.5" customHeight="1" x14ac:dyDescent="0.25">
      <c r="B32" s="25" t="s">
        <v>280</v>
      </c>
      <c r="C32" s="26">
        <f>ROUND(C26*0%,2)</f>
        <v>0</v>
      </c>
      <c r="D32" s="25"/>
      <c r="E32" s="27">
        <f t="shared" si="2"/>
        <v>0</v>
      </c>
    </row>
    <row r="33" spans="2:11" ht="25.5" customHeight="1" x14ac:dyDescent="0.25">
      <c r="B33" s="25" t="s">
        <v>281</v>
      </c>
      <c r="C33" s="26">
        <f>ROUND(C27*0%,2)</f>
        <v>0</v>
      </c>
      <c r="D33" s="25"/>
      <c r="E33" s="27">
        <f t="shared" si="2"/>
        <v>0</v>
      </c>
    </row>
    <row r="34" spans="2:11" ht="51" customHeight="1" x14ac:dyDescent="0.25">
      <c r="B34" s="25" t="s">
        <v>282</v>
      </c>
      <c r="C34" s="26">
        <f>ROUND(C28*0%,2)</f>
        <v>0</v>
      </c>
      <c r="D34" s="25"/>
      <c r="E34" s="27">
        <f t="shared" si="2"/>
        <v>0</v>
      </c>
    </row>
    <row r="35" spans="2:11" ht="76.5" customHeight="1" x14ac:dyDescent="0.25">
      <c r="B35" s="25" t="s">
        <v>283</v>
      </c>
      <c r="C35" s="26">
        <f>ROUND(C27*0%,2)</f>
        <v>0</v>
      </c>
      <c r="D35" s="25"/>
      <c r="E35" s="27">
        <f t="shared" si="2"/>
        <v>0</v>
      </c>
    </row>
    <row r="36" spans="2:11" ht="25.5" customHeight="1" x14ac:dyDescent="0.25">
      <c r="B36" s="25" t="s">
        <v>284</v>
      </c>
      <c r="C36" s="26">
        <f>ROUND((C27+C32+C33+C34+C35+C29+C31+C30)*2.14%,2)</f>
        <v>190524.45</v>
      </c>
      <c r="D36" s="25"/>
      <c r="E36" s="27">
        <f t="shared" si="2"/>
        <v>2.0301640357562999E-2</v>
      </c>
      <c r="K36" s="141"/>
    </row>
    <row r="37" spans="2:11" x14ac:dyDescent="0.25">
      <c r="B37" s="25" t="s">
        <v>285</v>
      </c>
      <c r="C37" s="26">
        <f>ROUND((C27+C32+C33+C34+C35+C29+C31+C30)*0.2%,2)</f>
        <v>17806.02</v>
      </c>
      <c r="D37" s="25"/>
      <c r="E37" s="27">
        <f t="shared" si="2"/>
        <v>1.8973492076192E-3</v>
      </c>
      <c r="K37" s="141"/>
    </row>
    <row r="38" spans="2:11" ht="38.25" customHeight="1" x14ac:dyDescent="0.25">
      <c r="B38" s="25" t="s">
        <v>264</v>
      </c>
      <c r="C38" s="179">
        <f>C27+C32+C33+C34+C35+C29+C31+C30+C36+C37</f>
        <v>9111342.2799999993</v>
      </c>
      <c r="D38" s="25"/>
      <c r="E38" s="27">
        <f t="shared" si="2"/>
        <v>0.97087378624223997</v>
      </c>
    </row>
    <row r="39" spans="2:11" ht="13.5" customHeight="1" x14ac:dyDescent="0.25">
      <c r="B39" s="25" t="s">
        <v>265</v>
      </c>
      <c r="C39" s="179">
        <f>ROUND(C38*3%,2)</f>
        <v>273340.27</v>
      </c>
      <c r="D39" s="25"/>
      <c r="E39" s="27">
        <f>C39/$C$38</f>
        <v>3.0000000175605002E-2</v>
      </c>
    </row>
    <row r="40" spans="2:11" x14ac:dyDescent="0.25">
      <c r="B40" s="25" t="s">
        <v>266</v>
      </c>
      <c r="C40" s="179">
        <f>C39+C38</f>
        <v>9384682.5500000007</v>
      </c>
      <c r="D40" s="25"/>
      <c r="E40" s="27">
        <f>C40/$C$40</f>
        <v>1</v>
      </c>
    </row>
    <row r="41" spans="2:11" x14ac:dyDescent="0.25">
      <c r="B41" s="25" t="s">
        <v>267</v>
      </c>
      <c r="C41" s="179">
        <f>C40/'Прил.5 Расчет СМР и ОБ'!E90</f>
        <v>4692341.2750000004</v>
      </c>
      <c r="D41" s="25"/>
      <c r="E41" s="25"/>
    </row>
    <row r="42" spans="2:11" x14ac:dyDescent="0.25">
      <c r="B42" s="142"/>
      <c r="C42" s="4"/>
      <c r="D42" s="4"/>
      <c r="E42" s="4"/>
    </row>
    <row r="43" spans="2:11" s="206" customFormat="1" x14ac:dyDescent="0.25">
      <c r="B43" s="207" t="s">
        <v>76</v>
      </c>
      <c r="C43" s="214"/>
    </row>
    <row r="44" spans="2:11" s="206" customFormat="1" x14ac:dyDescent="0.25">
      <c r="B44" s="33" t="s">
        <v>77</v>
      </c>
      <c r="C44" s="214"/>
    </row>
    <row r="45" spans="2:11" s="206" customFormat="1" x14ac:dyDescent="0.25">
      <c r="B45" s="207"/>
      <c r="C45" s="214"/>
    </row>
    <row r="46" spans="2:11" s="206" customFormat="1" x14ac:dyDescent="0.25">
      <c r="B46" s="207" t="s">
        <v>78</v>
      </c>
      <c r="C46" s="214"/>
    </row>
    <row r="47" spans="2:11" s="206" customFormat="1" x14ac:dyDescent="0.25">
      <c r="B47" s="33" t="s">
        <v>79</v>
      </c>
      <c r="C47" s="21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6"/>
  <sheetViews>
    <sheetView view="pageBreakPreview" topLeftCell="A76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7.7109375" style="12" customWidth="1"/>
    <col min="2" max="2" width="22.5703125" style="12" customWidth="1"/>
    <col min="3" max="3" width="47.5703125" style="12" customWidth="1"/>
    <col min="4" max="4" width="17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6" t="s">
        <v>286</v>
      </c>
      <c r="I2" s="256"/>
      <c r="J2" s="25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7" t="s">
        <v>287</v>
      </c>
      <c r="B4" s="227"/>
      <c r="C4" s="227"/>
      <c r="D4" s="227"/>
      <c r="E4" s="227"/>
      <c r="F4" s="227"/>
      <c r="G4" s="227"/>
      <c r="H4" s="227"/>
      <c r="I4" s="227"/>
      <c r="J4" s="227"/>
    </row>
    <row r="5" spans="1:14" s="4" customFormat="1" ht="12.75" customHeight="1" x14ac:dyDescent="0.2">
      <c r="A5" s="180"/>
      <c r="B5" s="180"/>
      <c r="C5" s="35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95" t="s">
        <v>288</v>
      </c>
      <c r="B6" s="195"/>
      <c r="C6" s="195"/>
      <c r="D6" s="195" t="s">
        <v>289</v>
      </c>
      <c r="E6" s="195"/>
      <c r="F6" s="195"/>
      <c r="G6" s="195"/>
      <c r="H6" s="195"/>
      <c r="I6" s="181"/>
      <c r="J6" s="181"/>
    </row>
    <row r="7" spans="1:14" s="4" customFormat="1" ht="12.75" customHeight="1" x14ac:dyDescent="0.2">
      <c r="A7" s="230" t="s">
        <v>290</v>
      </c>
      <c r="B7" s="254"/>
      <c r="C7" s="254"/>
      <c r="D7" s="254"/>
      <c r="E7" s="254"/>
      <c r="F7" s="254"/>
      <c r="G7" s="254"/>
      <c r="H7" s="254"/>
      <c r="I7" s="49"/>
      <c r="J7" s="49"/>
    </row>
    <row r="8" spans="1:14" s="4" customFormat="1" ht="13.5" customHeight="1" x14ac:dyDescent="0.2">
      <c r="A8" s="230"/>
      <c r="B8" s="254"/>
      <c r="C8" s="254"/>
      <c r="D8" s="254"/>
      <c r="E8" s="254"/>
      <c r="F8" s="254"/>
      <c r="G8" s="254"/>
      <c r="H8" s="254"/>
    </row>
    <row r="9" spans="1:14" ht="27" customHeight="1" x14ac:dyDescent="0.25">
      <c r="A9" s="259" t="s">
        <v>13</v>
      </c>
      <c r="B9" s="259" t="s">
        <v>100</v>
      </c>
      <c r="C9" s="259" t="s">
        <v>238</v>
      </c>
      <c r="D9" s="259" t="s">
        <v>102</v>
      </c>
      <c r="E9" s="260" t="s">
        <v>291</v>
      </c>
      <c r="F9" s="257" t="s">
        <v>104</v>
      </c>
      <c r="G9" s="258"/>
      <c r="H9" s="260" t="s">
        <v>292</v>
      </c>
      <c r="I9" s="257" t="s">
        <v>293</v>
      </c>
      <c r="J9" s="258"/>
      <c r="M9" s="12"/>
      <c r="N9" s="12"/>
    </row>
    <row r="10" spans="1:14" ht="28.5" customHeight="1" x14ac:dyDescent="0.25">
      <c r="A10" s="259"/>
      <c r="B10" s="259"/>
      <c r="C10" s="259"/>
      <c r="D10" s="259"/>
      <c r="E10" s="261"/>
      <c r="F10" s="2" t="s">
        <v>294</v>
      </c>
      <c r="G10" s="2" t="s">
        <v>106</v>
      </c>
      <c r="H10" s="261"/>
      <c r="I10" s="2" t="s">
        <v>294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2">
        <v>9</v>
      </c>
      <c r="J11" s="182">
        <v>10</v>
      </c>
      <c r="M11" s="12"/>
      <c r="N11" s="12"/>
    </row>
    <row r="12" spans="1:14" x14ac:dyDescent="0.25">
      <c r="A12" s="2"/>
      <c r="B12" s="266" t="s">
        <v>295</v>
      </c>
      <c r="C12" s="262"/>
      <c r="D12" s="259"/>
      <c r="E12" s="263"/>
      <c r="F12" s="264"/>
      <c r="G12" s="264"/>
      <c r="H12" s="265"/>
      <c r="I12" s="184"/>
      <c r="J12" s="184"/>
    </row>
    <row r="13" spans="1:14" x14ac:dyDescent="0.25">
      <c r="A13" s="2">
        <v>1</v>
      </c>
      <c r="B13" s="143" t="s">
        <v>114</v>
      </c>
      <c r="C13" s="8" t="s">
        <v>115</v>
      </c>
      <c r="D13" s="2" t="s">
        <v>111</v>
      </c>
      <c r="E13" s="185">
        <v>370.89708939708999</v>
      </c>
      <c r="F13" s="32">
        <v>9.6199999999999992</v>
      </c>
      <c r="G13" s="32">
        <f>SUM('Прил. 3'!H15:H18)</f>
        <v>3568.03</v>
      </c>
      <c r="H13" s="186">
        <f>G13/G16</f>
        <v>0.27344515776993999</v>
      </c>
      <c r="I13" s="32">
        <f>ФОТр.тек.!E13</f>
        <v>444.39870291576</v>
      </c>
      <c r="J13" s="32">
        <f>ROUND(I13*E13,2)</f>
        <v>164826.19</v>
      </c>
    </row>
    <row r="14" spans="1:14" x14ac:dyDescent="0.25">
      <c r="A14" s="2">
        <v>2</v>
      </c>
      <c r="B14" s="143" t="s">
        <v>109</v>
      </c>
      <c r="C14" s="8" t="s">
        <v>110</v>
      </c>
      <c r="D14" s="2" t="s">
        <v>111</v>
      </c>
      <c r="E14" s="185">
        <v>320.5</v>
      </c>
      <c r="F14" s="47">
        <v>15.49</v>
      </c>
      <c r="G14" s="32">
        <f>'Прил. 3'!H13</f>
        <v>4964.55</v>
      </c>
      <c r="H14" s="186">
        <f>G14/G16</f>
        <v>0.38047106050306001</v>
      </c>
      <c r="I14" s="32">
        <f>ФОТр.тек.!E21</f>
        <v>713.02776960364997</v>
      </c>
      <c r="J14" s="32">
        <f>ROUND(I14*E14,2)</f>
        <v>228525.4</v>
      </c>
    </row>
    <row r="15" spans="1:14" x14ac:dyDescent="0.25">
      <c r="A15" s="2">
        <v>3</v>
      </c>
      <c r="B15" s="143" t="s">
        <v>112</v>
      </c>
      <c r="C15" s="8" t="s">
        <v>113</v>
      </c>
      <c r="D15" s="2" t="s">
        <v>111</v>
      </c>
      <c r="E15" s="185">
        <v>320.5</v>
      </c>
      <c r="F15" s="47">
        <v>14.09</v>
      </c>
      <c r="G15" s="32">
        <f>'Прил. 3'!H14</f>
        <v>4515.8500000000004</v>
      </c>
      <c r="H15" s="186">
        <f>G15/G16</f>
        <v>0.34608378172699999</v>
      </c>
      <c r="I15" s="32">
        <f>ФОТр.тек.!E29</f>
        <v>650.01601322007002</v>
      </c>
      <c r="J15" s="32">
        <f>ROUND(I15*E15,2)</f>
        <v>208330.13</v>
      </c>
    </row>
    <row r="16" spans="1:14" s="12" customFormat="1" ht="25.5" customHeight="1" x14ac:dyDescent="0.2">
      <c r="A16" s="2"/>
      <c r="B16" s="2"/>
      <c r="C16" s="104" t="s">
        <v>296</v>
      </c>
      <c r="D16" s="2" t="s">
        <v>297</v>
      </c>
      <c r="E16" s="187">
        <f>SUM(E13:E15)</f>
        <v>1011.8970893971</v>
      </c>
      <c r="F16" s="32"/>
      <c r="G16" s="32">
        <f>SUM(G13:G15)</f>
        <v>13048.43</v>
      </c>
      <c r="H16" s="183">
        <v>1</v>
      </c>
      <c r="I16" s="184"/>
      <c r="J16" s="32">
        <f>SUM(J13:J15)</f>
        <v>601681.72</v>
      </c>
    </row>
    <row r="17" spans="1:10" s="12" customFormat="1" ht="14.25" customHeight="1" x14ac:dyDescent="0.2">
      <c r="A17" s="2"/>
      <c r="B17" s="262" t="s">
        <v>122</v>
      </c>
      <c r="C17" s="262"/>
      <c r="D17" s="259"/>
      <c r="E17" s="263"/>
      <c r="F17" s="264"/>
      <c r="G17" s="264"/>
      <c r="H17" s="265"/>
      <c r="I17" s="184"/>
      <c r="J17" s="184"/>
    </row>
    <row r="18" spans="1:10" s="12" customFormat="1" ht="14.25" customHeight="1" x14ac:dyDescent="0.2">
      <c r="A18" s="2">
        <v>4</v>
      </c>
      <c r="B18" s="2">
        <v>2</v>
      </c>
      <c r="C18" s="8" t="s">
        <v>122</v>
      </c>
      <c r="D18" s="2" t="s">
        <v>297</v>
      </c>
      <c r="E18" s="187">
        <v>131.77379999999999</v>
      </c>
      <c r="F18" s="32">
        <f>G18/E18</f>
        <v>0.69725544835163999</v>
      </c>
      <c r="G18" s="32">
        <f>'Прил. 3'!H20</f>
        <v>91.88</v>
      </c>
      <c r="H18" s="183">
        <v>1</v>
      </c>
      <c r="I18" s="32">
        <f>ROUND(F18*'Прил. 10'!D11,2)</f>
        <v>30.88</v>
      </c>
      <c r="J18" s="32">
        <f>ROUND(I18*E18,2)</f>
        <v>4069.17</v>
      </c>
    </row>
    <row r="19" spans="1:10" s="12" customFormat="1" ht="14.25" customHeight="1" x14ac:dyDescent="0.2">
      <c r="A19" s="2"/>
      <c r="B19" s="266" t="s">
        <v>123</v>
      </c>
      <c r="C19" s="262"/>
      <c r="D19" s="259"/>
      <c r="E19" s="263"/>
      <c r="F19" s="264"/>
      <c r="G19" s="264"/>
      <c r="H19" s="265"/>
      <c r="I19" s="184"/>
      <c r="J19" s="184"/>
    </row>
    <row r="20" spans="1:10" s="12" customFormat="1" ht="14.25" customHeight="1" x14ac:dyDescent="0.2">
      <c r="A20" s="2"/>
      <c r="B20" s="262" t="s">
        <v>298</v>
      </c>
      <c r="C20" s="262"/>
      <c r="D20" s="259"/>
      <c r="E20" s="263"/>
      <c r="F20" s="264"/>
      <c r="G20" s="264"/>
      <c r="H20" s="265"/>
      <c r="I20" s="184"/>
      <c r="J20" s="184"/>
    </row>
    <row r="21" spans="1:10" s="12" customFormat="1" ht="25.5" customHeight="1" x14ac:dyDescent="0.2">
      <c r="A21" s="2">
        <v>5</v>
      </c>
      <c r="B21" s="2" t="s">
        <v>124</v>
      </c>
      <c r="C21" s="8" t="s">
        <v>125</v>
      </c>
      <c r="D21" s="2" t="s">
        <v>126</v>
      </c>
      <c r="E21" s="167">
        <v>22.98</v>
      </c>
      <c r="F21" s="103">
        <v>287.99</v>
      </c>
      <c r="G21" s="103">
        <f>ROUND(E21*F21,2)</f>
        <v>6618.01</v>
      </c>
      <c r="H21" s="183">
        <f>G21/$G$36</f>
        <v>0.37712015800502002</v>
      </c>
      <c r="I21" s="32">
        <f>ROUND(F21*'Прил. 10'!$D$12,2)</f>
        <v>3879.23</v>
      </c>
      <c r="J21" s="32">
        <f>ROUND(I21*E21,2)</f>
        <v>89144.71</v>
      </c>
    </row>
    <row r="22" spans="1:10" s="12" customFormat="1" ht="25.5" customHeight="1" x14ac:dyDescent="0.2">
      <c r="A22" s="2">
        <v>6</v>
      </c>
      <c r="B22" s="2" t="s">
        <v>127</v>
      </c>
      <c r="C22" s="8" t="s">
        <v>128</v>
      </c>
      <c r="D22" s="2" t="s">
        <v>126</v>
      </c>
      <c r="E22" s="167">
        <v>48</v>
      </c>
      <c r="F22" s="103">
        <v>110.86</v>
      </c>
      <c r="G22" s="103">
        <f>ROUND(E22*F22,2)</f>
        <v>5321.28</v>
      </c>
      <c r="H22" s="183">
        <f>G22/$G$36</f>
        <v>0.30322739832501</v>
      </c>
      <c r="I22" s="32">
        <f>ROUND(F22*'Прил. 10'!$D$12,2)</f>
        <v>1493.28</v>
      </c>
      <c r="J22" s="32">
        <f>ROUND(I22*E22,2)</f>
        <v>71677.440000000002</v>
      </c>
    </row>
    <row r="23" spans="1:10" s="12" customFormat="1" ht="25.5" customHeight="1" x14ac:dyDescent="0.2">
      <c r="A23" s="2">
        <v>7</v>
      </c>
      <c r="B23" s="2" t="s">
        <v>129</v>
      </c>
      <c r="C23" s="8" t="s">
        <v>130</v>
      </c>
      <c r="D23" s="2" t="s">
        <v>126</v>
      </c>
      <c r="E23" s="167">
        <v>22.98</v>
      </c>
      <c r="F23" s="103">
        <v>131.44</v>
      </c>
      <c r="G23" s="103">
        <f>ROUND(E23*F23,2)</f>
        <v>3020.49</v>
      </c>
      <c r="H23" s="183">
        <f>G23/$G$36</f>
        <v>0.17211936307931999</v>
      </c>
      <c r="I23" s="32">
        <f>ROUND(F23*'Прил. 10'!$D$12,2)</f>
        <v>1770.5</v>
      </c>
      <c r="J23" s="32">
        <f>ROUND(I23*E23,2)</f>
        <v>40686.089999999997</v>
      </c>
    </row>
    <row r="24" spans="1:10" s="12" customFormat="1" ht="14.25" customHeight="1" x14ac:dyDescent="0.2">
      <c r="A24" s="2"/>
      <c r="B24" s="2"/>
      <c r="C24" s="8" t="s">
        <v>299</v>
      </c>
      <c r="D24" s="2"/>
      <c r="E24" s="144"/>
      <c r="F24" s="32"/>
      <c r="G24" s="32">
        <f>SUM(G21:G23)</f>
        <v>14959.78</v>
      </c>
      <c r="H24" s="183">
        <f>G24/G36</f>
        <v>0.85246691940935004</v>
      </c>
      <c r="I24" s="188"/>
      <c r="J24" s="189">
        <f>SUM(J21:J23)</f>
        <v>201508.24</v>
      </c>
    </row>
    <row r="25" spans="1:10" s="12" customFormat="1" ht="25.5" customHeight="1" outlineLevel="1" x14ac:dyDescent="0.2">
      <c r="A25" s="2">
        <v>8</v>
      </c>
      <c r="B25" s="2" t="s">
        <v>131</v>
      </c>
      <c r="C25" s="8" t="s">
        <v>132</v>
      </c>
      <c r="D25" s="2" t="s">
        <v>126</v>
      </c>
      <c r="E25" s="144">
        <v>15.05</v>
      </c>
      <c r="F25" s="32">
        <v>111.99</v>
      </c>
      <c r="G25" s="103">
        <f t="shared" ref="G25:G34" si="0">ROUND(E25*F25,2)</f>
        <v>1685.45</v>
      </c>
      <c r="H25" s="183">
        <f t="shared" ref="H25:H34" si="1">G25/$G$36</f>
        <v>9.6043549391667996E-2</v>
      </c>
      <c r="I25" s="32">
        <f>ROUND(F25*'Прил. 10'!$D$12,2)</f>
        <v>1508.51</v>
      </c>
      <c r="J25" s="32">
        <f t="shared" ref="J25:J34" si="2">ROUND(I25*E25,2)</f>
        <v>22703.08</v>
      </c>
    </row>
    <row r="26" spans="1:10" s="12" customFormat="1" ht="25.5" customHeight="1" outlineLevel="1" x14ac:dyDescent="0.2">
      <c r="A26" s="2">
        <v>9</v>
      </c>
      <c r="B26" s="2" t="s">
        <v>133</v>
      </c>
      <c r="C26" s="8" t="s">
        <v>134</v>
      </c>
      <c r="D26" s="2" t="s">
        <v>126</v>
      </c>
      <c r="E26" s="144">
        <v>14.19</v>
      </c>
      <c r="F26" s="32">
        <v>29.6</v>
      </c>
      <c r="G26" s="103">
        <f t="shared" si="0"/>
        <v>420.02</v>
      </c>
      <c r="H26" s="183">
        <f t="shared" si="1"/>
        <v>2.3934386434179999E-2</v>
      </c>
      <c r="I26" s="32">
        <f>ROUND(F26*'Прил. 10'!$D$12,2)</f>
        <v>398.71</v>
      </c>
      <c r="J26" s="32">
        <f t="shared" si="2"/>
        <v>5657.69</v>
      </c>
    </row>
    <row r="27" spans="1:10" s="12" customFormat="1" ht="14.25" customHeight="1" outlineLevel="1" x14ac:dyDescent="0.2">
      <c r="A27" s="199">
        <v>10</v>
      </c>
      <c r="B27" s="2" t="s">
        <v>135</v>
      </c>
      <c r="C27" s="8" t="s">
        <v>136</v>
      </c>
      <c r="D27" s="2" t="s">
        <v>126</v>
      </c>
      <c r="E27" s="144">
        <v>5.9</v>
      </c>
      <c r="F27" s="32">
        <v>65.709999999999994</v>
      </c>
      <c r="G27" s="103">
        <f t="shared" si="0"/>
        <v>387.69</v>
      </c>
      <c r="H27" s="183">
        <f t="shared" si="1"/>
        <v>2.2092096273195E-2</v>
      </c>
      <c r="I27" s="32">
        <f>ROUND(F27*'Прил. 10'!$D$12,2)</f>
        <v>885.11</v>
      </c>
      <c r="J27" s="32">
        <f t="shared" si="2"/>
        <v>5222.1499999999996</v>
      </c>
    </row>
    <row r="28" spans="1:10" s="12" customFormat="1" ht="25.5" customHeight="1" outlineLevel="1" x14ac:dyDescent="0.2">
      <c r="A28" s="199">
        <v>11</v>
      </c>
      <c r="B28" s="2" t="s">
        <v>137</v>
      </c>
      <c r="C28" s="8" t="s">
        <v>138</v>
      </c>
      <c r="D28" s="2" t="s">
        <v>126</v>
      </c>
      <c r="E28" s="144">
        <v>5.78</v>
      </c>
      <c r="F28" s="32">
        <v>8.1</v>
      </c>
      <c r="G28" s="103">
        <f t="shared" si="0"/>
        <v>46.82</v>
      </c>
      <c r="H28" s="183">
        <f t="shared" si="1"/>
        <v>2.6679871740591002E-3</v>
      </c>
      <c r="I28" s="32">
        <f>ROUND(F28*'Прил. 10'!$D$12,2)</f>
        <v>109.11</v>
      </c>
      <c r="J28" s="32">
        <f t="shared" si="2"/>
        <v>630.66</v>
      </c>
    </row>
    <row r="29" spans="1:10" s="12" customFormat="1" ht="25.5" customHeight="1" outlineLevel="1" x14ac:dyDescent="0.2">
      <c r="A29" s="199">
        <v>12</v>
      </c>
      <c r="B29" s="2" t="s">
        <v>139</v>
      </c>
      <c r="C29" s="8" t="s">
        <v>140</v>
      </c>
      <c r="D29" s="2" t="s">
        <v>126</v>
      </c>
      <c r="E29" s="144">
        <v>45.96</v>
      </c>
      <c r="F29" s="32">
        <v>0.9</v>
      </c>
      <c r="G29" s="103">
        <f t="shared" si="0"/>
        <v>41.36</v>
      </c>
      <c r="H29" s="183">
        <f t="shared" si="1"/>
        <v>2.3568549662342001E-3</v>
      </c>
      <c r="I29" s="32">
        <f>ROUND(F29*'Прил. 10'!$D$12,2)</f>
        <v>12.12</v>
      </c>
      <c r="J29" s="32">
        <f t="shared" si="2"/>
        <v>557.04</v>
      </c>
    </row>
    <row r="30" spans="1:10" s="12" customFormat="1" ht="14.25" customHeight="1" outlineLevel="1" x14ac:dyDescent="0.2">
      <c r="A30" s="199">
        <v>13</v>
      </c>
      <c r="B30" s="2" t="s">
        <v>141</v>
      </c>
      <c r="C30" s="8" t="s">
        <v>142</v>
      </c>
      <c r="D30" s="2" t="s">
        <v>126</v>
      </c>
      <c r="E30" s="144">
        <v>0.05</v>
      </c>
      <c r="F30" s="32">
        <v>70</v>
      </c>
      <c r="G30" s="103">
        <f t="shared" si="0"/>
        <v>3.5</v>
      </c>
      <c r="H30" s="183">
        <f t="shared" si="1"/>
        <v>1.9944372296469001E-4</v>
      </c>
      <c r="I30" s="32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199">
        <v>14</v>
      </c>
      <c r="B31" s="2" t="s">
        <v>143</v>
      </c>
      <c r="C31" s="8" t="s">
        <v>144</v>
      </c>
      <c r="D31" s="2" t="s">
        <v>126</v>
      </c>
      <c r="E31" s="144">
        <v>0.05</v>
      </c>
      <c r="F31" s="32">
        <v>56.24</v>
      </c>
      <c r="G31" s="103">
        <f t="shared" si="0"/>
        <v>2.81</v>
      </c>
      <c r="H31" s="183">
        <f t="shared" si="1"/>
        <v>1.6012481758022001E-4</v>
      </c>
      <c r="I31" s="32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199">
        <v>15</v>
      </c>
      <c r="B32" s="2" t="s">
        <v>145</v>
      </c>
      <c r="C32" s="8" t="s">
        <v>146</v>
      </c>
      <c r="D32" s="2" t="s">
        <v>126</v>
      </c>
      <c r="E32" s="144">
        <v>0.05</v>
      </c>
      <c r="F32" s="32">
        <v>16.920000000000002</v>
      </c>
      <c r="G32" s="103">
        <f t="shared" si="0"/>
        <v>0.85</v>
      </c>
      <c r="H32" s="183">
        <f t="shared" si="1"/>
        <v>4.8436332719995999E-5</v>
      </c>
      <c r="I32" s="32">
        <f>ROUND(F32*'Прил. 10'!$D$12,2)</f>
        <v>227.91</v>
      </c>
      <c r="J32" s="32">
        <f t="shared" si="2"/>
        <v>11.4</v>
      </c>
    </row>
    <row r="33" spans="1:10" s="12" customFormat="1" ht="25.5" customHeight="1" outlineLevel="1" x14ac:dyDescent="0.2">
      <c r="A33" s="199">
        <v>16</v>
      </c>
      <c r="B33" s="2" t="s">
        <v>147</v>
      </c>
      <c r="C33" s="8" t="s">
        <v>148</v>
      </c>
      <c r="D33" s="2" t="s">
        <v>126</v>
      </c>
      <c r="E33" s="144">
        <v>0.06</v>
      </c>
      <c r="F33" s="32">
        <v>6.82</v>
      </c>
      <c r="G33" s="103">
        <f t="shared" si="0"/>
        <v>0.41</v>
      </c>
      <c r="H33" s="183">
        <f t="shared" si="1"/>
        <v>2.3363407547291999E-5</v>
      </c>
      <c r="I33" s="32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199">
        <v>17</v>
      </c>
      <c r="B34" s="2" t="s">
        <v>149</v>
      </c>
      <c r="C34" s="8" t="s">
        <v>150</v>
      </c>
      <c r="D34" s="2" t="s">
        <v>126</v>
      </c>
      <c r="E34" s="144">
        <v>0.05</v>
      </c>
      <c r="F34" s="32">
        <v>2.36</v>
      </c>
      <c r="G34" s="103">
        <f t="shared" si="0"/>
        <v>0.12</v>
      </c>
      <c r="H34" s="183">
        <f t="shared" si="1"/>
        <v>6.8380705016464999E-6</v>
      </c>
      <c r="I34" s="32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300</v>
      </c>
      <c r="D35" s="2"/>
      <c r="E35" s="167"/>
      <c r="F35" s="32"/>
      <c r="G35" s="190">
        <f>SUM(G25:G34)</f>
        <v>2589.0300000000002</v>
      </c>
      <c r="H35" s="186">
        <f>G35/G36</f>
        <v>0.14753308059065001</v>
      </c>
      <c r="I35" s="32"/>
      <c r="J35" s="32">
        <f>SUM(J25:J34)</f>
        <v>34874.15</v>
      </c>
    </row>
    <row r="36" spans="1:10" s="12" customFormat="1" ht="14.25" customHeight="1" x14ac:dyDescent="0.2">
      <c r="A36" s="2"/>
      <c r="B36" s="2"/>
      <c r="C36" s="104" t="s">
        <v>301</v>
      </c>
      <c r="D36" s="2"/>
      <c r="E36" s="167"/>
      <c r="F36" s="32"/>
      <c r="G36" s="32">
        <f>G35+G24</f>
        <v>17548.810000000001</v>
      </c>
      <c r="H36" s="191">
        <v>1</v>
      </c>
      <c r="I36" s="192"/>
      <c r="J36" s="193">
        <f>J35+J24</f>
        <v>236382.39</v>
      </c>
    </row>
    <row r="37" spans="1:10" ht="30" customHeight="1" x14ac:dyDescent="0.25">
      <c r="A37" s="2"/>
      <c r="B37" s="266" t="s">
        <v>302</v>
      </c>
      <c r="C37" s="266"/>
      <c r="D37" s="266"/>
      <c r="E37" s="266"/>
      <c r="F37" s="266"/>
      <c r="G37" s="266"/>
      <c r="H37" s="266"/>
      <c r="I37" s="266"/>
      <c r="J37" s="266"/>
    </row>
    <row r="38" spans="1:10" x14ac:dyDescent="0.25">
      <c r="A38" s="2"/>
      <c r="B38" s="262" t="s">
        <v>303</v>
      </c>
      <c r="C38" s="262"/>
      <c r="D38" s="259"/>
      <c r="E38" s="263"/>
      <c r="F38" s="264"/>
      <c r="G38" s="264"/>
      <c r="H38" s="265"/>
      <c r="I38" s="184"/>
      <c r="J38" s="184"/>
    </row>
    <row r="39" spans="1:10" x14ac:dyDescent="0.25">
      <c r="A39" s="2">
        <v>18</v>
      </c>
      <c r="B39" s="143" t="s">
        <v>304</v>
      </c>
      <c r="C39" s="8" t="s">
        <v>152</v>
      </c>
      <c r="D39" s="2" t="s">
        <v>153</v>
      </c>
      <c r="E39" s="144">
        <v>6</v>
      </c>
      <c r="F39" s="32">
        <f>ROUND(I39/'Прил. 10'!$D$14,2)</f>
        <v>168690.1</v>
      </c>
      <c r="G39" s="32">
        <f>ROUND(E39*F39,2)</f>
        <v>1012140.6</v>
      </c>
      <c r="H39" s="183">
        <f t="shared" ref="H39:H44" si="3">G39/$G$44</f>
        <v>0.95343366571204002</v>
      </c>
      <c r="I39" s="32">
        <v>1056000</v>
      </c>
      <c r="J39" s="189">
        <f>ROUND(I39*E39,2)</f>
        <v>6336000</v>
      </c>
    </row>
    <row r="40" spans="1:10" x14ac:dyDescent="0.25">
      <c r="A40" s="2"/>
      <c r="B40" s="2"/>
      <c r="C40" s="8" t="s">
        <v>305</v>
      </c>
      <c r="D40" s="2"/>
      <c r="E40" s="167"/>
      <c r="F40" s="32"/>
      <c r="G40" s="32">
        <f>G39</f>
        <v>1012140.6</v>
      </c>
      <c r="H40" s="183">
        <f t="shared" si="3"/>
        <v>0.95343366571204002</v>
      </c>
      <c r="I40" s="190"/>
      <c r="J40" s="32">
        <f>J39</f>
        <v>6336000</v>
      </c>
    </row>
    <row r="41" spans="1:10" ht="25.5" customHeight="1" outlineLevel="1" x14ac:dyDescent="0.25">
      <c r="A41" s="2">
        <v>19</v>
      </c>
      <c r="B41" s="143" t="s">
        <v>151</v>
      </c>
      <c r="C41" s="8" t="s">
        <v>154</v>
      </c>
      <c r="D41" s="2" t="s">
        <v>153</v>
      </c>
      <c r="E41" s="144">
        <v>2</v>
      </c>
      <c r="F41" s="32">
        <f>ROUND(I41/'Прил. 10'!$D$14,2)</f>
        <v>20669.939999999999</v>
      </c>
      <c r="G41" s="32">
        <f>ROUND(E41*F41,2)</f>
        <v>41339.879999999997</v>
      </c>
      <c r="H41" s="183">
        <f t="shared" si="3"/>
        <v>3.8942053434567997E-2</v>
      </c>
      <c r="I41" s="32">
        <v>129393.82</v>
      </c>
      <c r="J41" s="189">
        <f>ROUND(I41*E41,2)</f>
        <v>258787.64</v>
      </c>
    </row>
    <row r="42" spans="1:10" ht="25.5" customHeight="1" outlineLevel="1" x14ac:dyDescent="0.25">
      <c r="A42" s="2">
        <v>20</v>
      </c>
      <c r="B42" s="143" t="s">
        <v>151</v>
      </c>
      <c r="C42" s="8" t="s">
        <v>155</v>
      </c>
      <c r="D42" s="2" t="s">
        <v>153</v>
      </c>
      <c r="E42" s="144">
        <v>2</v>
      </c>
      <c r="F42" s="32">
        <f>ROUND(I42/'Прил. 10'!$D$14,2)</f>
        <v>4046.87</v>
      </c>
      <c r="G42" s="32">
        <f>ROUND(E42*F42,2)</f>
        <v>8093.74</v>
      </c>
      <c r="H42" s="183">
        <f t="shared" si="3"/>
        <v>7.6242808533914996E-3</v>
      </c>
      <c r="I42" s="32">
        <v>25333.41</v>
      </c>
      <c r="J42" s="189">
        <f>ROUND(I42*E42,2)</f>
        <v>50666.82</v>
      </c>
    </row>
    <row r="43" spans="1:10" x14ac:dyDescent="0.25">
      <c r="A43" s="2"/>
      <c r="B43" s="2"/>
      <c r="C43" s="8" t="s">
        <v>306</v>
      </c>
      <c r="D43" s="2"/>
      <c r="E43" s="167"/>
      <c r="F43" s="103"/>
      <c r="G43" s="32">
        <f>SUM(G41:G42)</f>
        <v>49433.62</v>
      </c>
      <c r="H43" s="183">
        <f t="shared" si="3"/>
        <v>4.6566334287959997E-2</v>
      </c>
      <c r="I43" s="190"/>
      <c r="J43" s="32">
        <f>SUM(J41:J42)</f>
        <v>309454.46000000002</v>
      </c>
    </row>
    <row r="44" spans="1:10" x14ac:dyDescent="0.25">
      <c r="A44" s="2"/>
      <c r="B44" s="2"/>
      <c r="C44" s="104" t="s">
        <v>307</v>
      </c>
      <c r="D44" s="2"/>
      <c r="E44" s="167"/>
      <c r="F44" s="103"/>
      <c r="G44" s="32">
        <f>G40+G43</f>
        <v>1061574.22</v>
      </c>
      <c r="H44" s="183">
        <f t="shared" si="3"/>
        <v>1</v>
      </c>
      <c r="I44" s="190"/>
      <c r="J44" s="32">
        <f>J43+J40</f>
        <v>6645454.46</v>
      </c>
    </row>
    <row r="45" spans="1:10" x14ac:dyDescent="0.25">
      <c r="A45" s="2"/>
      <c r="B45" s="2"/>
      <c r="C45" s="8" t="s">
        <v>308</v>
      </c>
      <c r="D45" s="2"/>
      <c r="E45" s="144"/>
      <c r="F45" s="103"/>
      <c r="G45" s="32">
        <f>'Прил.6 Расчет ОБ'!G15</f>
        <v>1061574.22</v>
      </c>
      <c r="H45" s="183"/>
      <c r="I45" s="190"/>
      <c r="J45" s="32">
        <f>J44</f>
        <v>6645454.46</v>
      </c>
    </row>
    <row r="46" spans="1:10" s="12" customFormat="1" ht="41.25" customHeight="1" x14ac:dyDescent="0.2">
      <c r="A46" s="2"/>
      <c r="B46" s="266" t="s">
        <v>309</v>
      </c>
      <c r="C46" s="266"/>
      <c r="D46" s="266"/>
      <c r="E46" s="266"/>
      <c r="F46" s="266"/>
      <c r="G46" s="266"/>
      <c r="H46" s="266"/>
      <c r="I46" s="266"/>
      <c r="J46" s="266"/>
    </row>
    <row r="47" spans="1:10" s="12" customFormat="1" ht="14.25" customHeight="1" x14ac:dyDescent="0.2">
      <c r="A47" s="2"/>
      <c r="B47" s="262" t="s">
        <v>310</v>
      </c>
      <c r="C47" s="262"/>
      <c r="D47" s="259"/>
      <c r="E47" s="263"/>
      <c r="F47" s="264"/>
      <c r="G47" s="264"/>
      <c r="H47" s="265"/>
      <c r="I47" s="184"/>
      <c r="J47" s="184"/>
    </row>
    <row r="48" spans="1:10" s="12" customFormat="1" ht="25.5" customHeight="1" x14ac:dyDescent="0.2">
      <c r="A48" s="2">
        <v>21</v>
      </c>
      <c r="B48" s="226" t="s">
        <v>157</v>
      </c>
      <c r="C48" s="201" t="s">
        <v>158</v>
      </c>
      <c r="D48" s="202" t="s">
        <v>153</v>
      </c>
      <c r="E48" s="203">
        <v>6</v>
      </c>
      <c r="F48" s="204">
        <v>1983.15</v>
      </c>
      <c r="G48" s="32">
        <f t="shared" ref="G48:G53" si="4">ROUND(E48*F48,2)</f>
        <v>11898.9</v>
      </c>
      <c r="H48" s="186">
        <f t="shared" ref="H48:H82" si="5">G48/$G$84</f>
        <v>0.42312646107695001</v>
      </c>
      <c r="I48" s="32">
        <f>ROUND(F48*'Прил. 10'!$D$13,2)</f>
        <v>15944.53</v>
      </c>
      <c r="J48" s="32">
        <f t="shared" ref="J48:J53" si="6">ROUND(I48*E48,2)</f>
        <v>95667.18</v>
      </c>
    </row>
    <row r="49" spans="1:10" s="12" customFormat="1" ht="25.5" customHeight="1" x14ac:dyDescent="0.2">
      <c r="A49" s="2">
        <v>22</v>
      </c>
      <c r="B49" s="143" t="s">
        <v>159</v>
      </c>
      <c r="C49" s="8" t="s">
        <v>160</v>
      </c>
      <c r="D49" s="2" t="s">
        <v>161</v>
      </c>
      <c r="E49" s="144">
        <v>5.3999999999999999E-2</v>
      </c>
      <c r="F49" s="32">
        <v>98440.41</v>
      </c>
      <c r="G49" s="32">
        <f t="shared" si="4"/>
        <v>5315.78</v>
      </c>
      <c r="H49" s="186">
        <f t="shared" si="5"/>
        <v>0.18902984135202</v>
      </c>
      <c r="I49" s="32">
        <f>ROUND(F49*'Прил. 10'!$D$13,2)</f>
        <v>791460.9</v>
      </c>
      <c r="J49" s="32">
        <f t="shared" si="6"/>
        <v>42738.89</v>
      </c>
    </row>
    <row r="50" spans="1:10" s="12" customFormat="1" ht="14.25" customHeight="1" x14ac:dyDescent="0.2">
      <c r="A50" s="199">
        <v>23</v>
      </c>
      <c r="B50" s="167" t="s">
        <v>162</v>
      </c>
      <c r="C50" s="8" t="s">
        <v>163</v>
      </c>
      <c r="D50" s="2" t="s">
        <v>161</v>
      </c>
      <c r="E50" s="144">
        <v>9.6000000000000002E-2</v>
      </c>
      <c r="F50" s="32">
        <v>38348.22</v>
      </c>
      <c r="G50" s="32">
        <f t="shared" si="4"/>
        <v>3681.43</v>
      </c>
      <c r="H50" s="186">
        <f t="shared" si="5"/>
        <v>0.13091213873572</v>
      </c>
      <c r="I50" s="32">
        <f>ROUND(F50*'Прил. 10'!$D$13,2)</f>
        <v>308319.69</v>
      </c>
      <c r="J50" s="32">
        <f t="shared" si="6"/>
        <v>29598.69</v>
      </c>
    </row>
    <row r="51" spans="1:10" s="12" customFormat="1" ht="31.5" customHeight="1" x14ac:dyDescent="0.2">
      <c r="A51" s="199">
        <v>24</v>
      </c>
      <c r="B51" s="167" t="s">
        <v>164</v>
      </c>
      <c r="C51" s="8" t="s">
        <v>165</v>
      </c>
      <c r="D51" s="2" t="s">
        <v>166</v>
      </c>
      <c r="E51" s="144">
        <v>5.2150000000000002E-2</v>
      </c>
      <c r="F51" s="32">
        <v>34500.53</v>
      </c>
      <c r="G51" s="32">
        <f t="shared" si="4"/>
        <v>1799.2</v>
      </c>
      <c r="H51" s="186">
        <f t="shared" si="5"/>
        <v>6.3979790465475E-2</v>
      </c>
      <c r="I51" s="32">
        <f>ROUND(F51*'Прил. 10'!$D$13,2)</f>
        <v>277384.26</v>
      </c>
      <c r="J51" s="32">
        <f t="shared" si="6"/>
        <v>14465.59</v>
      </c>
    </row>
    <row r="52" spans="1:10" s="12" customFormat="1" ht="31.5" customHeight="1" x14ac:dyDescent="0.2">
      <c r="A52" s="199">
        <v>25</v>
      </c>
      <c r="B52" s="167" t="s">
        <v>167</v>
      </c>
      <c r="C52" s="8" t="s">
        <v>168</v>
      </c>
      <c r="D52" s="2" t="s">
        <v>169</v>
      </c>
      <c r="E52" s="144">
        <v>0.18</v>
      </c>
      <c r="F52" s="32">
        <v>6505</v>
      </c>
      <c r="G52" s="32">
        <f t="shared" si="4"/>
        <v>1170.9000000000001</v>
      </c>
      <c r="H52" s="186">
        <f t="shared" si="5"/>
        <v>4.1637359190765E-2</v>
      </c>
      <c r="I52" s="32">
        <f>ROUND(F52*'Прил. 10'!$D$13,2)</f>
        <v>52300.2</v>
      </c>
      <c r="J52" s="32">
        <f t="shared" si="6"/>
        <v>9414.0400000000009</v>
      </c>
    </row>
    <row r="53" spans="1:10" s="12" customFormat="1" ht="47.25" customHeight="1" x14ac:dyDescent="0.2">
      <c r="A53" s="199">
        <v>26</v>
      </c>
      <c r="B53" s="167" t="s">
        <v>170</v>
      </c>
      <c r="C53" s="8" t="s">
        <v>171</v>
      </c>
      <c r="D53" s="2" t="s">
        <v>172</v>
      </c>
      <c r="E53" s="144">
        <v>0.56000000000000005</v>
      </c>
      <c r="F53" s="32">
        <v>1837.28</v>
      </c>
      <c r="G53" s="32">
        <f t="shared" si="4"/>
        <v>1028.8800000000001</v>
      </c>
      <c r="H53" s="186">
        <f t="shared" si="5"/>
        <v>3.6587109167473E-2</v>
      </c>
      <c r="I53" s="32">
        <f>ROUND(F53*'Прил. 10'!$D$13,2)</f>
        <v>14771.73</v>
      </c>
      <c r="J53" s="32">
        <f t="shared" si="6"/>
        <v>8272.17</v>
      </c>
    </row>
    <row r="54" spans="1:10" s="12" customFormat="1" ht="14.25" customHeight="1" x14ac:dyDescent="0.2">
      <c r="A54" s="2"/>
      <c r="B54" s="2"/>
      <c r="C54" s="8" t="s">
        <v>311</v>
      </c>
      <c r="D54" s="2"/>
      <c r="E54" s="144"/>
      <c r="F54" s="32"/>
      <c r="G54" s="32">
        <f>SUM(G48:G53)</f>
        <v>24895.09</v>
      </c>
      <c r="H54" s="183">
        <f t="shared" si="5"/>
        <v>0.88527269998840996</v>
      </c>
      <c r="I54" s="190"/>
      <c r="J54" s="32">
        <f>SUM(J48:J53)</f>
        <v>200156.56</v>
      </c>
    </row>
    <row r="55" spans="1:10" s="12" customFormat="1" ht="14.25" customHeight="1" outlineLevel="1" x14ac:dyDescent="0.2">
      <c r="A55" s="2">
        <v>27</v>
      </c>
      <c r="B55" s="167" t="s">
        <v>173</v>
      </c>
      <c r="C55" s="8" t="s">
        <v>174</v>
      </c>
      <c r="D55" s="2" t="s">
        <v>175</v>
      </c>
      <c r="E55" s="144">
        <v>2</v>
      </c>
      <c r="F55" s="32">
        <v>485.39</v>
      </c>
      <c r="G55" s="32">
        <f t="shared" ref="G55:G82" si="7">ROUND(E55*F55,2)</f>
        <v>970.78</v>
      </c>
      <c r="H55" s="186">
        <f t="shared" si="5"/>
        <v>3.4521065466915003E-2</v>
      </c>
      <c r="I55" s="32">
        <f>ROUND(F55*'Прил. 10'!$D$13,2)</f>
        <v>3902.54</v>
      </c>
      <c r="J55" s="32">
        <f t="shared" ref="J55:J82" si="8">ROUND(I55*E55,2)</f>
        <v>7805.08</v>
      </c>
    </row>
    <row r="56" spans="1:10" s="12" customFormat="1" ht="51" customHeight="1" outlineLevel="1" x14ac:dyDescent="0.2">
      <c r="A56" s="2">
        <v>28</v>
      </c>
      <c r="B56" s="167" t="s">
        <v>179</v>
      </c>
      <c r="C56" s="8" t="s">
        <v>180</v>
      </c>
      <c r="D56" s="2" t="s">
        <v>153</v>
      </c>
      <c r="E56" s="144">
        <v>2</v>
      </c>
      <c r="F56" s="32">
        <v>240.8</v>
      </c>
      <c r="G56" s="32">
        <f t="shared" si="7"/>
        <v>481.6</v>
      </c>
      <c r="H56" s="186">
        <f t="shared" si="5"/>
        <v>1.7125759831132001E-2</v>
      </c>
      <c r="I56" s="32">
        <f>ROUND(F56*'Прил. 10'!$D$13,2)</f>
        <v>1936.03</v>
      </c>
      <c r="J56" s="32">
        <f t="shared" si="8"/>
        <v>3872.06</v>
      </c>
    </row>
    <row r="57" spans="1:10" s="12" customFormat="1" ht="14.25" customHeight="1" outlineLevel="1" x14ac:dyDescent="0.2">
      <c r="A57" s="199">
        <v>29</v>
      </c>
      <c r="B57" s="167" t="s">
        <v>176</v>
      </c>
      <c r="C57" s="8" t="s">
        <v>177</v>
      </c>
      <c r="D57" s="2" t="s">
        <v>178</v>
      </c>
      <c r="E57" s="144">
        <v>8</v>
      </c>
      <c r="F57" s="32">
        <v>50</v>
      </c>
      <c r="G57" s="32">
        <f t="shared" si="7"/>
        <v>400</v>
      </c>
      <c r="H57" s="186">
        <f t="shared" si="5"/>
        <v>1.422405301589E-2</v>
      </c>
      <c r="I57" s="32">
        <f>ROUND(F57*'Прил. 10'!$D$13,2)</f>
        <v>402</v>
      </c>
      <c r="J57" s="32">
        <f t="shared" si="8"/>
        <v>3216</v>
      </c>
    </row>
    <row r="58" spans="1:10" s="12" customFormat="1" ht="25.5" customHeight="1" outlineLevel="1" x14ac:dyDescent="0.2">
      <c r="A58" s="199">
        <v>30</v>
      </c>
      <c r="B58" s="167" t="s">
        <v>181</v>
      </c>
      <c r="C58" s="8" t="s">
        <v>182</v>
      </c>
      <c r="D58" s="2" t="s">
        <v>183</v>
      </c>
      <c r="E58" s="144">
        <v>236.2516</v>
      </c>
      <c r="F58" s="32">
        <v>1</v>
      </c>
      <c r="G58" s="32">
        <f t="shared" si="7"/>
        <v>236.25</v>
      </c>
      <c r="H58" s="186">
        <f t="shared" si="5"/>
        <v>8.4010813125103001E-3</v>
      </c>
      <c r="I58" s="32">
        <f>ROUND(F58*'Прил. 10'!$D$13,2)</f>
        <v>8.0399999999999991</v>
      </c>
      <c r="J58" s="32">
        <f t="shared" si="8"/>
        <v>1899.46</v>
      </c>
    </row>
    <row r="59" spans="1:10" s="12" customFormat="1" ht="14.25" customHeight="1" outlineLevel="1" x14ac:dyDescent="0.2">
      <c r="A59" s="199">
        <v>31</v>
      </c>
      <c r="B59" s="167" t="s">
        <v>184</v>
      </c>
      <c r="C59" s="8" t="s">
        <v>185</v>
      </c>
      <c r="D59" s="2" t="s">
        <v>172</v>
      </c>
      <c r="E59" s="144">
        <v>2</v>
      </c>
      <c r="F59" s="32">
        <v>108.4</v>
      </c>
      <c r="G59" s="32">
        <f t="shared" si="7"/>
        <v>216.8</v>
      </c>
      <c r="H59" s="186">
        <f t="shared" si="5"/>
        <v>7.7094367346126E-3</v>
      </c>
      <c r="I59" s="32">
        <f>ROUND(F59*'Прил. 10'!$D$13,2)</f>
        <v>871.54</v>
      </c>
      <c r="J59" s="32">
        <f t="shared" si="8"/>
        <v>1743.08</v>
      </c>
    </row>
    <row r="60" spans="1:10" s="12" customFormat="1" ht="25.5" customHeight="1" outlineLevel="1" x14ac:dyDescent="0.2">
      <c r="A60" s="199">
        <v>32</v>
      </c>
      <c r="B60" s="167" t="s">
        <v>186</v>
      </c>
      <c r="C60" s="8" t="s">
        <v>187</v>
      </c>
      <c r="D60" s="2" t="s">
        <v>166</v>
      </c>
      <c r="E60" s="144">
        <v>3.8600000000000002E-2</v>
      </c>
      <c r="F60" s="32">
        <v>5000</v>
      </c>
      <c r="G60" s="32">
        <f t="shared" si="7"/>
        <v>193</v>
      </c>
      <c r="H60" s="186">
        <f t="shared" si="5"/>
        <v>6.8631055801670997E-3</v>
      </c>
      <c r="I60" s="32">
        <f>ROUND(F60*'Прил. 10'!$D$13,2)</f>
        <v>40200</v>
      </c>
      <c r="J60" s="32">
        <f t="shared" si="8"/>
        <v>1551.72</v>
      </c>
    </row>
    <row r="61" spans="1:10" s="12" customFormat="1" ht="14.25" customHeight="1" outlineLevel="1" x14ac:dyDescent="0.2">
      <c r="A61" s="199">
        <v>33</v>
      </c>
      <c r="B61" s="167" t="s">
        <v>188</v>
      </c>
      <c r="C61" s="8" t="s">
        <v>189</v>
      </c>
      <c r="D61" s="2" t="s">
        <v>178</v>
      </c>
      <c r="E61" s="144">
        <v>15.378</v>
      </c>
      <c r="F61" s="32">
        <v>9.0399999999999991</v>
      </c>
      <c r="G61" s="32">
        <f t="shared" si="7"/>
        <v>139.02000000000001</v>
      </c>
      <c r="H61" s="186">
        <f t="shared" si="5"/>
        <v>4.9435696256727004E-3</v>
      </c>
      <c r="I61" s="32">
        <f>ROUND(F61*'Прил. 10'!$D$13,2)</f>
        <v>72.680000000000007</v>
      </c>
      <c r="J61" s="32">
        <f t="shared" si="8"/>
        <v>1117.67</v>
      </c>
    </row>
    <row r="62" spans="1:10" s="12" customFormat="1" ht="14.25" customHeight="1" outlineLevel="1" x14ac:dyDescent="0.2">
      <c r="A62" s="199">
        <v>34</v>
      </c>
      <c r="B62" s="167" t="s">
        <v>190</v>
      </c>
      <c r="C62" s="8" t="s">
        <v>191</v>
      </c>
      <c r="D62" s="2" t="s">
        <v>166</v>
      </c>
      <c r="E62" s="144">
        <v>1.8839999999999999E-2</v>
      </c>
      <c r="F62" s="32">
        <v>6159.22</v>
      </c>
      <c r="G62" s="32">
        <f t="shared" si="7"/>
        <v>116.04</v>
      </c>
      <c r="H62" s="186">
        <f t="shared" si="5"/>
        <v>4.1263977799098003E-3</v>
      </c>
      <c r="I62" s="32">
        <f>ROUND(F62*'Прил. 10'!$D$13,2)</f>
        <v>49520.13</v>
      </c>
      <c r="J62" s="32">
        <f t="shared" si="8"/>
        <v>932.96</v>
      </c>
    </row>
    <row r="63" spans="1:10" s="12" customFormat="1" ht="25.5" customHeight="1" outlineLevel="1" x14ac:dyDescent="0.2">
      <c r="A63" s="199">
        <v>35</v>
      </c>
      <c r="B63" s="167" t="s">
        <v>192</v>
      </c>
      <c r="C63" s="8" t="s">
        <v>193</v>
      </c>
      <c r="D63" s="2" t="s">
        <v>166</v>
      </c>
      <c r="E63" s="144">
        <v>0.01</v>
      </c>
      <c r="F63" s="32">
        <v>11500</v>
      </c>
      <c r="G63" s="32">
        <f t="shared" si="7"/>
        <v>115</v>
      </c>
      <c r="H63" s="186">
        <f t="shared" si="5"/>
        <v>4.0894152420684997E-3</v>
      </c>
      <c r="I63" s="32">
        <f>ROUND(F63*'Прил. 10'!$D$13,2)</f>
        <v>92460</v>
      </c>
      <c r="J63" s="32">
        <f t="shared" si="8"/>
        <v>924.6</v>
      </c>
    </row>
    <row r="64" spans="1:10" s="12" customFormat="1" ht="14.25" customHeight="1" outlineLevel="1" x14ac:dyDescent="0.2">
      <c r="A64" s="199">
        <v>36</v>
      </c>
      <c r="B64" s="167" t="s">
        <v>194</v>
      </c>
      <c r="C64" s="8" t="s">
        <v>195</v>
      </c>
      <c r="D64" s="2" t="s">
        <v>178</v>
      </c>
      <c r="E64" s="144">
        <v>2.6840000000000002</v>
      </c>
      <c r="F64" s="32">
        <v>28.6</v>
      </c>
      <c r="G64" s="32">
        <f t="shared" si="7"/>
        <v>76.760000000000005</v>
      </c>
      <c r="H64" s="186">
        <f t="shared" si="5"/>
        <v>2.7295957737494001E-3</v>
      </c>
      <c r="I64" s="32">
        <f>ROUND(F64*'Прил. 10'!$D$13,2)</f>
        <v>229.94</v>
      </c>
      <c r="J64" s="32">
        <f t="shared" si="8"/>
        <v>617.16</v>
      </c>
    </row>
    <row r="65" spans="1:10" s="12" customFormat="1" ht="14.25" customHeight="1" outlineLevel="1" x14ac:dyDescent="0.2">
      <c r="A65" s="199">
        <v>37</v>
      </c>
      <c r="B65" s="155" t="s">
        <v>196</v>
      </c>
      <c r="C65" s="174" t="s">
        <v>197</v>
      </c>
      <c r="D65" s="158" t="s">
        <v>178</v>
      </c>
      <c r="E65" s="167">
        <v>0.27600000000000002</v>
      </c>
      <c r="F65" s="32">
        <v>238.48</v>
      </c>
      <c r="G65" s="32">
        <f t="shared" si="7"/>
        <v>65.819999999999993</v>
      </c>
      <c r="H65" s="186">
        <f t="shared" si="5"/>
        <v>2.3405679237647999E-3</v>
      </c>
      <c r="I65" s="32">
        <f>ROUND(F65*'Прил. 10'!$D$13,2)</f>
        <v>1917.38</v>
      </c>
      <c r="J65" s="32">
        <f t="shared" si="8"/>
        <v>529.20000000000005</v>
      </c>
    </row>
    <row r="66" spans="1:10" s="12" customFormat="1" ht="14.25" customHeight="1" outlineLevel="1" x14ac:dyDescent="0.2">
      <c r="A66" s="199">
        <v>38</v>
      </c>
      <c r="B66" s="167" t="s">
        <v>198</v>
      </c>
      <c r="C66" s="8" t="s">
        <v>199</v>
      </c>
      <c r="D66" s="2" t="s">
        <v>169</v>
      </c>
      <c r="E66" s="144">
        <v>0.82</v>
      </c>
      <c r="F66" s="32">
        <v>63</v>
      </c>
      <c r="G66" s="32">
        <f t="shared" si="7"/>
        <v>51.66</v>
      </c>
      <c r="H66" s="186">
        <f t="shared" si="5"/>
        <v>1.8370364470022E-3</v>
      </c>
      <c r="I66" s="32">
        <f>ROUND(F66*'Прил. 10'!$D$13,2)</f>
        <v>506.52</v>
      </c>
      <c r="J66" s="32">
        <f t="shared" si="8"/>
        <v>415.35</v>
      </c>
    </row>
    <row r="67" spans="1:10" s="12" customFormat="1" ht="25.5" customHeight="1" outlineLevel="1" x14ac:dyDescent="0.2">
      <c r="A67" s="199">
        <v>39</v>
      </c>
      <c r="B67" s="167" t="s">
        <v>200</v>
      </c>
      <c r="C67" s="8" t="s">
        <v>201</v>
      </c>
      <c r="D67" s="2" t="s">
        <v>202</v>
      </c>
      <c r="E67" s="144">
        <v>0.2</v>
      </c>
      <c r="F67" s="32">
        <v>194.2</v>
      </c>
      <c r="G67" s="32">
        <f t="shared" si="7"/>
        <v>38.840000000000003</v>
      </c>
      <c r="H67" s="186">
        <f t="shared" si="5"/>
        <v>1.3811555478429999E-3</v>
      </c>
      <c r="I67" s="32">
        <f>ROUND(F67*'Прил. 10'!$D$13,2)</f>
        <v>1561.37</v>
      </c>
      <c r="J67" s="32">
        <f t="shared" si="8"/>
        <v>312.27</v>
      </c>
    </row>
    <row r="68" spans="1:10" s="12" customFormat="1" ht="30.75" customHeight="1" outlineLevel="1" x14ac:dyDescent="0.2">
      <c r="A68" s="199">
        <v>40</v>
      </c>
      <c r="B68" s="167" t="s">
        <v>203</v>
      </c>
      <c r="C68" s="8" t="s">
        <v>204</v>
      </c>
      <c r="D68" s="2" t="s">
        <v>166</v>
      </c>
      <c r="E68" s="144">
        <v>1.6000000000000001E-3</v>
      </c>
      <c r="F68" s="32">
        <v>17500</v>
      </c>
      <c r="G68" s="32">
        <f t="shared" si="7"/>
        <v>28</v>
      </c>
      <c r="H68" s="186">
        <f t="shared" si="5"/>
        <v>9.9568371111233007E-4</v>
      </c>
      <c r="I68" s="32">
        <f>ROUND(F68*'Прил. 10'!$D$13,2)</f>
        <v>140700</v>
      </c>
      <c r="J68" s="32">
        <f t="shared" si="8"/>
        <v>225.12</v>
      </c>
    </row>
    <row r="69" spans="1:10" s="12" customFormat="1" ht="14.25" customHeight="1" outlineLevel="1" x14ac:dyDescent="0.2">
      <c r="A69" s="199">
        <v>41</v>
      </c>
      <c r="B69" s="167" t="s">
        <v>205</v>
      </c>
      <c r="C69" s="8" t="s">
        <v>206</v>
      </c>
      <c r="D69" s="2" t="s">
        <v>178</v>
      </c>
      <c r="E69" s="144">
        <v>2.0960000000000001</v>
      </c>
      <c r="F69" s="32">
        <v>10.57</v>
      </c>
      <c r="G69" s="32">
        <f t="shared" si="7"/>
        <v>22.15</v>
      </c>
      <c r="H69" s="186">
        <f t="shared" si="5"/>
        <v>7.8765693575493E-4</v>
      </c>
      <c r="I69" s="32">
        <f>ROUND(F69*'Прил. 10'!$D$13,2)</f>
        <v>84.98</v>
      </c>
      <c r="J69" s="32">
        <f t="shared" si="8"/>
        <v>178.12</v>
      </c>
    </row>
    <row r="70" spans="1:10" s="12" customFormat="1" ht="14.25" customHeight="1" outlineLevel="1" x14ac:dyDescent="0.2">
      <c r="A70" s="199">
        <v>42</v>
      </c>
      <c r="B70" s="167" t="s">
        <v>207</v>
      </c>
      <c r="C70" s="8" t="s">
        <v>208</v>
      </c>
      <c r="D70" s="2" t="s">
        <v>209</v>
      </c>
      <c r="E70" s="144">
        <v>0.252</v>
      </c>
      <c r="F70" s="32">
        <v>79.099999999999994</v>
      </c>
      <c r="G70" s="32">
        <f t="shared" si="7"/>
        <v>19.93</v>
      </c>
      <c r="H70" s="186">
        <f t="shared" si="5"/>
        <v>7.0871344151673997E-4</v>
      </c>
      <c r="I70" s="32">
        <f>ROUND(F70*'Прил. 10'!$D$13,2)</f>
        <v>635.96</v>
      </c>
      <c r="J70" s="32">
        <f t="shared" si="8"/>
        <v>160.26</v>
      </c>
    </row>
    <row r="71" spans="1:10" s="12" customFormat="1" ht="25.5" customHeight="1" outlineLevel="1" x14ac:dyDescent="0.2">
      <c r="A71" s="199">
        <v>43</v>
      </c>
      <c r="B71" s="167" t="s">
        <v>210</v>
      </c>
      <c r="C71" s="8" t="s">
        <v>211</v>
      </c>
      <c r="D71" s="2" t="s">
        <v>212</v>
      </c>
      <c r="E71" s="144">
        <v>0.95</v>
      </c>
      <c r="F71" s="32">
        <v>15.13</v>
      </c>
      <c r="G71" s="32">
        <f t="shared" si="7"/>
        <v>14.37</v>
      </c>
      <c r="H71" s="186">
        <f t="shared" si="5"/>
        <v>5.1099910459586001E-4</v>
      </c>
      <c r="I71" s="32">
        <f>ROUND(F71*'Прил. 10'!$D$13,2)</f>
        <v>121.65</v>
      </c>
      <c r="J71" s="32">
        <f t="shared" si="8"/>
        <v>115.57</v>
      </c>
    </row>
    <row r="72" spans="1:10" s="12" customFormat="1" ht="14.25" customHeight="1" outlineLevel="1" x14ac:dyDescent="0.2">
      <c r="A72" s="199">
        <v>44</v>
      </c>
      <c r="B72" s="167" t="s">
        <v>213</v>
      </c>
      <c r="C72" s="8" t="s">
        <v>214</v>
      </c>
      <c r="D72" s="2" t="s">
        <v>169</v>
      </c>
      <c r="E72" s="144">
        <v>0.15040000000000001</v>
      </c>
      <c r="F72" s="32">
        <v>86</v>
      </c>
      <c r="G72" s="32">
        <f t="shared" si="7"/>
        <v>12.93</v>
      </c>
      <c r="H72" s="186">
        <f t="shared" si="5"/>
        <v>4.5979251373866E-4</v>
      </c>
      <c r="I72" s="32">
        <f>ROUND(F72*'Прил. 10'!$D$13,2)</f>
        <v>691.44</v>
      </c>
      <c r="J72" s="32">
        <f t="shared" si="8"/>
        <v>103.99</v>
      </c>
    </row>
    <row r="73" spans="1:10" s="12" customFormat="1" ht="14.25" customHeight="1" outlineLevel="1" x14ac:dyDescent="0.2">
      <c r="A73" s="199">
        <v>45</v>
      </c>
      <c r="B73" s="167" t="s">
        <v>215</v>
      </c>
      <c r="C73" s="8" t="s">
        <v>216</v>
      </c>
      <c r="D73" s="2" t="s">
        <v>202</v>
      </c>
      <c r="E73" s="144">
        <v>0.2</v>
      </c>
      <c r="F73" s="32">
        <v>39</v>
      </c>
      <c r="G73" s="32">
        <f t="shared" si="7"/>
        <v>7.8</v>
      </c>
      <c r="H73" s="186">
        <f t="shared" si="5"/>
        <v>2.7736903380985999E-4</v>
      </c>
      <c r="I73" s="32">
        <f>ROUND(F73*'Прил. 10'!$D$13,2)</f>
        <v>313.56</v>
      </c>
      <c r="J73" s="32">
        <f t="shared" si="8"/>
        <v>62.71</v>
      </c>
    </row>
    <row r="74" spans="1:10" s="12" customFormat="1" ht="25.5" customHeight="1" outlineLevel="1" x14ac:dyDescent="0.2">
      <c r="A74" s="199">
        <v>46</v>
      </c>
      <c r="B74" s="167" t="s">
        <v>217</v>
      </c>
      <c r="C74" s="8" t="s">
        <v>218</v>
      </c>
      <c r="D74" s="2" t="s">
        <v>166</v>
      </c>
      <c r="E74" s="144">
        <v>1E-3</v>
      </c>
      <c r="F74" s="32">
        <v>5941.89</v>
      </c>
      <c r="G74" s="32">
        <f t="shared" si="7"/>
        <v>5.94</v>
      </c>
      <c r="H74" s="186">
        <f t="shared" si="5"/>
        <v>2.1122718728596999E-4</v>
      </c>
      <c r="I74" s="32">
        <f>ROUND(F74*'Прил. 10'!$D$13,2)</f>
        <v>47772.800000000003</v>
      </c>
      <c r="J74" s="32">
        <f t="shared" si="8"/>
        <v>47.77</v>
      </c>
    </row>
    <row r="75" spans="1:10" s="12" customFormat="1" ht="25.5" customHeight="1" outlineLevel="1" x14ac:dyDescent="0.2">
      <c r="A75" s="199">
        <v>47</v>
      </c>
      <c r="B75" s="167" t="s">
        <v>219</v>
      </c>
      <c r="C75" s="8" t="s">
        <v>220</v>
      </c>
      <c r="D75" s="2" t="s">
        <v>178</v>
      </c>
      <c r="E75" s="144">
        <v>0.16</v>
      </c>
      <c r="F75" s="32">
        <v>30.4</v>
      </c>
      <c r="G75" s="32">
        <f t="shared" si="7"/>
        <v>4.8600000000000003</v>
      </c>
      <c r="H75" s="186">
        <f t="shared" si="5"/>
        <v>1.7282224414307001E-4</v>
      </c>
      <c r="I75" s="32">
        <f>ROUND(F75*'Прил. 10'!$D$13,2)</f>
        <v>244.42</v>
      </c>
      <c r="J75" s="32">
        <f t="shared" si="8"/>
        <v>39.11</v>
      </c>
    </row>
    <row r="76" spans="1:10" s="12" customFormat="1" ht="14.25" customHeight="1" outlineLevel="1" x14ac:dyDescent="0.2">
      <c r="A76" s="199">
        <v>48</v>
      </c>
      <c r="B76" s="167" t="s">
        <v>221</v>
      </c>
      <c r="C76" s="8" t="s">
        <v>222</v>
      </c>
      <c r="D76" s="2" t="s">
        <v>178</v>
      </c>
      <c r="E76" s="144">
        <v>0.08</v>
      </c>
      <c r="F76" s="32">
        <v>44.97</v>
      </c>
      <c r="G76" s="32">
        <f t="shared" si="7"/>
        <v>3.6</v>
      </c>
      <c r="H76" s="186">
        <f t="shared" si="5"/>
        <v>1.2801647714301E-4</v>
      </c>
      <c r="I76" s="32">
        <f>ROUND(F76*'Прил. 10'!$D$13,2)</f>
        <v>361.56</v>
      </c>
      <c r="J76" s="32">
        <f t="shared" si="8"/>
        <v>28.92</v>
      </c>
    </row>
    <row r="77" spans="1:10" s="12" customFormat="1" ht="14.25" customHeight="1" outlineLevel="1" x14ac:dyDescent="0.2">
      <c r="A77" s="199">
        <v>49</v>
      </c>
      <c r="B77" s="167" t="s">
        <v>223</v>
      </c>
      <c r="C77" s="8" t="s">
        <v>224</v>
      </c>
      <c r="D77" s="2" t="s">
        <v>178</v>
      </c>
      <c r="E77" s="144">
        <v>0.08</v>
      </c>
      <c r="F77" s="32">
        <v>35.630000000000003</v>
      </c>
      <c r="G77" s="32">
        <f t="shared" si="7"/>
        <v>2.85</v>
      </c>
      <c r="H77" s="186">
        <f t="shared" si="5"/>
        <v>1.0134637773822E-4</v>
      </c>
      <c r="I77" s="32">
        <f>ROUND(F77*'Прил. 10'!$D$13,2)</f>
        <v>286.47000000000003</v>
      </c>
      <c r="J77" s="32">
        <f t="shared" si="8"/>
        <v>22.92</v>
      </c>
    </row>
    <row r="78" spans="1:10" s="12" customFormat="1" ht="14.25" customHeight="1" outlineLevel="1" x14ac:dyDescent="0.2">
      <c r="A78" s="199">
        <v>50</v>
      </c>
      <c r="B78" s="167" t="s">
        <v>225</v>
      </c>
      <c r="C78" s="8" t="s">
        <v>226</v>
      </c>
      <c r="D78" s="2" t="s">
        <v>178</v>
      </c>
      <c r="E78" s="144">
        <v>8.0000000000000002E-3</v>
      </c>
      <c r="F78" s="32">
        <v>133.05000000000001</v>
      </c>
      <c r="G78" s="32">
        <f t="shared" si="7"/>
        <v>1.06</v>
      </c>
      <c r="H78" s="186">
        <f t="shared" si="5"/>
        <v>3.7693740492109999E-5</v>
      </c>
      <c r="I78" s="32">
        <f>ROUND(F78*'Прил. 10'!$D$13,2)</f>
        <v>1069.72</v>
      </c>
      <c r="J78" s="32">
        <f t="shared" si="8"/>
        <v>8.56</v>
      </c>
    </row>
    <row r="79" spans="1:10" s="12" customFormat="1" ht="14.25" customHeight="1" outlineLevel="1" x14ac:dyDescent="0.2">
      <c r="A79" s="199">
        <v>51</v>
      </c>
      <c r="B79" s="167" t="s">
        <v>227</v>
      </c>
      <c r="C79" s="8" t="s">
        <v>228</v>
      </c>
      <c r="D79" s="2" t="s">
        <v>169</v>
      </c>
      <c r="E79" s="144">
        <v>0.02</v>
      </c>
      <c r="F79" s="32">
        <v>26.6</v>
      </c>
      <c r="G79" s="32">
        <f t="shared" si="7"/>
        <v>0.53</v>
      </c>
      <c r="H79" s="186">
        <f t="shared" si="5"/>
        <v>1.8846870246054999E-5</v>
      </c>
      <c r="I79" s="32">
        <f>ROUND(F79*'Прил. 10'!$D$13,2)</f>
        <v>213.86</v>
      </c>
      <c r="J79" s="32">
        <f t="shared" si="8"/>
        <v>4.28</v>
      </c>
    </row>
    <row r="80" spans="1:10" s="12" customFormat="1" ht="25.5" customHeight="1" outlineLevel="1" x14ac:dyDescent="0.2">
      <c r="A80" s="199">
        <v>52</v>
      </c>
      <c r="B80" s="167" t="s">
        <v>229</v>
      </c>
      <c r="C80" s="8" t="s">
        <v>230</v>
      </c>
      <c r="D80" s="2" t="s">
        <v>178</v>
      </c>
      <c r="E80" s="144">
        <v>0.01</v>
      </c>
      <c r="F80" s="32">
        <v>28.22</v>
      </c>
      <c r="G80" s="32">
        <f t="shared" si="7"/>
        <v>0.28000000000000003</v>
      </c>
      <c r="H80" s="186">
        <f t="shared" si="5"/>
        <v>9.9568371111232998E-6</v>
      </c>
      <c r="I80" s="32">
        <f>ROUND(F80*'Прил. 10'!$D$13,2)</f>
        <v>226.89</v>
      </c>
      <c r="J80" s="32">
        <f t="shared" si="8"/>
        <v>2.27</v>
      </c>
    </row>
    <row r="81" spans="1:10" s="12" customFormat="1" ht="14.25" customHeight="1" outlineLevel="1" x14ac:dyDescent="0.2">
      <c r="A81" s="199">
        <v>53</v>
      </c>
      <c r="B81" s="167" t="s">
        <v>231</v>
      </c>
      <c r="C81" s="8" t="s">
        <v>232</v>
      </c>
      <c r="D81" s="2" t="s">
        <v>169</v>
      </c>
      <c r="E81" s="144">
        <v>0.12239999999999999</v>
      </c>
      <c r="F81" s="32">
        <v>2</v>
      </c>
      <c r="G81" s="32">
        <f t="shared" si="7"/>
        <v>0.24</v>
      </c>
      <c r="H81" s="186">
        <f t="shared" si="5"/>
        <v>8.5344318095341996E-6</v>
      </c>
      <c r="I81" s="32">
        <f>ROUND(F81*'Прил. 10'!$D$13,2)</f>
        <v>16.079999999999998</v>
      </c>
      <c r="J81" s="32">
        <f t="shared" si="8"/>
        <v>1.97</v>
      </c>
    </row>
    <row r="82" spans="1:10" s="12" customFormat="1" ht="14.25" customHeight="1" outlineLevel="1" x14ac:dyDescent="0.2">
      <c r="A82" s="199">
        <v>54</v>
      </c>
      <c r="B82" s="167" t="s">
        <v>233</v>
      </c>
      <c r="C82" s="8" t="s">
        <v>234</v>
      </c>
      <c r="D82" s="2" t="s">
        <v>178</v>
      </c>
      <c r="E82" s="144">
        <v>1.6E-2</v>
      </c>
      <c r="F82" s="32">
        <v>11.5</v>
      </c>
      <c r="G82" s="32">
        <f t="shared" si="7"/>
        <v>0.18</v>
      </c>
      <c r="H82" s="186">
        <f t="shared" si="5"/>
        <v>6.4008238571507001E-6</v>
      </c>
      <c r="I82" s="32">
        <f>ROUND(F82*'Прил. 10'!$D$13,2)</f>
        <v>92.46</v>
      </c>
      <c r="J82" s="32">
        <f t="shared" si="8"/>
        <v>1.48</v>
      </c>
    </row>
    <row r="83" spans="1:10" s="12" customFormat="1" ht="14.25" customHeight="1" x14ac:dyDescent="0.2">
      <c r="A83" s="2"/>
      <c r="B83" s="2"/>
      <c r="C83" s="8" t="s">
        <v>312</v>
      </c>
      <c r="D83" s="2"/>
      <c r="E83" s="167"/>
      <c r="F83" s="103"/>
      <c r="G83" s="32">
        <f>SUM(G55:G82)</f>
        <v>3226.29</v>
      </c>
      <c r="H83" s="183">
        <f>G83/G84</f>
        <v>0.11472730001159</v>
      </c>
      <c r="I83" s="32"/>
      <c r="J83" s="32">
        <f>SUM(J55:J82)</f>
        <v>25939.66</v>
      </c>
    </row>
    <row r="84" spans="1:10" s="12" customFormat="1" ht="14.25" customHeight="1" x14ac:dyDescent="0.2">
      <c r="A84" s="2"/>
      <c r="B84" s="2"/>
      <c r="C84" s="104" t="s">
        <v>313</v>
      </c>
      <c r="D84" s="2"/>
      <c r="E84" s="167"/>
      <c r="F84" s="103"/>
      <c r="G84" s="32">
        <f>G54+G83</f>
        <v>28121.38</v>
      </c>
      <c r="H84" s="183">
        <v>1</v>
      </c>
      <c r="I84" s="32"/>
      <c r="J84" s="32">
        <f>J54+J83</f>
        <v>226096.22</v>
      </c>
    </row>
    <row r="85" spans="1:10" s="12" customFormat="1" ht="14.25" customHeight="1" x14ac:dyDescent="0.2">
      <c r="A85" s="2"/>
      <c r="B85" s="2"/>
      <c r="C85" s="8" t="s">
        <v>314</v>
      </c>
      <c r="D85" s="2"/>
      <c r="E85" s="167"/>
      <c r="F85" s="103"/>
      <c r="G85" s="32">
        <f>G16+G36+G84</f>
        <v>58718.62</v>
      </c>
      <c r="H85" s="183"/>
      <c r="I85" s="32"/>
      <c r="J85" s="32">
        <f>J16+J36+J84</f>
        <v>1064160.33</v>
      </c>
    </row>
    <row r="86" spans="1:10" s="12" customFormat="1" ht="14.25" customHeight="1" x14ac:dyDescent="0.2">
      <c r="A86" s="2"/>
      <c r="B86" s="2"/>
      <c r="C86" s="8" t="s">
        <v>315</v>
      </c>
      <c r="D86" s="194">
        <f>ROUND(G86/(G$18+$G$16),2)</f>
        <v>0.94</v>
      </c>
      <c r="E86" s="167"/>
      <c r="F86" s="103"/>
      <c r="G86" s="32">
        <v>12408.81</v>
      </c>
      <c r="H86" s="183"/>
      <c r="I86" s="32"/>
      <c r="J86" s="32">
        <f>ROUND(D86*(J16+J18),2)</f>
        <v>569405.84</v>
      </c>
    </row>
    <row r="87" spans="1:10" s="12" customFormat="1" ht="14.25" customHeight="1" x14ac:dyDescent="0.2">
      <c r="A87" s="2"/>
      <c r="B87" s="2"/>
      <c r="C87" s="8" t="s">
        <v>316</v>
      </c>
      <c r="D87" s="194">
        <f>ROUND(G87/(G$16+G$18),2)</f>
        <v>0.69</v>
      </c>
      <c r="E87" s="167"/>
      <c r="F87" s="103"/>
      <c r="G87" s="32">
        <v>9018.92</v>
      </c>
      <c r="H87" s="183"/>
      <c r="I87" s="32"/>
      <c r="J87" s="32">
        <f>ROUND(D87*(J16+J18),2)</f>
        <v>417968.11</v>
      </c>
    </row>
    <row r="88" spans="1:10" s="12" customFormat="1" ht="14.25" customHeight="1" x14ac:dyDescent="0.2">
      <c r="A88" s="2"/>
      <c r="B88" s="2"/>
      <c r="C88" s="8" t="s">
        <v>317</v>
      </c>
      <c r="D88" s="2"/>
      <c r="E88" s="167"/>
      <c r="F88" s="103"/>
      <c r="G88" s="32">
        <f>G16+G36+G84+G86+G87</f>
        <v>80146.350000000006</v>
      </c>
      <c r="H88" s="183"/>
      <c r="I88" s="32"/>
      <c r="J88" s="32">
        <f>J16+J36+J84+J86+J87</f>
        <v>2051534.28</v>
      </c>
    </row>
    <row r="89" spans="1:10" s="12" customFormat="1" ht="14.25" customHeight="1" x14ac:dyDescent="0.2">
      <c r="A89" s="2"/>
      <c r="B89" s="2"/>
      <c r="C89" s="8" t="s">
        <v>318</v>
      </c>
      <c r="D89" s="2"/>
      <c r="E89" s="167"/>
      <c r="F89" s="103"/>
      <c r="G89" s="32">
        <f>G88+G44</f>
        <v>1141720.57</v>
      </c>
      <c r="H89" s="183"/>
      <c r="I89" s="32"/>
      <c r="J89" s="32">
        <f>J88+J44</f>
        <v>8696988.7400000002</v>
      </c>
    </row>
    <row r="90" spans="1:10" s="12" customFormat="1" ht="34.5" customHeight="1" x14ac:dyDescent="0.2">
      <c r="A90" s="2"/>
      <c r="B90" s="2"/>
      <c r="C90" s="8" t="s">
        <v>267</v>
      </c>
      <c r="D90" s="2" t="s">
        <v>319</v>
      </c>
      <c r="E90" s="167">
        <v>2</v>
      </c>
      <c r="F90" s="103"/>
      <c r="G90" s="32">
        <f>G89/E90</f>
        <v>570860.28500000003</v>
      </c>
      <c r="H90" s="183"/>
      <c r="I90" s="32"/>
      <c r="J90" s="32">
        <f>J89/E90</f>
        <v>4348494.37</v>
      </c>
    </row>
    <row r="92" spans="1:10" s="206" customFormat="1" x14ac:dyDescent="0.25">
      <c r="B92" s="207" t="s">
        <v>76</v>
      </c>
      <c r="C92" s="214"/>
    </row>
    <row r="93" spans="1:10" s="206" customFormat="1" x14ac:dyDescent="0.25">
      <c r="B93" s="33" t="s">
        <v>77</v>
      </c>
      <c r="C93" s="214"/>
    </row>
    <row r="94" spans="1:10" s="206" customFormat="1" x14ac:dyDescent="0.25">
      <c r="B94" s="207"/>
      <c r="C94" s="214"/>
    </row>
    <row r="95" spans="1:10" s="206" customFormat="1" x14ac:dyDescent="0.25">
      <c r="B95" s="207" t="s">
        <v>78</v>
      </c>
      <c r="C95" s="214"/>
    </row>
    <row r="96" spans="1:10" s="206" customFormat="1" x14ac:dyDescent="0.25">
      <c r="B96" s="33" t="s">
        <v>79</v>
      </c>
      <c r="C96" s="214"/>
    </row>
  </sheetData>
  <sheetProtection formatCells="0" formatColumns="0" formatRows="0" insertColumns="0" insertRows="0" insertHyperlinks="0" deleteColumns="0" deleteRows="0" sort="0" autoFilter="0" pivotTables="0"/>
  <mergeCells count="20">
    <mergeCell ref="B47:H47"/>
    <mergeCell ref="B12:H12"/>
    <mergeCell ref="B17:H17"/>
    <mergeCell ref="B19:H19"/>
    <mergeCell ref="B20:H20"/>
    <mergeCell ref="B38:H38"/>
    <mergeCell ref="B37:J37"/>
    <mergeCell ref="B46:J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</mergeCells>
  <pageMargins left="0.70866141732283505" right="0.70866141732283505" top="0.74803149606299202" bottom="0.74803149606299202" header="0.31496062992126" footer="0.31496062992126"/>
  <pageSetup paperSize="9" scale="74" fitToHeight="0" orientation="landscape" cellComments="atEnd" r:id="rId1"/>
  <rowBreaks count="1" manualBreakCount="1">
    <brk id="56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2023-11-30T07:49:48Z</cp:lastPrinted>
  <dcterms:created xsi:type="dcterms:W3CDTF">2020-09-30T08:50:27Z</dcterms:created>
  <dcterms:modified xsi:type="dcterms:W3CDTF">2023-11-30T07:50:03Z</dcterms:modified>
  <cp:category/>
</cp:coreProperties>
</file>