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1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4">#REF!</definedName>
    <definedName name="_def2000г" localSheetId="1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4">#REF!</definedName>
    <definedName name="_def2001г" localSheetId="1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4">#REF!</definedName>
    <definedName name="_def2002г" localSheetId="1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4">#REF!</definedName>
    <definedName name="_inf2000" localSheetId="1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4">#REF!</definedName>
    <definedName name="_inf2001" localSheetId="1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4">#REF!</definedName>
    <definedName name="_inf2002" localSheetId="1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4">#REF!</definedName>
    <definedName name="_inf2003" localSheetId="1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4">#REF!</definedName>
    <definedName name="_inf2004" localSheetId="1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4">#REF!</definedName>
    <definedName name="_inf2005" localSheetId="1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4">#REF!</definedName>
    <definedName name="_inf2006" localSheetId="1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4">#REF!</definedName>
    <definedName name="_inf2007" localSheetId="1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4">#REF!</definedName>
    <definedName name="_inf2008" localSheetId="1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4">#REF!</definedName>
    <definedName name="_inf2009" localSheetId="1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4">#REF!</definedName>
    <definedName name="_inf2010" localSheetId="1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4">#REF!</definedName>
    <definedName name="_inf2011" localSheetId="1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4">#REF!</definedName>
    <definedName name="_inf2012" localSheetId="1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4">#REF!</definedName>
    <definedName name="_inf2013" localSheetId="1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4">#REF!</definedName>
    <definedName name="_inf2014" localSheetId="1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4">#REF!</definedName>
    <definedName name="_inf2015" localSheetId="1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4">#REF!</definedName>
    <definedName name="a04t" localSheetId="1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4">#REF!</definedName>
    <definedName name="DOLL" localSheetId="1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4">#REF!</definedName>
    <definedName name="Excel_BuiltIn_Print_Area_1" localSheetId="1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4">#REF!</definedName>
    <definedName name="Excel_BuiltIn_Print_Area_4" localSheetId="1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4">#REF!</definedName>
    <definedName name="Excel_BuiltIn_Print_Area_5" localSheetId="1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4">#REF!</definedName>
    <definedName name="ff" localSheetId="1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4">#REF!</definedName>
    <definedName name="gggg" localSheetId="1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4">#REF!</definedName>
    <definedName name="Global.MNULL" localSheetId="1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4">#REF!</definedName>
    <definedName name="Global.NULL" localSheetId="1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4">#REF!</definedName>
    <definedName name="time" localSheetId="1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4">#REF!</definedName>
    <definedName name="а" localSheetId="1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4">#REF!</definedName>
    <definedName name="ааа" localSheetId="1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4">#REF!</definedName>
    <definedName name="д" localSheetId="1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4">#REF!</definedName>
    <definedName name="дд" localSheetId="1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4">#REF!</definedName>
    <definedName name="дддд" localSheetId="1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4">#REF!</definedName>
    <definedName name="де" localSheetId="1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4">#REF!</definedName>
    <definedName name="дефл." localSheetId="1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4">#REF!</definedName>
    <definedName name="до" localSheetId="1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4">#REF!</definedName>
    <definedName name="дол" localSheetId="1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4">#REF!</definedName>
    <definedName name="ДС" localSheetId="1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4">#REF!</definedName>
    <definedName name="ж" localSheetId="1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4">#REF!</definedName>
    <definedName name="зз" localSheetId="1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4">#REF!</definedName>
    <definedName name="иии" localSheetId="1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4">#REF!</definedName>
    <definedName name="кк" localSheetId="1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4">#REF!</definedName>
    <definedName name="лд" localSheetId="1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4">#REF!</definedName>
    <definedName name="лдд" localSheetId="1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4">#REF!</definedName>
    <definedName name="лл" localSheetId="1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4">#REF!</definedName>
    <definedName name="ллл" localSheetId="1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4">#REF!</definedName>
    <definedName name="Модель2" localSheetId="1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4">#REF!</definedName>
    <definedName name="нн" localSheetId="1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>#REF!</definedName>
    <definedName name="НормаПП_на_УЕ" localSheetId="10">#REF!</definedName>
    <definedName name="НормаПП_на_УЕ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3">граж</definedName>
    <definedName name="нр" localSheetId="15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 3'!$A$1:$H$88</definedName>
    <definedName name="_xlnm.Print_Area" localSheetId="7">'Прил.4 РМ'!$A$1:$E$48</definedName>
    <definedName name="_xlnm.Print_Area" localSheetId="8">'Прил.5 Расчет СМР и ОБ'!$A$1:$J$101</definedName>
    <definedName name="_xlnm.Print_Area" localSheetId="10">'Прил.7 Расчет пок.'!$A$1:$D$17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4">#REF!</definedName>
    <definedName name="ол" localSheetId="1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4">#REF!</definedName>
    <definedName name="ооо" localSheetId="1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>#REF!</definedName>
    <definedName name="ОсвоениеИП" localSheetId="10">#REF!</definedName>
    <definedName name="ОсвоениеИП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4">#REF!</definedName>
    <definedName name="пп" localSheetId="1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4">#REF!</definedName>
    <definedName name="ппп" localSheetId="1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>#REF!</definedName>
    <definedName name="СтавкаДепозитов" localSheetId="10">#REF!</definedName>
    <definedName name="СтавкаДепозитов">#REF!</definedName>
    <definedName name="СтавкаДивидендов" localSheetId="10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4">#REF!</definedName>
    <definedName name="ттт" localSheetId="1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4">#REF!</definedName>
    <definedName name="ффф" localSheetId="1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4">#REF!</definedName>
    <definedName name="хх" localSheetId="1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4">#REF!</definedName>
    <definedName name="цц" localSheetId="1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4">#REF!</definedName>
    <definedName name="шш" localSheetId="1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4">#REF!</definedName>
    <definedName name="щщ" localSheetId="1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4">#REF!</definedName>
    <definedName name="ььь" localSheetId="1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4">#REF!</definedName>
    <definedName name="э" localSheetId="1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4">#REF!</definedName>
    <definedName name="юююю" localSheetId="1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29" i="13"/>
  <c r="E24" i="13"/>
  <c r="E21" i="13"/>
  <c r="E16" i="13"/>
  <c r="E13" i="13"/>
  <c r="E8" i="13"/>
  <c r="C11" i="11"/>
  <c r="D5" i="11"/>
  <c r="F14" i="10"/>
  <c r="F13" i="10"/>
  <c r="F12" i="10"/>
  <c r="J89" i="9"/>
  <c r="G89" i="9"/>
  <c r="J88" i="9"/>
  <c r="H88" i="9"/>
  <c r="G88" i="9"/>
  <c r="J87" i="9"/>
  <c r="I87" i="9"/>
  <c r="H87" i="9"/>
  <c r="G87" i="9"/>
  <c r="J86" i="9"/>
  <c r="I86" i="9"/>
  <c r="H86" i="9"/>
  <c r="G86" i="9"/>
  <c r="J85" i="9"/>
  <c r="I85" i="9"/>
  <c r="H85" i="9"/>
  <c r="G85" i="9"/>
  <c r="J84" i="9"/>
  <c r="I84" i="9"/>
  <c r="H84" i="9"/>
  <c r="G84" i="9"/>
  <c r="J83" i="9"/>
  <c r="I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5" i="9"/>
  <c r="J44" i="9"/>
  <c r="J43" i="9"/>
  <c r="J42" i="9"/>
  <c r="G42" i="9"/>
  <c r="F42" i="9"/>
  <c r="J41" i="9"/>
  <c r="G41" i="9"/>
  <c r="G43" i="9" s="1"/>
  <c r="F41" i="9"/>
  <c r="J40" i="9"/>
  <c r="J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I15" i="9"/>
  <c r="I14" i="9"/>
  <c r="I13" i="9"/>
  <c r="C34" i="8"/>
  <c r="C26" i="8"/>
  <c r="C25" i="8"/>
  <c r="C23" i="8"/>
  <c r="C21" i="8"/>
  <c r="C18" i="8"/>
  <c r="C17" i="8"/>
  <c r="C16" i="8"/>
  <c r="C15" i="8"/>
  <c r="C14" i="8"/>
  <c r="C13" i="8"/>
  <c r="C12" i="8"/>
  <c r="B32" i="7"/>
  <c r="B30" i="7"/>
  <c r="B28" i="7"/>
  <c r="B27" i="7"/>
  <c r="B26" i="7"/>
  <c r="B15" i="7"/>
  <c r="B14" i="7"/>
  <c r="B13" i="7"/>
  <c r="B12" i="7"/>
  <c r="B11" i="7"/>
  <c r="B10" i="7"/>
  <c r="B9" i="7"/>
  <c r="A4" i="7"/>
  <c r="A2" i="7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A43" i="6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H42" i="6"/>
  <c r="A42" i="6"/>
  <c r="H41" i="6"/>
  <c r="H40" i="6"/>
  <c r="H39" i="6"/>
  <c r="H38" i="6"/>
  <c r="A38" i="6"/>
  <c r="A39" i="6" s="1"/>
  <c r="H37" i="6"/>
  <c r="G39" i="9" s="1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H22" i="6"/>
  <c r="H20" i="6"/>
  <c r="H19" i="6"/>
  <c r="H18" i="6"/>
  <c r="H17" i="6"/>
  <c r="H16" i="6"/>
  <c r="H15" i="6"/>
  <c r="H14" i="6"/>
  <c r="G15" i="9" s="1"/>
  <c r="H13" i="6"/>
  <c r="G14" i="9" s="1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G12" i="10" l="1"/>
  <c r="G40" i="9"/>
  <c r="E14" i="9"/>
  <c r="J14" i="9" s="1"/>
  <c r="E15" i="9"/>
  <c r="J15" i="9" s="1"/>
  <c r="H12" i="6"/>
  <c r="G13" i="9"/>
  <c r="G14" i="10"/>
  <c r="G13" i="10"/>
  <c r="G44" i="9" l="1"/>
  <c r="G16" i="9"/>
  <c r="E13" i="9"/>
  <c r="H13" i="9"/>
  <c r="G15" i="10"/>
  <c r="H44" i="9" l="1"/>
  <c r="G45" i="9"/>
  <c r="H43" i="9"/>
  <c r="H41" i="9"/>
  <c r="H42" i="9"/>
  <c r="H39" i="9"/>
  <c r="G92" i="9"/>
  <c r="B17" i="7" s="1"/>
  <c r="G90" i="9"/>
  <c r="B8" i="7"/>
  <c r="G93" i="9"/>
  <c r="G94" i="9" s="1"/>
  <c r="G91" i="9"/>
  <c r="B19" i="7" s="1"/>
  <c r="H14" i="9"/>
  <c r="H15" i="9"/>
  <c r="J13" i="9"/>
  <c r="J16" i="9" s="1"/>
  <c r="E16" i="9"/>
  <c r="G16" i="10"/>
  <c r="B22" i="7" s="1"/>
  <c r="B23" i="7"/>
  <c r="H40" i="9"/>
  <c r="B24" i="7" l="1"/>
  <c r="G95" i="9"/>
  <c r="C12" i="2"/>
  <c r="D18" i="2" s="1"/>
  <c r="C8" i="7"/>
  <c r="B16" i="7"/>
  <c r="B21" i="7" s="1"/>
  <c r="J93" i="9"/>
  <c r="J94" i="9" s="1"/>
  <c r="J95" i="9" s="1"/>
  <c r="J91" i="9"/>
  <c r="C11" i="8"/>
  <c r="J92" i="9"/>
  <c r="J90" i="9"/>
  <c r="B20" i="7"/>
  <c r="C19" i="7"/>
  <c r="B18" i="7"/>
  <c r="C17" i="7"/>
  <c r="C22" i="8" l="1"/>
  <c r="C20" i="8"/>
  <c r="C19" i="8"/>
  <c r="C24" i="8" s="1"/>
  <c r="B33" i="7"/>
  <c r="C13" i="7"/>
  <c r="C9" i="7"/>
  <c r="C14" i="7"/>
  <c r="C10" i="7"/>
  <c r="C15" i="7"/>
  <c r="C21" i="7"/>
  <c r="C11" i="7"/>
  <c r="C12" i="7"/>
  <c r="B34" i="7" l="1"/>
  <c r="D20" i="8"/>
  <c r="C29" i="8"/>
  <c r="D24" i="8"/>
  <c r="D18" i="8"/>
  <c r="D14" i="8"/>
  <c r="D15" i="8"/>
  <c r="C30" i="8"/>
  <c r="C27" i="8"/>
  <c r="D16" i="8"/>
  <c r="D12" i="8"/>
  <c r="D17" i="8"/>
  <c r="D13" i="8"/>
  <c r="D11" i="8"/>
  <c r="D22" i="8"/>
  <c r="C33" i="8" l="1"/>
  <c r="C32" i="8"/>
  <c r="C37" i="8" s="1"/>
  <c r="C35" i="8"/>
  <c r="B35" i="7"/>
  <c r="D35" i="7" l="1"/>
  <c r="D30" i="7"/>
  <c r="D27" i="7"/>
  <c r="D13" i="7"/>
  <c r="D9" i="7"/>
  <c r="D14" i="7"/>
  <c r="D10" i="7"/>
  <c r="D32" i="7"/>
  <c r="D28" i="7"/>
  <c r="D26" i="7"/>
  <c r="D15" i="7"/>
  <c r="D11" i="7"/>
  <c r="D12" i="7"/>
  <c r="B36" i="7"/>
  <c r="D17" i="7"/>
  <c r="D8" i="7"/>
  <c r="D19" i="7"/>
  <c r="D23" i="7"/>
  <c r="D22" i="7"/>
  <c r="D24" i="7"/>
  <c r="D21" i="7"/>
  <c r="D33" i="7"/>
  <c r="C38" i="8"/>
  <c r="C36" i="8"/>
  <c r="D34" i="7"/>
  <c r="C39" i="8" l="1"/>
  <c r="C9" i="2"/>
  <c r="B18" i="2" s="1"/>
  <c r="C13" i="2"/>
  <c r="C10" i="1"/>
  <c r="E39" i="8" l="1"/>
  <c r="C40" i="8"/>
  <c r="E31" i="8" l="1"/>
  <c r="E15" i="8"/>
  <c r="C41" i="8"/>
  <c r="D11" i="11" s="1"/>
  <c r="E25" i="8"/>
  <c r="E16" i="8"/>
  <c r="E12" i="8"/>
  <c r="E40" i="8"/>
  <c r="E34" i="8"/>
  <c r="E17" i="8"/>
  <c r="E13" i="8"/>
  <c r="E14" i="8"/>
  <c r="E26" i="8"/>
  <c r="E18" i="8"/>
  <c r="E11" i="8"/>
  <c r="E24" i="8"/>
  <c r="E22" i="8"/>
  <c r="E20" i="8"/>
  <c r="E29" i="8"/>
  <c r="E30" i="8"/>
  <c r="E27" i="8"/>
  <c r="E33" i="8"/>
  <c r="E35" i="8"/>
  <c r="E32" i="8"/>
  <c r="E37" i="8"/>
  <c r="E38" i="8"/>
  <c r="E36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<sst xmlns="http://schemas.openxmlformats.org/spreadsheetml/2006/main" count="971" uniqueCount="500">
  <si>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</si>
  <si>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</si>
  <si>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</si>
  <si>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</si>
  <si>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</si>
  <si>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</si>
  <si>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</si>
  <si>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</si>
  <si>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</si>
  <si>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</si>
  <si>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</si>
  <si>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</si>
  <si>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</si>
  <si>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</si>
  <si>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</si>
  <si>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</si>
  <si>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</si>
  <si>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</si>
  <si>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</si>
  <si>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</si>
  <si>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</si>
  <si>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</si>
  <si>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</si>
  <si>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</si>
  <si>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</si>
  <si>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</si>
  <si>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</si>
  <si>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</si>
  <si>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</si>
  <si>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</si>
  <si>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</si>
  <si>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</si>
  <si>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</si>
  <si>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</si>
  <si>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</si>
  <si>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</si>
  <si>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</si>
  <si>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</si>
  <si>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</si>
  <si>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</si>
  <si>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</si>
  <si>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</si>
  <si>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</si>
  <si>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</si>
  <si>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</si>
  <si>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</si>
  <si>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</si>
  <si>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</si>
  <si>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ТН (четыре вторичные обмотки) на три фазы без устройства фундамента напряжение 220(150) кВ</t>
  </si>
  <si>
    <t>Сопоставимый уровень цен: 4 квартал 2016 года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</si>
  <si>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</si>
  <si>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</si>
  <si>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</si>
  <si>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</si>
  <si>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Бугры (МЭС Центра)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</si>
  <si>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</si>
  <si>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</si>
  <si>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</si>
  <si>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</si>
  <si>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</si>
  <si>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Трансформатор - 4 компл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</si>
  <si>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</si>
  <si>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Измерительный, каскадный, масляный траснформатор марки  НАМИ-220 УХЛ1 с устройством фундамента
Ящик цепей напряжения ЯЗН-11-АСКУЭ - 1 шт.
Ящик АВР цепей напряжения ЯАВР2.1-АСКУЭ-220В - 1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</si>
  <si>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</si>
  <si>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</si>
  <si>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</si>
  <si>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</si>
  <si>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</si>
  <si>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</si>
  <si>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</si>
  <si>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</si>
  <si>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</si>
  <si>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</si>
  <si>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2016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</si>
  <si>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</si>
  <si>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</si>
  <si>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</si>
  <si>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</si>
  <si>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</si>
  <si>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</si>
  <si>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</si>
  <si>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</si>
  <si>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</si>
  <si>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</si>
  <si>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</si>
  <si>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</si>
  <si>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</si>
  <si>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</si>
  <si>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</si>
  <si>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Прочее</t>
  </si>
  <si>
    <t>Всего</t>
  </si>
  <si>
    <t>02-02-01</t>
  </si>
  <si>
    <t xml:space="preserve">Строительные работы здания КРУЭ 220/110 кВ  (этап 2) </t>
  </si>
  <si>
    <t>Всего по объекту:</t>
  </si>
  <si>
    <t>Всего по объекту в сопоставимом уровне цен 4 кв. 2016 г:</t>
  </si>
  <si>
    <t xml:space="preserve">Приложение № 3 </t>
  </si>
  <si>
    <t>Объектная ресурсная ведомость</t>
  </si>
  <si>
    <t>Наименование разрабатываемого показателя УНЦ -ТН (четыре вторичные обмотки) на три фазы без устройства фундамента напряжение 220(150)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</si>
  <si>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</si>
  <si>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</si>
  <si>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</si>
  <si>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</si>
  <si>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</si>
  <si>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</si>
  <si>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</si>
  <si>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</si>
  <si>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</si>
  <si>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</si>
  <si>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</si>
  <si>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10-30-1</t>
  </si>
  <si>
    <t>Инженер I категории</t>
  </si>
  <si>
    <t>чел.час</t>
  </si>
  <si>
    <t>10-30-2</t>
  </si>
  <si>
    <t>Инженер II категории</t>
  </si>
  <si>
    <t>1-6-0</t>
  </si>
  <si>
    <t>Затраты труда рабочих (ср 6,0)</t>
  </si>
  <si>
    <t>1-4-0</t>
  </si>
  <si>
    <t>Затраты труда рабочих (ср 4,0)</t>
  </si>
  <si>
    <t>1-3-8</t>
  </si>
  <si>
    <t>Затраты труда рабочих (с 3,8)</t>
  </si>
  <si>
    <t>1-3-2</t>
  </si>
  <si>
    <t>Затраты труда рабочих (ср 3,2)</t>
  </si>
  <si>
    <t>1-3-9</t>
  </si>
  <si>
    <t>Затраты труда рабочих (ср 3,9)</t>
  </si>
  <si>
    <t>Затраты труда машинистов</t>
  </si>
  <si>
    <t>8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</si>
  <si>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</si>
  <si>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</si>
  <si>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</si>
  <si>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</si>
  <si>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91.10.01-002</t>
  </si>
  <si>
    <t>Агрегаты наполнительно-опрессовочные: до 300 м3/ч</t>
  </si>
  <si>
    <t>91.05.05-014</t>
  </si>
  <si>
    <t>Краны на автомобильном ходу, грузоподъемность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</si>
  <si>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</si>
  <si>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</si>
  <si>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</si>
  <si>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</si>
  <si>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</si>
  <si>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</si>
  <si>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</si>
  <si>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</si>
  <si>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</si>
  <si>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</si>
  <si>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</si>
  <si>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</si>
  <si>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91.06.01-003</t>
  </si>
  <si>
    <t>Домкраты гидравлические, грузоподъемность 63-100 т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</si>
  <si>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</si>
  <si>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</si>
  <si>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</si>
  <si>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</si>
  <si>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</si>
  <si>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</si>
  <si>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</si>
  <si>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Трансформатор напряжения 220 кВ</t>
  </si>
  <si>
    <t>шт.</t>
  </si>
  <si>
    <t>Ящик цепей напряжения ЯЗН-11-АСКУЭ</t>
  </si>
  <si>
    <t>Ящик АВР цепей напряжения ЯАВР2.1-АСКУЭ-220В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</si>
  <si>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</si>
  <si>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</si>
  <si>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</si>
  <si>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</si>
  <si>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</si>
  <si>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</si>
  <si>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21.2.01.02-0098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</si>
  <si>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</si>
  <si>
    <t>т</t>
  </si>
  <si>
    <t>05.1.01.10-0131</t>
  </si>
  <si>
    <t>Лотки каналов и тоннелей железобетонные для прокладки коммуникаций</t>
  </si>
  <si>
    <t>м3</t>
  </si>
  <si>
    <t>20.1.01.02-0067</t>
  </si>
  <si>
    <t>Зажим аппаратный прессуемый: А4А-400-2</t>
  </si>
  <si>
    <t>100 шт.</t>
  </si>
  <si>
    <t>20.2.08.05-0017</t>
  </si>
  <si>
    <t>Профиль монтажный</t>
  </si>
  <si>
    <t>20.1.01.03-0002</t>
  </si>
  <si>
    <t>Зажим винтовой ЗВИ-10 2,5-6 мм2 12 пар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</si>
  <si>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</si>
  <si>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</si>
  <si>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</si>
  <si>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</si>
  <si>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</si>
  <si>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</si>
  <si>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01.7.17.11-0001</t>
  </si>
  <si>
    <t>Бумага шлифовальная</t>
  </si>
  <si>
    <t>02.2.05.04-1777</t>
  </si>
  <si>
    <t>Щебень М 800, фракция 20-40 мм, группа 2</t>
  </si>
  <si>
    <t>20.2.08.07-0072</t>
  </si>
  <si>
    <t>Скобы металлические для крепления проводов</t>
  </si>
  <si>
    <t>10 шт.</t>
  </si>
  <si>
    <t>13,8</t>
  </si>
  <si>
    <t>08.3.08.02-0091</t>
  </si>
  <si>
    <t>Сталь угловая, марки Ст3, перфорированная УП 35х35 мм</t>
  </si>
  <si>
    <t>м</t>
  </si>
  <si>
    <t>01.7.15.07-0014</t>
  </si>
  <si>
    <t>Дюбели распорные полипропиленовые</t>
  </si>
  <si>
    <t>14.4.02.09-0301</t>
  </si>
  <si>
    <t>Краска "Цинол"</t>
  </si>
  <si>
    <t>14.4.02.09-0001</t>
  </si>
  <si>
    <t>Краска</t>
  </si>
  <si>
    <t>08.3.07.01-0076</t>
  </si>
  <si>
    <t>Сталь полосовая, марка стали: Ст3сп шириной 50-200 мм толщиной 4-5 мм</t>
  </si>
  <si>
    <t>01.7.11.07-0034</t>
  </si>
  <si>
    <t>Электроды диаметром: 4 мм Э42А</t>
  </si>
  <si>
    <t>08.3.05.02-0052</t>
  </si>
  <si>
    <t>Сталь листовая горячекатаная марки Ст3 толщиной: 2-6 мм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</si>
  <si>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</si>
  <si>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</si>
  <si>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</si>
  <si>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бездобавочный, марки: 500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</si>
  <si>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</si>
  <si>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</si>
  <si>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</si>
  <si>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</si>
  <si>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</si>
  <si>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14.4.04.09-0017</t>
  </si>
  <si>
    <t>Эмаль ХВ-124 защитная, зеленая</t>
  </si>
  <si>
    <t>20.1.02.23-0082</t>
  </si>
  <si>
    <t>Перемычки гибкие, тип ПГС-50</t>
  </si>
  <si>
    <t>08.3.07.01-0043</t>
  </si>
  <si>
    <t>Сталь полосовая: 40х5 мм, марка Ст3сп</t>
  </si>
  <si>
    <t>01.7.15.07-0007</t>
  </si>
  <si>
    <t>Дюбели пластмассовые диаметр 14 мм</t>
  </si>
  <si>
    <t>02.3.01.02-0020</t>
  </si>
  <si>
    <t>Песок природный для строительных: растворов средний</t>
  </si>
  <si>
    <t>14.4.01.01-0003</t>
  </si>
  <si>
    <t>Грунтовка: ГФ-021 красно-коричневая</t>
  </si>
  <si>
    <t>01.7.11.07-0032</t>
  </si>
  <si>
    <t>Электроды диаметром: 4 мм Э42</t>
  </si>
  <si>
    <t>01.7.15.14-0043</t>
  </si>
  <si>
    <t>Шуруп самонарезающий: (LN) 3,5/11 мм</t>
  </si>
  <si>
    <t>01.7.15.03-0031</t>
  </si>
  <si>
    <t>Болты с гайками и шайбами оцинкованные, диаметр: 6 мм</t>
  </si>
  <si>
    <t>14.5.09.07-0029</t>
  </si>
  <si>
    <t>Растворитель марки: Р-4</t>
  </si>
  <si>
    <t>01.7.06.05-0041</t>
  </si>
  <si>
    <t>Лента изоляционная прорезиненная односторонняя ширина 20 мм, толщина 0,25-0,35 мм</t>
  </si>
  <si>
    <t>14.5.09.11-0101</t>
  </si>
  <si>
    <t>Уайт-спирит</t>
  </si>
  <si>
    <t>01.3.01.02-0002</t>
  </si>
  <si>
    <t>Вазелин технический</t>
  </si>
  <si>
    <t>14.4.03.17-0011</t>
  </si>
  <si>
    <t>Лак электроизоляционный 318</t>
  </si>
  <si>
    <t>01.7.20.04-0005</t>
  </si>
  <si>
    <t>Нитки швейные</t>
  </si>
  <si>
    <t>01.7.02.09-0002</t>
  </si>
  <si>
    <t>Шпагат бумажный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</si>
  <si>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</si>
  <si>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</si>
  <si>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</si>
  <si>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</si>
  <si>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</si>
  <si>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</si>
  <si>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</si>
  <si>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</si>
  <si>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</si>
  <si>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</si>
  <si>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</si>
  <si>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</si>
  <si>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</si>
  <si>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</si>
  <si>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</si>
  <si>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</si>
  <si>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</si>
  <si>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</si>
  <si>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</si>
  <si>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</si>
  <si>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</si>
  <si>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</si>
  <si>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</si>
  <si>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</si>
  <si>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</si>
  <si>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</si>
  <si>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</si>
  <si>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</si>
  <si>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</si>
  <si>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</si>
  <si>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</si>
  <si>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</si>
  <si>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</si>
  <si>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</si>
  <si>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</si>
  <si>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</si>
  <si>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</si>
  <si>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</si>
  <si>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</si>
  <si>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</si>
  <si>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</si>
  <si>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</si>
  <si>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</si>
  <si>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</si>
  <si>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</si>
  <si>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</si>
  <si>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</si>
  <si>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</si>
  <si>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</si>
  <si>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</si>
  <si>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</si>
  <si>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</si>
  <si>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</si>
  <si>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ТН (четыре вторичные обмотки) на три фазы без устройства фундамента напряжение 220(150)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</si>
  <si>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</si>
  <si>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</si>
  <si>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</si>
  <si>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</si>
  <si>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</si>
  <si>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</si>
  <si>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1-5-7</t>
  </si>
  <si>
    <t>Затраты труда рабочих-строителей среднего разряда (5,7)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</si>
  <si>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</si>
  <si>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</si>
  <si>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</si>
  <si>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</si>
  <si>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</si>
  <si>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</si>
  <si>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</si>
  <si>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</si>
  <si>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БЦ.16.271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</si>
  <si>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</si>
  <si>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</si>
  <si>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</si>
  <si>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</si>
  <si>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 xml:space="preserve">Материалы </t>
    </r>
    <r>
      <rPr>
        <i/>
        <sz val="10"/>
        <color rgb="FF00B05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</si>
  <si>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</si>
  <si>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</si>
  <si>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</si>
  <si>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</si>
  <si>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</si>
  <si>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</si>
  <si>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</si>
  <si>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</si>
  <si>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</si>
  <si>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</si>
  <si>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</si>
  <si>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</si>
  <si>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</si>
  <si>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</si>
  <si>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</si>
  <si>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</si>
  <si>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</si>
  <si>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</si>
  <si>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</si>
  <si>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</si>
  <si>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</si>
  <si>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И10-03-4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</si>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</sst>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Calibri"/>
    </font>
    <font>
      <b/>
      <sz val="10"/>
      <color rgb="FF000000"/>
      <name val="Arial Cyr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i/>
      <sz val="10"/>
      <color rgb="FF00B05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0" fillId="0" borderId="0" xfId="0" applyNumberFormat="1"/>
    <xf numFmtId="0" fontId="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4" fontId="17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" fontId="21" fillId="0" borderId="1" xfId="0" applyNumberFormat="1" applyFont="1" applyBorder="1" applyAlignment="1">
      <alignment vertical="top" wrapText="1"/>
    </xf>
    <xf numFmtId="4" fontId="24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top" wrapText="1"/>
    </xf>
    <xf numFmtId="4" fontId="24" fillId="0" borderId="1" xfId="0" applyNumberFormat="1" applyFont="1" applyBorder="1" applyAlignment="1">
      <alignment vertical="center" wrapText="1"/>
    </xf>
    <xf numFmtId="168" fontId="24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" fontId="4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484869</xdr:colOff>
      <xdr:row>15</xdr:row>
      <xdr:rowOff>95810</xdr:rowOff>
    </xdr:from>
    <xdr:to>
      <xdr:col>2</xdr:col>
      <xdr:colOff>1388063</xdr:colOff>
      <xdr:row>17</xdr:row>
      <xdr:rowOff>51398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583" y="4994381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455894</xdr:colOff>
      <xdr:row>84</xdr:row>
      <xdr:rowOff>45945</xdr:rowOff>
    </xdr:from>
    <xdr:to>
      <xdr:col>3</xdr:col>
      <xdr:colOff>270436</xdr:colOff>
      <xdr:row>87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0247" y="19678651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106270</xdr:colOff>
      <xdr:row>81</xdr:row>
      <xdr:rowOff>135030</xdr:rowOff>
    </xdr:from>
    <xdr:to>
      <xdr:col>2</xdr:col>
      <xdr:colOff>1006102</xdr:colOff>
      <xdr:row>83</xdr:row>
      <xdr:rowOff>100143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623" y="19196236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1008904</xdr:colOff>
      <xdr:row>43</xdr:row>
      <xdr:rowOff>131670</xdr:rowOff>
    </xdr:from>
    <xdr:to>
      <xdr:col>1</xdr:col>
      <xdr:colOff>1947396</xdr:colOff>
      <xdr:row>46</xdr:row>
      <xdr:rowOff>87220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129" y="117521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1041401</xdr:colOff>
      <xdr:row>41</xdr:row>
      <xdr:rowOff>67235</xdr:rowOff>
    </xdr:from>
    <xdr:to>
      <xdr:col>1</xdr:col>
      <xdr:colOff>1944595</xdr:colOff>
      <xdr:row>43</xdr:row>
      <xdr:rowOff>22823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626" y="113067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982570</xdr:colOff>
      <xdr:row>97</xdr:row>
      <xdr:rowOff>79563</xdr:rowOff>
    </xdr:from>
    <xdr:to>
      <xdr:col>2</xdr:col>
      <xdr:colOff>419474</xdr:colOff>
      <xdr:row>100</xdr:row>
      <xdr:rowOff>63688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570" y="23847239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1025152</xdr:colOff>
      <xdr:row>95</xdr:row>
      <xdr:rowOff>45384</xdr:rowOff>
    </xdr:from>
    <xdr:to>
      <xdr:col>2</xdr:col>
      <xdr:colOff>426758</xdr:colOff>
      <xdr:row>97</xdr:row>
      <xdr:rowOff>10497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152" y="2343206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1085104</xdr:colOff>
      <xdr:row>18</xdr:row>
      <xdr:rowOff>64995</xdr:rowOff>
    </xdr:from>
    <xdr:to>
      <xdr:col>2</xdr:col>
      <xdr:colOff>852021</xdr:colOff>
      <xdr:row>21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104" y="4379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908051</xdr:colOff>
      <xdr:row>16</xdr:row>
      <xdr:rowOff>19610</xdr:rowOff>
    </xdr:from>
    <xdr:to>
      <xdr:col>2</xdr:col>
      <xdr:colOff>639670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051" y="39534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970804</xdr:colOff>
      <xdr:row>13</xdr:row>
      <xdr:rowOff>64995</xdr:rowOff>
    </xdr:from>
    <xdr:to>
      <xdr:col>1</xdr:col>
      <xdr:colOff>1909296</xdr:colOff>
      <xdr:row>16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829" y="36368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11</xdr:row>
      <xdr:rowOff>29135</xdr:rowOff>
    </xdr:from>
    <xdr:to>
      <xdr:col>1</xdr:col>
      <xdr:colOff>1858870</xdr:colOff>
      <xdr:row>12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1" y="32200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1061011</xdr:colOff>
      <xdr:row>27</xdr:row>
      <xdr:rowOff>79563</xdr:rowOff>
    </xdr:from>
    <xdr:to>
      <xdr:col>1</xdr:col>
      <xdr:colOff>1999503</xdr:colOff>
      <xdr:row>30</xdr:row>
      <xdr:rowOff>35113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129" y="9044269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924299</xdr:colOff>
      <xdr:row>24</xdr:row>
      <xdr:rowOff>157443</xdr:rowOff>
    </xdr:from>
    <xdr:to>
      <xdr:col>1</xdr:col>
      <xdr:colOff>1827493</xdr:colOff>
      <xdr:row>26</xdr:row>
      <xdr:rowOff>113031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417" y="8550649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8" t="s">
        <v>0</v>
      </c>
      <c r="B2" s="218"/>
      <c r="C2" s="218"/>
    </row>
    <row r="3" spans="1:3" x14ac:dyDescent="0.25">
      <c r="A3" s="1"/>
      <c r="B3" s="1"/>
      <c r="C3" s="1"/>
    </row>
    <row r="4" spans="1:3" x14ac:dyDescent="0.25">
      <c r="A4" s="219" t="s">
        <v>1</v>
      </c>
      <c r="B4" s="219"/>
      <c r="C4" s="21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20" t="s">
        <v>3</v>
      </c>
      <c r="C6" s="220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5475.0171443986055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topLeftCell="A4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9" t="s">
        <v>334</v>
      </c>
      <c r="B1" s="259"/>
      <c r="C1" s="259"/>
      <c r="D1" s="259"/>
      <c r="E1" s="259"/>
      <c r="F1" s="259"/>
      <c r="G1" s="259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18" t="s">
        <v>335</v>
      </c>
      <c r="B3" s="218"/>
      <c r="C3" s="218"/>
      <c r="D3" s="218"/>
      <c r="E3" s="218"/>
      <c r="F3" s="218"/>
      <c r="G3" s="218"/>
    </row>
    <row r="4" spans="1:7" ht="25.5" customHeight="1" x14ac:dyDescent="0.25">
      <c r="A4" s="221" t="s">
        <v>48</v>
      </c>
      <c r="B4" s="221"/>
      <c r="C4" s="221"/>
      <c r="D4" s="221"/>
      <c r="E4" s="221"/>
      <c r="F4" s="221"/>
      <c r="G4" s="22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9" t="s">
        <v>13</v>
      </c>
      <c r="B6" s="249" t="s">
        <v>100</v>
      </c>
      <c r="C6" s="249" t="s">
        <v>251</v>
      </c>
      <c r="D6" s="249" t="s">
        <v>102</v>
      </c>
      <c r="E6" s="257" t="s">
        <v>303</v>
      </c>
      <c r="F6" s="264" t="s">
        <v>104</v>
      </c>
      <c r="G6" s="264"/>
    </row>
    <row r="7" spans="1:7" x14ac:dyDescent="0.25">
      <c r="A7" s="249"/>
      <c r="B7" s="249"/>
      <c r="C7" s="249"/>
      <c r="D7" s="249"/>
      <c r="E7" s="258"/>
      <c r="F7" s="2" t="s">
        <v>306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0" t="s">
        <v>336</v>
      </c>
      <c r="C9" s="261"/>
      <c r="D9" s="261"/>
      <c r="E9" s="261"/>
      <c r="F9" s="261"/>
      <c r="G9" s="262"/>
    </row>
    <row r="10" spans="1:7" ht="27" customHeight="1" x14ac:dyDescent="0.25">
      <c r="A10" s="2"/>
      <c r="B10" s="104"/>
      <c r="C10" s="8" t="s">
        <v>337</v>
      </c>
      <c r="D10" s="104"/>
      <c r="E10" s="105"/>
      <c r="F10" s="103"/>
      <c r="G10" s="103">
        <v>0</v>
      </c>
    </row>
    <row r="11" spans="1:7" x14ac:dyDescent="0.25">
      <c r="A11" s="2"/>
      <c r="B11" s="248" t="s">
        <v>338</v>
      </c>
      <c r="C11" s="248"/>
      <c r="D11" s="248"/>
      <c r="E11" s="263"/>
      <c r="F11" s="251"/>
      <c r="G11" s="251"/>
    </row>
    <row r="12" spans="1:7" x14ac:dyDescent="0.25">
      <c r="A12" s="2">
        <v>1</v>
      </c>
      <c r="B12" s="162" t="s">
        <v>318</v>
      </c>
      <c r="C12" s="8" t="s">
        <v>155</v>
      </c>
      <c r="D12" s="189" t="s">
        <v>156</v>
      </c>
      <c r="E12" s="2">
        <v>12</v>
      </c>
      <c r="F12" s="32">
        <f>'Прил.5 Расчет СМР и ОБ'!F39</f>
        <v>194568.69</v>
      </c>
      <c r="G12" s="32">
        <f>'Прил.5 Расчет СМР и ОБ'!G39</f>
        <v>5110810.8</v>
      </c>
    </row>
    <row r="13" spans="1:7" x14ac:dyDescent="0.25">
      <c r="A13" s="2">
        <v>2</v>
      </c>
      <c r="B13" s="162" t="s">
        <v>154</v>
      </c>
      <c r="C13" s="8" t="s">
        <v>157</v>
      </c>
      <c r="D13" s="189" t="s">
        <v>156</v>
      </c>
      <c r="E13" s="2">
        <v>4</v>
      </c>
      <c r="F13" s="32">
        <f>'Прил.5 Расчет СМР и ОБ'!F41</f>
        <v>4046.87</v>
      </c>
      <c r="G13" s="32">
        <f>'Прил.5 Расчет СМР и ОБ'!G41</f>
        <v>16187.48</v>
      </c>
    </row>
    <row r="14" spans="1:7" ht="25.5" customHeight="1" x14ac:dyDescent="0.25">
      <c r="A14" s="2">
        <v>3</v>
      </c>
      <c r="B14" s="162" t="s">
        <v>154</v>
      </c>
      <c r="C14" s="8" t="s">
        <v>158</v>
      </c>
      <c r="D14" s="189" t="s">
        <v>156</v>
      </c>
      <c r="E14" s="2">
        <v>3</v>
      </c>
      <c r="F14" s="32">
        <f>'Прил.5 Расчет СМР и ОБ'!F42</f>
        <v>4887.58</v>
      </c>
      <c r="G14" s="32">
        <f>'Прил.5 Расчет СМР и ОБ'!G42</f>
        <v>14662.74</v>
      </c>
    </row>
    <row r="15" spans="1:7" ht="25.5" customHeight="1" x14ac:dyDescent="0.25">
      <c r="A15" s="2"/>
      <c r="B15" s="8"/>
      <c r="C15" s="8" t="s">
        <v>339</v>
      </c>
      <c r="D15" s="8"/>
      <c r="E15" s="47"/>
      <c r="F15" s="32"/>
      <c r="G15" s="32">
        <f>SUM(G12:G14)</f>
        <v>5141661.0200000005</v>
      </c>
    </row>
    <row r="16" spans="1:7" ht="19.5" customHeight="1" x14ac:dyDescent="0.25">
      <c r="A16" s="2"/>
      <c r="B16" s="8"/>
      <c r="C16" s="8" t="s">
        <v>340</v>
      </c>
      <c r="D16" s="8"/>
      <c r="E16" s="47"/>
      <c r="F16" s="32"/>
      <c r="G16" s="32">
        <f>G10+G15</f>
        <v>5141661.0200000005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s="193" customFormat="1" x14ac:dyDescent="0.25">
      <c r="B18" s="194" t="s">
        <v>76</v>
      </c>
      <c r="C18" s="200"/>
    </row>
    <row r="19" spans="1:7" s="193" customFormat="1" x14ac:dyDescent="0.25">
      <c r="B19" s="33" t="s">
        <v>77</v>
      </c>
      <c r="C19" s="200"/>
    </row>
    <row r="20" spans="1:7" s="193" customFormat="1" x14ac:dyDescent="0.25">
      <c r="B20" s="194"/>
      <c r="C20" s="200"/>
    </row>
    <row r="21" spans="1:7" s="193" customFormat="1" x14ac:dyDescent="0.25">
      <c r="B21" s="194" t="s">
        <v>78</v>
      </c>
      <c r="C21" s="200"/>
    </row>
    <row r="22" spans="1:7" s="193" customFormat="1" x14ac:dyDescent="0.25">
      <c r="B22" s="33" t="s">
        <v>79</v>
      </c>
      <c r="C22" s="20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6" x14ac:dyDescent="0.25">
      <c r="B1" s="4"/>
      <c r="C1" s="4"/>
      <c r="D1" s="52" t="s">
        <v>341</v>
      </c>
    </row>
    <row r="2" spans="1:6" x14ac:dyDescent="0.25">
      <c r="A2" s="52"/>
      <c r="B2" s="52"/>
      <c r="C2" s="52"/>
      <c r="D2" s="52"/>
    </row>
    <row r="3" spans="1:6" ht="24.75" customHeight="1" x14ac:dyDescent="0.25">
      <c r="A3" s="218" t="s">
        <v>342</v>
      </c>
      <c r="B3" s="218"/>
      <c r="C3" s="218"/>
      <c r="D3" s="218"/>
    </row>
    <row r="4" spans="1:6" ht="24.75" customHeight="1" x14ac:dyDescent="0.25">
      <c r="A4" s="173"/>
      <c r="B4" s="173"/>
      <c r="C4" s="173"/>
      <c r="D4" s="173"/>
    </row>
    <row r="5" spans="1:6" ht="51.75" customHeight="1" x14ac:dyDescent="0.25">
      <c r="A5" s="221" t="s">
        <v>300</v>
      </c>
      <c r="B5" s="221"/>
      <c r="C5" s="221"/>
      <c r="D5" s="192" t="str">
        <f>'Прил.5 Расчет СМР и ОБ'!D6</f>
        <v>ТН (четыре вторичные обмотки) на три фазы без устройства фундамента напряжение 220(150) кВ</v>
      </c>
      <c r="E5" s="193"/>
      <c r="F5" s="193"/>
    </row>
    <row r="6" spans="1:6" ht="19.899999999999999" customHeight="1" x14ac:dyDescent="0.25">
      <c r="A6" s="221" t="s">
        <v>50</v>
      </c>
      <c r="B6" s="221"/>
      <c r="C6" s="221"/>
      <c r="D6" s="192"/>
      <c r="E6" s="193"/>
      <c r="F6" s="193"/>
    </row>
    <row r="7" spans="1:6" x14ac:dyDescent="0.25">
      <c r="A7" s="194"/>
      <c r="B7" s="194"/>
      <c r="C7" s="194"/>
      <c r="D7" s="194"/>
      <c r="E7" s="193"/>
      <c r="F7" s="193"/>
    </row>
    <row r="8" spans="1:6" ht="14.45" customHeight="1" x14ac:dyDescent="0.25">
      <c r="A8" s="233" t="s">
        <v>5</v>
      </c>
      <c r="B8" s="233" t="s">
        <v>6</v>
      </c>
      <c r="C8" s="233" t="s">
        <v>343</v>
      </c>
      <c r="D8" s="233" t="s">
        <v>344</v>
      </c>
      <c r="E8" s="193"/>
      <c r="F8" s="193"/>
    </row>
    <row r="9" spans="1:6" ht="15" customHeight="1" x14ac:dyDescent="0.25">
      <c r="A9" s="233"/>
      <c r="B9" s="233"/>
      <c r="C9" s="233"/>
      <c r="D9" s="233"/>
      <c r="E9" s="193"/>
      <c r="F9" s="193"/>
    </row>
    <row r="10" spans="1:6" x14ac:dyDescent="0.25">
      <c r="A10" s="195">
        <v>1</v>
      </c>
      <c r="B10" s="195">
        <v>2</v>
      </c>
      <c r="C10" s="195">
        <v>3</v>
      </c>
      <c r="D10" s="195">
        <v>4</v>
      </c>
      <c r="E10" s="193"/>
      <c r="F10" s="193"/>
    </row>
    <row r="11" spans="1:6" ht="41.45" customHeight="1" x14ac:dyDescent="0.25">
      <c r="A11" s="195" t="s">
        <v>345</v>
      </c>
      <c r="B11" s="195" t="s">
        <v>346</v>
      </c>
      <c r="C11" s="217" t="str">
        <f>D5</f>
        <v>ТН (четыре вторичные обмотки) на три фазы без устройства фундамента напряжение 220(150) кВ</v>
      </c>
      <c r="D11" s="196">
        <f>'Прил.4 РМ'!C41/1000</f>
        <v>5307.2689950000004</v>
      </c>
      <c r="E11" s="197"/>
      <c r="F11" s="193"/>
    </row>
    <row r="12" spans="1:6" x14ac:dyDescent="0.25">
      <c r="A12" s="198"/>
      <c r="B12" s="199"/>
      <c r="C12" s="198"/>
      <c r="D12" s="221"/>
      <c r="E12" s="221"/>
      <c r="F12" s="221"/>
    </row>
    <row r="13" spans="1:6" s="193" customFormat="1" x14ac:dyDescent="0.25">
      <c r="B13" s="194" t="s">
        <v>76</v>
      </c>
      <c r="C13" s="200"/>
    </row>
    <row r="14" spans="1:6" s="193" customFormat="1" x14ac:dyDescent="0.25">
      <c r="B14" s="33" t="s">
        <v>77</v>
      </c>
      <c r="C14" s="200"/>
    </row>
    <row r="15" spans="1:6" s="193" customFormat="1" x14ac:dyDescent="0.25">
      <c r="B15" s="194"/>
      <c r="C15" s="200"/>
    </row>
    <row r="16" spans="1:6" s="193" customFormat="1" x14ac:dyDescent="0.25">
      <c r="B16" s="194" t="s">
        <v>78</v>
      </c>
      <c r="C16" s="200"/>
    </row>
    <row r="17" spans="2:3" s="193" customFormat="1" x14ac:dyDescent="0.25">
      <c r="B17" s="33" t="s">
        <v>79</v>
      </c>
      <c r="C17" s="200"/>
    </row>
  </sheetData>
  <mergeCells count="8">
    <mergeCell ref="D12:F12"/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tabSelected="1" view="pageBreakPreview" topLeftCell="A13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9.5703125" customWidth="1"/>
    <col min="4" max="4" width="32" customWidth="1"/>
    <col min="5" max="5" width="9.140625" customWidth="1"/>
  </cols>
  <sheetData>
    <row r="4" spans="2:5" ht="15.75" customHeight="1" x14ac:dyDescent="0.25">
      <c r="B4" s="226" t="s">
        <v>347</v>
      </c>
      <c r="C4" s="226"/>
      <c r="D4" s="226"/>
    </row>
    <row r="5" spans="2:5" ht="18.75" customHeight="1" x14ac:dyDescent="0.25">
      <c r="B5" s="138"/>
    </row>
    <row r="6" spans="2:5" ht="15.75" customHeight="1" x14ac:dyDescent="0.25">
      <c r="B6" s="232" t="s">
        <v>348</v>
      </c>
      <c r="C6" s="232"/>
      <c r="D6" s="232"/>
    </row>
    <row r="7" spans="2:5" x14ac:dyDescent="0.25">
      <c r="B7" s="265" t="s">
        <v>349</v>
      </c>
      <c r="C7" s="265"/>
      <c r="D7" s="265"/>
      <c r="E7" s="265"/>
    </row>
    <row r="8" spans="2:5" x14ac:dyDescent="0.25">
      <c r="B8" s="160"/>
      <c r="C8" s="160"/>
      <c r="D8" s="160"/>
      <c r="E8" s="160"/>
    </row>
    <row r="9" spans="2:5" ht="47.25" customHeight="1" x14ac:dyDescent="0.25">
      <c r="B9" s="118" t="s">
        <v>350</v>
      </c>
      <c r="C9" s="118" t="s">
        <v>351</v>
      </c>
      <c r="D9" s="118" t="s">
        <v>352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31.5" customHeight="1" x14ac:dyDescent="0.25">
      <c r="B11" s="118" t="s">
        <v>353</v>
      </c>
      <c r="C11" s="118" t="s">
        <v>354</v>
      </c>
      <c r="D11" s="118">
        <v>44.29</v>
      </c>
    </row>
    <row r="12" spans="2:5" ht="31.5" customHeight="1" x14ac:dyDescent="0.25">
      <c r="B12" s="118" t="s">
        <v>355</v>
      </c>
      <c r="C12" s="118" t="s">
        <v>354</v>
      </c>
      <c r="D12" s="118">
        <v>13.47</v>
      </c>
    </row>
    <row r="13" spans="2:5" ht="31.5" customHeight="1" x14ac:dyDescent="0.25">
      <c r="B13" s="118" t="s">
        <v>356</v>
      </c>
      <c r="C13" s="118" t="s">
        <v>354</v>
      </c>
      <c r="D13" s="118">
        <v>8.0399999999999991</v>
      </c>
    </row>
    <row r="14" spans="2:5" ht="31.5" customHeight="1" x14ac:dyDescent="0.25">
      <c r="B14" s="118" t="s">
        <v>357</v>
      </c>
      <c r="C14" s="191" t="s">
        <v>358</v>
      </c>
      <c r="D14" s="118">
        <v>6.26</v>
      </c>
    </row>
    <row r="15" spans="2:5" ht="89.25" customHeight="1" x14ac:dyDescent="0.25">
      <c r="B15" s="118" t="s">
        <v>359</v>
      </c>
      <c r="C15" s="118" t="s">
        <v>360</v>
      </c>
      <c r="D15" s="139">
        <v>3.9E-2</v>
      </c>
    </row>
    <row r="16" spans="2:5" ht="78.75" customHeight="1" x14ac:dyDescent="0.25">
      <c r="B16" s="118" t="s">
        <v>361</v>
      </c>
      <c r="C16" s="118" t="s">
        <v>362</v>
      </c>
      <c r="D16" s="139">
        <v>2.1000000000000001E-2</v>
      </c>
    </row>
    <row r="17" spans="2:4" ht="15.75" customHeight="1" x14ac:dyDescent="0.25">
      <c r="B17" s="118" t="s">
        <v>363</v>
      </c>
      <c r="C17" s="118"/>
      <c r="D17" s="118" t="s">
        <v>364</v>
      </c>
    </row>
    <row r="18" spans="2:4" ht="31.5" customHeight="1" x14ac:dyDescent="0.25">
      <c r="B18" s="118" t="s">
        <v>275</v>
      </c>
      <c r="C18" s="118" t="s">
        <v>365</v>
      </c>
      <c r="D18" s="139">
        <v>2.1399999999999999E-2</v>
      </c>
    </row>
    <row r="19" spans="2:4" ht="31.5" customHeight="1" x14ac:dyDescent="0.25">
      <c r="B19" s="118" t="s">
        <v>297</v>
      </c>
      <c r="C19" s="118" t="s">
        <v>366</v>
      </c>
      <c r="D19" s="139">
        <v>2E-3</v>
      </c>
    </row>
    <row r="20" spans="2:4" ht="24" customHeight="1" x14ac:dyDescent="0.25">
      <c r="B20" s="118" t="s">
        <v>278</v>
      </c>
      <c r="C20" s="118" t="s">
        <v>367</v>
      </c>
      <c r="D20" s="139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s="193" customFormat="1" x14ac:dyDescent="0.25">
      <c r="B27" s="194" t="s">
        <v>76</v>
      </c>
      <c r="C27" s="200"/>
    </row>
    <row r="28" spans="2:4" s="193" customFormat="1" x14ac:dyDescent="0.25">
      <c r="B28" s="33" t="s">
        <v>77</v>
      </c>
      <c r="C28" s="200"/>
    </row>
    <row r="29" spans="2:4" s="193" customFormat="1" x14ac:dyDescent="0.25">
      <c r="B29" s="194"/>
      <c r="C29" s="200"/>
    </row>
    <row r="30" spans="2:4" s="193" customFormat="1" x14ac:dyDescent="0.25">
      <c r="B30" s="194" t="s">
        <v>78</v>
      </c>
      <c r="C30" s="200"/>
    </row>
    <row r="31" spans="2:4" s="193" customFormat="1" x14ac:dyDescent="0.25">
      <c r="B31" s="33" t="s">
        <v>79</v>
      </c>
      <c r="C31" s="200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32" t="s">
        <v>368</v>
      </c>
      <c r="B2" s="232"/>
      <c r="C2" s="232"/>
      <c r="D2" s="232"/>
      <c r="E2" s="232"/>
      <c r="F2" s="232"/>
    </row>
    <row r="4" spans="1:7" ht="18" customHeight="1" x14ac:dyDescent="0.25">
      <c r="A4" s="125" t="s">
        <v>369</v>
      </c>
      <c r="B4" s="126"/>
      <c r="C4" s="126"/>
      <c r="D4" s="126"/>
      <c r="E4" s="126"/>
      <c r="F4" s="126"/>
      <c r="G4" s="126"/>
    </row>
    <row r="5" spans="1:7" ht="15.75" customHeight="1" x14ac:dyDescent="0.25">
      <c r="A5" s="127" t="s">
        <v>13</v>
      </c>
      <c r="B5" s="127" t="s">
        <v>370</v>
      </c>
      <c r="C5" s="127" t="s">
        <v>371</v>
      </c>
      <c r="D5" s="127" t="s">
        <v>372</v>
      </c>
      <c r="E5" s="127" t="s">
        <v>373</v>
      </c>
      <c r="F5" s="127" t="s">
        <v>374</v>
      </c>
      <c r="G5" s="126"/>
    </row>
    <row r="6" spans="1:7" ht="15.75" customHeight="1" x14ac:dyDescent="0.25">
      <c r="A6" s="127">
        <v>1</v>
      </c>
      <c r="B6" s="127">
        <v>2</v>
      </c>
      <c r="C6" s="127">
        <v>3</v>
      </c>
      <c r="D6" s="127">
        <v>4</v>
      </c>
      <c r="E6" s="127">
        <v>5</v>
      </c>
      <c r="F6" s="127">
        <v>6</v>
      </c>
      <c r="G6" s="126"/>
    </row>
    <row r="7" spans="1:7" ht="110.25" customHeight="1" x14ac:dyDescent="0.25">
      <c r="A7" s="128" t="s">
        <v>375</v>
      </c>
      <c r="B7" s="129" t="s">
        <v>376</v>
      </c>
      <c r="C7" s="188" t="s">
        <v>377</v>
      </c>
      <c r="D7" s="188" t="s">
        <v>378</v>
      </c>
      <c r="E7" s="130">
        <v>47872.94</v>
      </c>
      <c r="F7" s="129" t="s">
        <v>379</v>
      </c>
      <c r="G7" s="126"/>
    </row>
    <row r="8" spans="1:7" ht="31.5" customHeight="1" x14ac:dyDescent="0.25">
      <c r="A8" s="128" t="s">
        <v>380</v>
      </c>
      <c r="B8" s="129" t="s">
        <v>381</v>
      </c>
      <c r="C8" s="188" t="s">
        <v>382</v>
      </c>
      <c r="D8" s="188" t="s">
        <v>383</v>
      </c>
      <c r="E8" s="130">
        <f>1973/12</f>
        <v>164.41666666667001</v>
      </c>
      <c r="F8" s="129" t="s">
        <v>384</v>
      </c>
      <c r="G8" s="131"/>
    </row>
    <row r="9" spans="1:7" ht="15.75" customHeight="1" x14ac:dyDescent="0.25">
      <c r="A9" s="128" t="s">
        <v>385</v>
      </c>
      <c r="B9" s="129" t="s">
        <v>386</v>
      </c>
      <c r="C9" s="188" t="s">
        <v>387</v>
      </c>
      <c r="D9" s="188" t="s">
        <v>378</v>
      </c>
      <c r="E9" s="130">
        <v>1</v>
      </c>
      <c r="F9" s="129"/>
      <c r="G9" s="131"/>
    </row>
    <row r="10" spans="1:7" ht="15.75" customHeight="1" x14ac:dyDescent="0.25">
      <c r="A10" s="128" t="s">
        <v>388</v>
      </c>
      <c r="B10" s="129" t="s">
        <v>389</v>
      </c>
      <c r="C10" s="188"/>
      <c r="D10" s="188"/>
      <c r="E10" s="132">
        <v>5.7</v>
      </c>
      <c r="F10" s="129" t="s">
        <v>390</v>
      </c>
      <c r="G10" s="131"/>
    </row>
    <row r="11" spans="1:7" ht="78.75" customHeight="1" x14ac:dyDescent="0.25">
      <c r="A11" s="128" t="s">
        <v>391</v>
      </c>
      <c r="B11" s="129" t="s">
        <v>392</v>
      </c>
      <c r="C11" s="188" t="s">
        <v>393</v>
      </c>
      <c r="D11" s="188" t="s">
        <v>378</v>
      </c>
      <c r="E11" s="133">
        <v>1.7210000000000001</v>
      </c>
      <c r="F11" s="129" t="s">
        <v>394</v>
      </c>
      <c r="G11" s="126"/>
    </row>
    <row r="12" spans="1:7" ht="78.75" customHeight="1" x14ac:dyDescent="0.25">
      <c r="A12" s="128" t="s">
        <v>395</v>
      </c>
      <c r="B12" s="119" t="s">
        <v>396</v>
      </c>
      <c r="C12" s="188" t="s">
        <v>397</v>
      </c>
      <c r="D12" s="188" t="s">
        <v>378</v>
      </c>
      <c r="E12" s="134">
        <v>1.139</v>
      </c>
      <c r="F12" s="135" t="s">
        <v>398</v>
      </c>
      <c r="G12" s="131" t="s">
        <v>399</v>
      </c>
    </row>
    <row r="13" spans="1:7" ht="63" customHeight="1" x14ac:dyDescent="0.25">
      <c r="A13" s="128" t="s">
        <v>400</v>
      </c>
      <c r="B13" s="136" t="s">
        <v>401</v>
      </c>
      <c r="C13" s="188" t="s">
        <v>402</v>
      </c>
      <c r="D13" s="188" t="s">
        <v>403</v>
      </c>
      <c r="E13" s="137">
        <f>((E7*E9/E8)*E11)*E12</f>
        <v>570.75385650599003</v>
      </c>
      <c r="F13" s="129" t="s">
        <v>404</v>
      </c>
      <c r="G13" s="126"/>
    </row>
    <row r="14" spans="1:7" ht="15.75" customHeight="1" x14ac:dyDescent="0.25">
      <c r="A14" s="126"/>
      <c r="B14" s="122" t="s">
        <v>110</v>
      </c>
      <c r="C14" s="126"/>
      <c r="D14" s="126"/>
      <c r="E14" s="126"/>
      <c r="F14" s="126"/>
    </row>
    <row r="15" spans="1:7" ht="110.25" customHeight="1" x14ac:dyDescent="0.25">
      <c r="A15" s="128" t="s">
        <v>375</v>
      </c>
      <c r="B15" s="129" t="s">
        <v>376</v>
      </c>
      <c r="C15" s="188" t="s">
        <v>377</v>
      </c>
      <c r="D15" s="188" t="s">
        <v>378</v>
      </c>
      <c r="E15" s="130">
        <v>47872.94</v>
      </c>
      <c r="F15" s="129" t="s">
        <v>379</v>
      </c>
    </row>
    <row r="16" spans="1:7" ht="31.5" customHeight="1" x14ac:dyDescent="0.25">
      <c r="A16" s="128" t="s">
        <v>380</v>
      </c>
      <c r="B16" s="129" t="s">
        <v>381</v>
      </c>
      <c r="C16" s="188" t="s">
        <v>382</v>
      </c>
      <c r="D16" s="188" t="s">
        <v>383</v>
      </c>
      <c r="E16" s="130">
        <f>1973/12</f>
        <v>164.41666666667001</v>
      </c>
      <c r="F16" s="129" t="s">
        <v>384</v>
      </c>
    </row>
    <row r="17" spans="1:6" ht="15.75" customHeight="1" x14ac:dyDescent="0.25">
      <c r="A17" s="128" t="s">
        <v>385</v>
      </c>
      <c r="B17" s="129" t="s">
        <v>386</v>
      </c>
      <c r="C17" s="188" t="s">
        <v>387</v>
      </c>
      <c r="D17" s="188" t="s">
        <v>378</v>
      </c>
      <c r="E17" s="130">
        <v>1</v>
      </c>
      <c r="F17" s="129"/>
    </row>
    <row r="18" spans="1:6" ht="15.75" customHeight="1" x14ac:dyDescent="0.25">
      <c r="A18" s="128" t="s">
        <v>388</v>
      </c>
      <c r="B18" s="129" t="s">
        <v>389</v>
      </c>
      <c r="C18" s="188"/>
      <c r="D18" s="188"/>
      <c r="E18" s="132">
        <v>1</v>
      </c>
      <c r="F18" s="129" t="s">
        <v>390</v>
      </c>
    </row>
    <row r="19" spans="1:6" ht="78.75" customHeight="1" x14ac:dyDescent="0.25">
      <c r="A19" s="128" t="s">
        <v>391</v>
      </c>
      <c r="B19" s="129" t="s">
        <v>392</v>
      </c>
      <c r="C19" s="188" t="s">
        <v>393</v>
      </c>
      <c r="D19" s="188" t="s">
        <v>378</v>
      </c>
      <c r="E19" s="133">
        <v>2.15</v>
      </c>
      <c r="F19" s="129" t="s">
        <v>405</v>
      </c>
    </row>
    <row r="20" spans="1:6" ht="78.75" customHeight="1" x14ac:dyDescent="0.25">
      <c r="A20" s="128" t="s">
        <v>395</v>
      </c>
      <c r="B20" s="119" t="s">
        <v>396</v>
      </c>
      <c r="C20" s="188" t="s">
        <v>397</v>
      </c>
      <c r="D20" s="188" t="s">
        <v>378</v>
      </c>
      <c r="E20" s="134">
        <v>1.139</v>
      </c>
      <c r="F20" s="135" t="s">
        <v>398</v>
      </c>
    </row>
    <row r="21" spans="1:6" ht="63" customHeight="1" x14ac:dyDescent="0.25">
      <c r="A21" s="128" t="s">
        <v>400</v>
      </c>
      <c r="B21" s="136" t="s">
        <v>406</v>
      </c>
      <c r="C21" s="188" t="s">
        <v>402</v>
      </c>
      <c r="D21" s="188" t="s">
        <v>403</v>
      </c>
      <c r="E21" s="137">
        <f>((E15*E17/E16)*E19)*E20</f>
        <v>713.02776960364997</v>
      </c>
      <c r="F21" s="129" t="s">
        <v>404</v>
      </c>
    </row>
    <row r="22" spans="1:6" ht="15.75" customHeight="1" x14ac:dyDescent="0.25">
      <c r="A22" s="126"/>
      <c r="B22" s="122" t="s">
        <v>113</v>
      </c>
      <c r="C22" s="126"/>
      <c r="D22" s="126"/>
      <c r="E22" s="126"/>
      <c r="F22" s="126"/>
    </row>
    <row r="23" spans="1:6" ht="110.25" customHeight="1" x14ac:dyDescent="0.25">
      <c r="A23" s="128" t="s">
        <v>375</v>
      </c>
      <c r="B23" s="129" t="s">
        <v>376</v>
      </c>
      <c r="C23" s="188" t="s">
        <v>377</v>
      </c>
      <c r="D23" s="188" t="s">
        <v>378</v>
      </c>
      <c r="E23" s="130">
        <v>47872.94</v>
      </c>
      <c r="F23" s="129" t="s">
        <v>379</v>
      </c>
    </row>
    <row r="24" spans="1:6" ht="31.5" customHeight="1" x14ac:dyDescent="0.25">
      <c r="A24" s="128" t="s">
        <v>380</v>
      </c>
      <c r="B24" s="129" t="s">
        <v>381</v>
      </c>
      <c r="C24" s="188" t="s">
        <v>382</v>
      </c>
      <c r="D24" s="188" t="s">
        <v>383</v>
      </c>
      <c r="E24" s="130">
        <f>1973/12</f>
        <v>164.41666666667001</v>
      </c>
      <c r="F24" s="129" t="s">
        <v>384</v>
      </c>
    </row>
    <row r="25" spans="1:6" ht="15.75" customHeight="1" x14ac:dyDescent="0.25">
      <c r="A25" s="128" t="s">
        <v>385</v>
      </c>
      <c r="B25" s="129" t="s">
        <v>386</v>
      </c>
      <c r="C25" s="188" t="s">
        <v>387</v>
      </c>
      <c r="D25" s="188" t="s">
        <v>378</v>
      </c>
      <c r="E25" s="130">
        <v>1</v>
      </c>
      <c r="F25" s="129"/>
    </row>
    <row r="26" spans="1:6" ht="15.75" customHeight="1" x14ac:dyDescent="0.25">
      <c r="A26" s="128" t="s">
        <v>388</v>
      </c>
      <c r="B26" s="129" t="s">
        <v>389</v>
      </c>
      <c r="C26" s="188"/>
      <c r="D26" s="188"/>
      <c r="E26" s="132">
        <v>1</v>
      </c>
      <c r="F26" s="129" t="s">
        <v>390</v>
      </c>
    </row>
    <row r="27" spans="1:6" ht="78.75" customHeight="1" x14ac:dyDescent="0.25">
      <c r="A27" s="128" t="s">
        <v>391</v>
      </c>
      <c r="B27" s="129" t="s">
        <v>392</v>
      </c>
      <c r="C27" s="188" t="s">
        <v>393</v>
      </c>
      <c r="D27" s="188" t="s">
        <v>378</v>
      </c>
      <c r="E27" s="133">
        <v>1.96</v>
      </c>
      <c r="F27" s="129" t="s">
        <v>405</v>
      </c>
    </row>
    <row r="28" spans="1:6" ht="78.75" customHeight="1" x14ac:dyDescent="0.25">
      <c r="A28" s="128" t="s">
        <v>395</v>
      </c>
      <c r="B28" s="119" t="s">
        <v>396</v>
      </c>
      <c r="C28" s="188" t="s">
        <v>397</v>
      </c>
      <c r="D28" s="188" t="s">
        <v>378</v>
      </c>
      <c r="E28" s="134">
        <v>1.139</v>
      </c>
      <c r="F28" s="135" t="s">
        <v>398</v>
      </c>
    </row>
    <row r="29" spans="1:6" ht="63" customHeight="1" x14ac:dyDescent="0.25">
      <c r="A29" s="128" t="s">
        <v>400</v>
      </c>
      <c r="B29" s="136" t="s">
        <v>406</v>
      </c>
      <c r="C29" s="188" t="s">
        <v>402</v>
      </c>
      <c r="D29" s="188" t="s">
        <v>403</v>
      </c>
      <c r="E29" s="137">
        <f>((E23*E25/E24)*E27)*E28</f>
        <v>650.01601322007002</v>
      </c>
      <c r="F29" s="129" t="s">
        <v>404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66" t="s">
        <v>407</v>
      </c>
      <c r="B1" s="266"/>
      <c r="C1" s="266"/>
      <c r="D1" s="266"/>
      <c r="E1" s="266"/>
      <c r="F1" s="266"/>
      <c r="G1" s="266"/>
      <c r="H1" s="266"/>
      <c r="I1" s="266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21" t="str">
        <f>'Прил. 3'!A6</f>
        <v>Наименование разрабатываемого показателя УНЦ -ТН (четыре вторичные обмотки) на три фазы без устройства фундамента напряжение 220(150) кВ</v>
      </c>
      <c r="B3" s="221"/>
      <c r="C3" s="221"/>
      <c r="D3" s="221"/>
      <c r="E3" s="221"/>
      <c r="F3" s="221"/>
      <c r="G3" s="221"/>
      <c r="H3" s="221"/>
      <c r="I3" s="221"/>
    </row>
    <row r="4" spans="1:13" s="4" customFormat="1" ht="15.75" customHeight="1" x14ac:dyDescent="0.2">
      <c r="A4" s="244"/>
      <c r="B4" s="244"/>
      <c r="C4" s="244"/>
      <c r="D4" s="244"/>
      <c r="E4" s="244"/>
      <c r="F4" s="244"/>
      <c r="G4" s="244"/>
      <c r="H4" s="244"/>
      <c r="I4" s="244"/>
    </row>
    <row r="5" spans="1:13" s="36" customFormat="1" ht="36.6" customHeight="1" x14ac:dyDescent="0.35">
      <c r="A5" s="267" t="s">
        <v>13</v>
      </c>
      <c r="B5" s="267" t="s">
        <v>408</v>
      </c>
      <c r="C5" s="267" t="s">
        <v>409</v>
      </c>
      <c r="D5" s="267" t="s">
        <v>410</v>
      </c>
      <c r="E5" s="264" t="s">
        <v>411</v>
      </c>
      <c r="F5" s="264"/>
      <c r="G5" s="264"/>
      <c r="H5" s="264"/>
      <c r="I5" s="264"/>
    </row>
    <row r="6" spans="1:13" s="30" customFormat="1" ht="31.5" customHeight="1" x14ac:dyDescent="0.2">
      <c r="A6" s="267"/>
      <c r="B6" s="267"/>
      <c r="C6" s="267"/>
      <c r="D6" s="267"/>
      <c r="E6" s="37" t="s">
        <v>87</v>
      </c>
      <c r="F6" s="37" t="s">
        <v>88</v>
      </c>
      <c r="G6" s="37" t="s">
        <v>43</v>
      </c>
      <c r="H6" s="37" t="s">
        <v>412</v>
      </c>
      <c r="I6" s="37" t="s">
        <v>413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270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414</v>
      </c>
      <c r="C9" s="8" t="s">
        <v>415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416</v>
      </c>
      <c r="C11" s="8" t="s">
        <v>361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417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418</v>
      </c>
      <c r="C12" s="8" t="s">
        <v>419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420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365</v>
      </c>
      <c r="C14" s="8" t="s">
        <v>421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422</v>
      </c>
      <c r="C16" s="8" t="s">
        <v>423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424</v>
      </c>
    </row>
    <row r="17" spans="1:10" s="30" customFormat="1" ht="81.75" customHeight="1" x14ac:dyDescent="0.2">
      <c r="A17" s="38">
        <v>7</v>
      </c>
      <c r="B17" s="8" t="s">
        <v>422</v>
      </c>
      <c r="C17" s="8" t="s">
        <v>425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426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427</v>
      </c>
      <c r="C20" s="8" t="s">
        <v>278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428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281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282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283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284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9" t="s">
        <v>429</v>
      </c>
      <c r="O2" s="269"/>
    </row>
    <row r="3" spans="1:16" x14ac:dyDescent="0.25">
      <c r="A3" s="270" t="s">
        <v>430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</row>
    <row r="5" spans="1:16" ht="37.5" customHeight="1" x14ac:dyDescent="0.25">
      <c r="A5" s="271" t="s">
        <v>431</v>
      </c>
      <c r="B5" s="274" t="s">
        <v>432</v>
      </c>
      <c r="C5" s="277" t="s">
        <v>433</v>
      </c>
      <c r="D5" s="280" t="s">
        <v>434</v>
      </c>
      <c r="E5" s="281"/>
      <c r="F5" s="281"/>
      <c r="G5" s="281"/>
      <c r="H5" s="281"/>
      <c r="I5" s="280" t="s">
        <v>435</v>
      </c>
      <c r="J5" s="281"/>
      <c r="K5" s="281"/>
      <c r="L5" s="281"/>
      <c r="M5" s="281"/>
      <c r="N5" s="281"/>
      <c r="O5" s="54" t="s">
        <v>436</v>
      </c>
    </row>
    <row r="6" spans="1:16" s="57" customFormat="1" ht="150" customHeight="1" x14ac:dyDescent="0.25">
      <c r="A6" s="272"/>
      <c r="B6" s="275"/>
      <c r="C6" s="278"/>
      <c r="D6" s="277" t="s">
        <v>437</v>
      </c>
      <c r="E6" s="282" t="s">
        <v>438</v>
      </c>
      <c r="F6" s="283"/>
      <c r="G6" s="284"/>
      <c r="H6" s="55" t="s">
        <v>439</v>
      </c>
      <c r="I6" s="285" t="s">
        <v>440</v>
      </c>
      <c r="J6" s="285" t="s">
        <v>437</v>
      </c>
      <c r="K6" s="286" t="s">
        <v>438</v>
      </c>
      <c r="L6" s="286"/>
      <c r="M6" s="286"/>
      <c r="N6" s="55" t="s">
        <v>439</v>
      </c>
      <c r="O6" s="56" t="s">
        <v>441</v>
      </c>
    </row>
    <row r="7" spans="1:16" s="57" customFormat="1" ht="30.75" customHeight="1" x14ac:dyDescent="0.25">
      <c r="A7" s="273"/>
      <c r="B7" s="276"/>
      <c r="C7" s="279"/>
      <c r="D7" s="279"/>
      <c r="E7" s="54" t="s">
        <v>87</v>
      </c>
      <c r="F7" s="54" t="s">
        <v>88</v>
      </c>
      <c r="G7" s="54" t="s">
        <v>43</v>
      </c>
      <c r="H7" s="58" t="s">
        <v>442</v>
      </c>
      <c r="I7" s="285"/>
      <c r="J7" s="285"/>
      <c r="K7" s="54" t="s">
        <v>87</v>
      </c>
      <c r="L7" s="54" t="s">
        <v>88</v>
      </c>
      <c r="M7" s="54" t="s">
        <v>43</v>
      </c>
      <c r="N7" s="58" t="s">
        <v>442</v>
      </c>
      <c r="O7" s="54" t="s">
        <v>443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71" t="s">
        <v>444</v>
      </c>
      <c r="C9" s="60" t="s">
        <v>445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73"/>
      <c r="C10" s="63" t="s">
        <v>446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71" t="s">
        <v>447</v>
      </c>
      <c r="C11" s="63" t="s">
        <v>448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73"/>
      <c r="C12" s="63" t="s">
        <v>449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71" t="s">
        <v>450</v>
      </c>
      <c r="C13" s="60" t="s">
        <v>451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73"/>
      <c r="C14" s="63" t="s">
        <v>452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453</v>
      </c>
      <c r="C15" s="63" t="s">
        <v>454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455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456</v>
      </c>
    </row>
    <row r="19" spans="1:15" ht="30.75" customHeight="1" x14ac:dyDescent="0.25">
      <c r="L19" s="75"/>
    </row>
    <row r="20" spans="1:15" ht="15" customHeight="1" outlineLevel="1" x14ac:dyDescent="0.25">
      <c r="G20" s="268" t="s">
        <v>457</v>
      </c>
      <c r="H20" s="268"/>
      <c r="I20" s="268"/>
      <c r="J20" s="268"/>
      <c r="K20" s="268"/>
      <c r="L20" s="268"/>
      <c r="M20" s="268"/>
      <c r="N20" s="268"/>
    </row>
    <row r="21" spans="1:15" ht="15.75" customHeight="1" outlineLevel="1" x14ac:dyDescent="0.25">
      <c r="G21" s="76"/>
      <c r="H21" s="76" t="s">
        <v>458</v>
      </c>
      <c r="I21" s="76" t="s">
        <v>459</v>
      </c>
      <c r="J21" s="76" t="s">
        <v>460</v>
      </c>
      <c r="K21" s="77" t="s">
        <v>461</v>
      </c>
      <c r="L21" s="76" t="s">
        <v>462</v>
      </c>
      <c r="M21" s="76" t="s">
        <v>463</v>
      </c>
      <c r="N21" s="76" t="s">
        <v>464</v>
      </c>
      <c r="O21" s="70"/>
    </row>
    <row r="22" spans="1:15" ht="15.75" customHeight="1" outlineLevel="1" x14ac:dyDescent="0.25">
      <c r="G22" s="288" t="s">
        <v>465</v>
      </c>
      <c r="H22" s="287">
        <v>6.09</v>
      </c>
      <c r="I22" s="289">
        <v>6.44</v>
      </c>
      <c r="J22" s="287">
        <v>5.77</v>
      </c>
      <c r="K22" s="289">
        <v>5.77</v>
      </c>
      <c r="L22" s="287">
        <v>5.23</v>
      </c>
      <c r="M22" s="287">
        <v>5.77</v>
      </c>
      <c r="N22" s="78">
        <v>6.29</v>
      </c>
      <c r="O22" t="s">
        <v>466</v>
      </c>
    </row>
    <row r="23" spans="1:15" ht="15.75" customHeight="1" outlineLevel="1" x14ac:dyDescent="0.25">
      <c r="G23" s="288"/>
      <c r="H23" s="287"/>
      <c r="I23" s="289"/>
      <c r="J23" s="287"/>
      <c r="K23" s="289"/>
      <c r="L23" s="287"/>
      <c r="M23" s="287"/>
      <c r="N23" s="78">
        <v>6.56</v>
      </c>
      <c r="O23" t="s">
        <v>467</v>
      </c>
    </row>
    <row r="24" spans="1:15" ht="15.75" customHeight="1" outlineLevel="1" x14ac:dyDescent="0.25">
      <c r="G24" s="79" t="s">
        <v>468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442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469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470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412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05" t="s">
        <v>471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</row>
    <row r="4" spans="1:18" ht="36.75" customHeight="1" x14ac:dyDescent="0.25">
      <c r="A4" s="271" t="s">
        <v>431</v>
      </c>
      <c r="B4" s="274" t="s">
        <v>432</v>
      </c>
      <c r="C4" s="277" t="s">
        <v>472</v>
      </c>
      <c r="D4" s="277" t="s">
        <v>473</v>
      </c>
      <c r="E4" s="280" t="s">
        <v>474</v>
      </c>
      <c r="F4" s="281"/>
      <c r="G4" s="281"/>
      <c r="H4" s="281"/>
      <c r="I4" s="281"/>
      <c r="J4" s="281"/>
      <c r="K4" s="281"/>
      <c r="L4" s="281"/>
      <c r="M4" s="281"/>
      <c r="N4" s="306" t="s">
        <v>475</v>
      </c>
      <c r="O4" s="307"/>
      <c r="P4" s="307"/>
      <c r="Q4" s="307"/>
      <c r="R4" s="308"/>
    </row>
    <row r="5" spans="1:18" ht="60" customHeight="1" x14ac:dyDescent="0.25">
      <c r="A5" s="272"/>
      <c r="B5" s="275"/>
      <c r="C5" s="278"/>
      <c r="D5" s="278"/>
      <c r="E5" s="285" t="s">
        <v>476</v>
      </c>
      <c r="F5" s="285" t="s">
        <v>477</v>
      </c>
      <c r="G5" s="282" t="s">
        <v>438</v>
      </c>
      <c r="H5" s="283"/>
      <c r="I5" s="283"/>
      <c r="J5" s="284"/>
      <c r="K5" s="285" t="s">
        <v>478</v>
      </c>
      <c r="L5" s="285"/>
      <c r="M5" s="285"/>
      <c r="N5" s="81" t="s">
        <v>479</v>
      </c>
      <c r="O5" s="81" t="s">
        <v>480</v>
      </c>
      <c r="P5" s="81" t="s">
        <v>481</v>
      </c>
      <c r="Q5" s="82" t="s">
        <v>482</v>
      </c>
      <c r="R5" s="81" t="s">
        <v>483</v>
      </c>
    </row>
    <row r="6" spans="1:18" ht="49.5" customHeight="1" x14ac:dyDescent="0.25">
      <c r="A6" s="273"/>
      <c r="B6" s="276"/>
      <c r="C6" s="279"/>
      <c r="D6" s="279"/>
      <c r="E6" s="285"/>
      <c r="F6" s="285"/>
      <c r="G6" s="54" t="s">
        <v>87</v>
      </c>
      <c r="H6" s="54" t="s">
        <v>88</v>
      </c>
      <c r="I6" s="54" t="s">
        <v>43</v>
      </c>
      <c r="J6" s="54" t="s">
        <v>412</v>
      </c>
      <c r="K6" s="54" t="s">
        <v>479</v>
      </c>
      <c r="L6" s="54" t="s">
        <v>480</v>
      </c>
      <c r="M6" s="54" t="s">
        <v>481</v>
      </c>
      <c r="N6" s="54" t="s">
        <v>484</v>
      </c>
      <c r="O6" s="54" t="s">
        <v>485</v>
      </c>
      <c r="P6" s="54" t="s">
        <v>486</v>
      </c>
      <c r="Q6" s="55" t="s">
        <v>487</v>
      </c>
      <c r="R6" s="54" t="s">
        <v>488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71">
        <v>1</v>
      </c>
      <c r="B9" s="271" t="s">
        <v>489</v>
      </c>
      <c r="C9" s="298" t="s">
        <v>445</v>
      </c>
      <c r="D9" s="60" t="s">
        <v>490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73"/>
      <c r="B10" s="272"/>
      <c r="C10" s="299"/>
      <c r="D10" s="60" t="s">
        <v>491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71">
        <v>2</v>
      </c>
      <c r="B11" s="272"/>
      <c r="C11" s="298" t="s">
        <v>492</v>
      </c>
      <c r="D11" s="60" t="s">
        <v>490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73"/>
      <c r="B12" s="273"/>
      <c r="C12" s="299"/>
      <c r="D12" s="60" t="s">
        <v>491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71">
        <v>3</v>
      </c>
      <c r="B13" s="271" t="s">
        <v>447</v>
      </c>
      <c r="C13" s="301" t="s">
        <v>448</v>
      </c>
      <c r="D13" s="60" t="s">
        <v>493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73"/>
      <c r="B14" s="272"/>
      <c r="C14" s="302"/>
      <c r="D14" s="60" t="s">
        <v>491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71">
        <v>4</v>
      </c>
      <c r="B15" s="272"/>
      <c r="C15" s="303" t="s">
        <v>449</v>
      </c>
      <c r="D15" s="63" t="s">
        <v>493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73"/>
      <c r="B16" s="273"/>
      <c r="C16" s="304"/>
      <c r="D16" s="63" t="s">
        <v>491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71">
        <v>5</v>
      </c>
      <c r="B17" s="286" t="s">
        <v>450</v>
      </c>
      <c r="C17" s="298" t="s">
        <v>494</v>
      </c>
      <c r="D17" s="60" t="s">
        <v>495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73"/>
      <c r="B18" s="286"/>
      <c r="C18" s="299"/>
      <c r="D18" s="60" t="s">
        <v>491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71">
        <v>6</v>
      </c>
      <c r="B19" s="286"/>
      <c r="C19" s="298" t="s">
        <v>452</v>
      </c>
      <c r="D19" s="63" t="s">
        <v>493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73"/>
      <c r="B20" s="286"/>
      <c r="C20" s="299"/>
      <c r="D20" s="63" t="s">
        <v>491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71">
        <v>7</v>
      </c>
      <c r="B21" s="271" t="s">
        <v>453</v>
      </c>
      <c r="C21" s="298" t="s">
        <v>454</v>
      </c>
      <c r="D21" s="63" t="s">
        <v>496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73"/>
      <c r="B22" s="273"/>
      <c r="C22" s="299"/>
      <c r="D22" s="86" t="s">
        <v>491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497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00" t="s">
        <v>498</v>
      </c>
      <c r="E26" s="300"/>
      <c r="F26" s="300"/>
      <c r="G26" s="300"/>
      <c r="H26" s="300"/>
      <c r="I26" s="300"/>
      <c r="J26" s="300"/>
      <c r="K26" s="300"/>
      <c r="L26" s="75"/>
      <c r="R26" s="93"/>
    </row>
    <row r="27" spans="1:18" outlineLevel="1" x14ac:dyDescent="0.25">
      <c r="D27" s="94"/>
      <c r="E27" s="94" t="s">
        <v>458</v>
      </c>
      <c r="F27" s="94" t="s">
        <v>459</v>
      </c>
      <c r="G27" s="94" t="s">
        <v>460</v>
      </c>
      <c r="H27" s="95" t="s">
        <v>461</v>
      </c>
      <c r="I27" s="95" t="s">
        <v>462</v>
      </c>
      <c r="J27" s="95" t="s">
        <v>463</v>
      </c>
      <c r="K27" s="66" t="s">
        <v>464</v>
      </c>
    </row>
    <row r="28" spans="1:18" outlineLevel="1" x14ac:dyDescent="0.25">
      <c r="D28" s="294" t="s">
        <v>465</v>
      </c>
      <c r="E28" s="292">
        <v>6.09</v>
      </c>
      <c r="F28" s="296">
        <v>6.63</v>
      </c>
      <c r="G28" s="292">
        <v>5.77</v>
      </c>
      <c r="H28" s="290">
        <v>5.77</v>
      </c>
      <c r="I28" s="290">
        <v>6.35</v>
      </c>
      <c r="J28" s="292">
        <v>5.77</v>
      </c>
      <c r="K28" s="96">
        <v>6.29</v>
      </c>
      <c r="L28" t="s">
        <v>466</v>
      </c>
    </row>
    <row r="29" spans="1:18" outlineLevel="1" x14ac:dyDescent="0.25">
      <c r="D29" s="295"/>
      <c r="E29" s="293"/>
      <c r="F29" s="297"/>
      <c r="G29" s="293"/>
      <c r="H29" s="291"/>
      <c r="I29" s="291"/>
      <c r="J29" s="293"/>
      <c r="K29" s="96">
        <v>6.56</v>
      </c>
      <c r="L29" t="s">
        <v>467</v>
      </c>
    </row>
    <row r="30" spans="1:18" outlineLevel="1" x14ac:dyDescent="0.25">
      <c r="D30" s="97" t="s">
        <v>468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294" t="s">
        <v>442</v>
      </c>
      <c r="E31" s="292">
        <v>11.37</v>
      </c>
      <c r="F31" s="296">
        <v>13.56</v>
      </c>
      <c r="G31" s="292">
        <v>15.91</v>
      </c>
      <c r="H31" s="290">
        <v>15.91</v>
      </c>
      <c r="I31" s="290">
        <v>14.03</v>
      </c>
      <c r="J31" s="292">
        <v>15.91</v>
      </c>
      <c r="K31" s="96">
        <v>8.2899999999999991</v>
      </c>
      <c r="L31" t="s">
        <v>466</v>
      </c>
    </row>
    <row r="32" spans="1:18" outlineLevel="1" x14ac:dyDescent="0.25">
      <c r="D32" s="295"/>
      <c r="E32" s="293"/>
      <c r="F32" s="297"/>
      <c r="G32" s="293"/>
      <c r="H32" s="291"/>
      <c r="I32" s="291"/>
      <c r="J32" s="293"/>
      <c r="K32" s="96">
        <v>11.84</v>
      </c>
      <c r="L32" t="s">
        <v>467</v>
      </c>
    </row>
    <row r="33" spans="4:12" ht="15" customHeight="1" outlineLevel="1" x14ac:dyDescent="0.25">
      <c r="D33" s="98" t="s">
        <v>469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499</v>
      </c>
    </row>
    <row r="34" spans="4:12" outlineLevel="1" x14ac:dyDescent="0.25">
      <c r="D34" s="98" t="s">
        <v>470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499</v>
      </c>
    </row>
    <row r="35" spans="4:12" outlineLevel="1" x14ac:dyDescent="0.25">
      <c r="D35" s="97" t="s">
        <v>412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8" t="s">
        <v>10</v>
      </c>
      <c r="B2" s="218"/>
      <c r="C2" s="218"/>
      <c r="D2" s="21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1"/>
    </row>
    <row r="5" spans="1:4" x14ac:dyDescent="0.25">
      <c r="A5" s="5"/>
      <c r="B5" s="1"/>
      <c r="C5" s="1"/>
    </row>
    <row r="6" spans="1:4" x14ac:dyDescent="0.25">
      <c r="A6" s="218" t="s">
        <v>12</v>
      </c>
      <c r="B6" s="218"/>
      <c r="C6" s="218"/>
      <c r="D6" s="21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5475.0171443986055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5141.6610200000005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5475.0171443986055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2" t="s">
        <v>5</v>
      </c>
      <c r="B15" s="223" t="s">
        <v>15</v>
      </c>
      <c r="C15" s="223"/>
      <c r="D15" s="223"/>
    </row>
    <row r="16" spans="1:4" x14ac:dyDescent="0.25">
      <c r="A16" s="222"/>
      <c r="B16" s="222" t="s">
        <v>17</v>
      </c>
      <c r="C16" s="223" t="s">
        <v>28</v>
      </c>
      <c r="D16" s="223"/>
    </row>
    <row r="17" spans="1:4" ht="39" customHeight="1" x14ac:dyDescent="0.25">
      <c r="A17" s="222"/>
      <c r="B17" s="22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5475.0171443986055</v>
      </c>
      <c r="C18" s="3">
        <f>C11</f>
        <v>0</v>
      </c>
      <c r="D18" s="3">
        <f>C12</f>
        <v>5141.6610200000005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4" t="s">
        <v>29</v>
      </c>
      <c r="B2" s="224"/>
      <c r="C2" s="224"/>
      <c r="D2" s="224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25" zoomScale="85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26" t="s">
        <v>45</v>
      </c>
      <c r="C3" s="226"/>
      <c r="D3" s="226"/>
    </row>
    <row r="4" spans="2:4" ht="18.75" customHeight="1" x14ac:dyDescent="0.25">
      <c r="B4" s="227" t="s">
        <v>46</v>
      </c>
      <c r="C4" s="227"/>
      <c r="D4" s="227"/>
    </row>
    <row r="5" spans="2:4" ht="84" customHeight="1" x14ac:dyDescent="0.25">
      <c r="B5" s="228" t="s">
        <v>47</v>
      </c>
      <c r="C5" s="228"/>
      <c r="D5" s="228"/>
    </row>
    <row r="6" spans="2:4" ht="18.75" customHeight="1" x14ac:dyDescent="0.25">
      <c r="B6" s="116"/>
      <c r="C6" s="116"/>
      <c r="D6" s="116"/>
    </row>
    <row r="7" spans="2:4" ht="42" customHeight="1" x14ac:dyDescent="0.25">
      <c r="B7" s="225" t="s">
        <v>48</v>
      </c>
      <c r="C7" s="225"/>
      <c r="D7" s="225"/>
    </row>
    <row r="8" spans="2:4" ht="31.5" customHeight="1" x14ac:dyDescent="0.25">
      <c r="B8" s="225" t="s">
        <v>49</v>
      </c>
      <c r="C8" s="225"/>
      <c r="D8" s="225"/>
    </row>
    <row r="9" spans="2:4" ht="15.75" customHeight="1" x14ac:dyDescent="0.25">
      <c r="B9" s="225" t="s">
        <v>50</v>
      </c>
      <c r="C9" s="225"/>
      <c r="D9" s="225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118" t="s">
        <v>54</v>
      </c>
    </row>
    <row r="13" spans="2:4" ht="31.5" customHeight="1" x14ac:dyDescent="0.25">
      <c r="B13" s="118">
        <v>2</v>
      </c>
      <c r="C13" s="119" t="s">
        <v>55</v>
      </c>
      <c r="D13" s="118" t="s">
        <v>56</v>
      </c>
    </row>
    <row r="14" spans="2:4" ht="15.75" customHeight="1" x14ac:dyDescent="0.25">
      <c r="B14" s="118">
        <v>3</v>
      </c>
      <c r="C14" s="119" t="s">
        <v>57</v>
      </c>
      <c r="D14" s="118" t="s">
        <v>58</v>
      </c>
    </row>
    <row r="15" spans="2:4" ht="15.75" customHeight="1" x14ac:dyDescent="0.25">
      <c r="B15" s="118">
        <v>4</v>
      </c>
      <c r="C15" s="119" t="s">
        <v>59</v>
      </c>
      <c r="D15" s="118" t="s">
        <v>60</v>
      </c>
    </row>
    <row r="16" spans="2:4" ht="161.25" customHeight="1" x14ac:dyDescent="0.25">
      <c r="B16" s="118">
        <v>5</v>
      </c>
      <c r="C16" s="120" t="s">
        <v>61</v>
      </c>
      <c r="D16" s="118" t="s">
        <v>62</v>
      </c>
    </row>
    <row r="17" spans="2:4" ht="95.25" customHeight="1" x14ac:dyDescent="0.25">
      <c r="B17" s="118">
        <v>6</v>
      </c>
      <c r="C17" s="120" t="s">
        <v>63</v>
      </c>
      <c r="D17" s="201">
        <f>SUM(D18:D21)</f>
        <v>7890.97</v>
      </c>
    </row>
    <row r="18" spans="2:4" ht="15.75" customHeight="1" x14ac:dyDescent="0.25">
      <c r="B18" s="121" t="s">
        <v>64</v>
      </c>
      <c r="C18" s="119" t="s">
        <v>65</v>
      </c>
      <c r="D18" s="201">
        <v>520.61</v>
      </c>
    </row>
    <row r="19" spans="2:4" ht="15.75" customHeight="1" x14ac:dyDescent="0.25">
      <c r="B19" s="121" t="s">
        <v>66</v>
      </c>
      <c r="C19" s="119" t="s">
        <v>67</v>
      </c>
      <c r="D19" s="201">
        <v>5501.68</v>
      </c>
    </row>
    <row r="20" spans="2:4" ht="15.75" customHeight="1" x14ac:dyDescent="0.25">
      <c r="B20" s="121" t="s">
        <v>68</v>
      </c>
      <c r="C20" s="119" t="s">
        <v>69</v>
      </c>
      <c r="D20" s="201"/>
    </row>
    <row r="21" spans="2:4" ht="31.5" customHeight="1" x14ac:dyDescent="0.25">
      <c r="B21" s="121" t="s">
        <v>70</v>
      </c>
      <c r="C21" s="119" t="s">
        <v>71</v>
      </c>
      <c r="D21" s="201">
        <v>1868.68</v>
      </c>
    </row>
    <row r="22" spans="2:4" ht="15.75" customHeight="1" x14ac:dyDescent="0.25">
      <c r="B22" s="118">
        <v>7</v>
      </c>
      <c r="C22" s="119" t="s">
        <v>72</v>
      </c>
      <c r="D22" s="121" t="s">
        <v>73</v>
      </c>
    </row>
    <row r="23" spans="2:4" ht="110.25" customHeight="1" x14ac:dyDescent="0.25">
      <c r="B23" s="118">
        <v>8</v>
      </c>
      <c r="C23" s="120" t="s">
        <v>74</v>
      </c>
      <c r="D23" s="201">
        <f>D17</f>
        <v>7890.97</v>
      </c>
    </row>
    <row r="24" spans="2:4" ht="61.5" customHeight="1" x14ac:dyDescent="0.25">
      <c r="B24" s="118">
        <v>9</v>
      </c>
      <c r="C24" s="120" t="s">
        <v>75</v>
      </c>
      <c r="D24" s="201">
        <f>D23/4</f>
        <v>1972.7425000000001</v>
      </c>
    </row>
    <row r="25" spans="2:4" ht="37.5" customHeight="1" x14ac:dyDescent="0.25">
      <c r="B25" s="122"/>
      <c r="C25" s="123"/>
      <c r="D25" s="123"/>
    </row>
    <row r="26" spans="2:4" s="193" customFormat="1" x14ac:dyDescent="0.25">
      <c r="B26" s="194" t="s">
        <v>76</v>
      </c>
      <c r="C26" s="200"/>
    </row>
    <row r="27" spans="2:4" s="193" customFormat="1" x14ac:dyDescent="0.25">
      <c r="B27" s="33" t="s">
        <v>77</v>
      </c>
      <c r="C27" s="200"/>
    </row>
    <row r="28" spans="2:4" s="193" customFormat="1" x14ac:dyDescent="0.25">
      <c r="B28" s="194"/>
      <c r="C28" s="200"/>
    </row>
    <row r="29" spans="2:4" s="193" customFormat="1" x14ac:dyDescent="0.25">
      <c r="B29" s="194" t="s">
        <v>78</v>
      </c>
      <c r="C29" s="200"/>
    </row>
    <row r="30" spans="2:4" s="193" customFormat="1" x14ac:dyDescent="0.25">
      <c r="B30" s="33" t="s">
        <v>79</v>
      </c>
      <c r="C30" s="200"/>
    </row>
    <row r="31" spans="2:4" ht="15.75" customHeight="1" x14ac:dyDescent="0.25">
      <c r="B31" s="123"/>
      <c r="C31" s="123"/>
      <c r="D31" s="123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4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70" zoomScaleNormal="70" zoomScaleSheetLayoutView="7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9" width="13" customWidth="1"/>
    <col min="10" max="10" width="17.28515625" customWidth="1"/>
    <col min="11" max="11" width="6" customWidth="1"/>
  </cols>
  <sheetData>
    <row r="3" spans="2:11" ht="15.75" customHeight="1" x14ac:dyDescent="0.25">
      <c r="B3" s="226" t="s">
        <v>80</v>
      </c>
      <c r="C3" s="226"/>
      <c r="D3" s="226"/>
      <c r="E3" s="226"/>
      <c r="F3" s="226"/>
      <c r="G3" s="226"/>
      <c r="H3" s="226"/>
      <c r="I3" s="226"/>
      <c r="J3" s="226"/>
      <c r="K3" s="122"/>
    </row>
    <row r="4" spans="2:11" ht="15.75" customHeight="1" x14ac:dyDescent="0.25">
      <c r="B4" s="232" t="s">
        <v>81</v>
      </c>
      <c r="C4" s="232"/>
      <c r="D4" s="232"/>
      <c r="E4" s="232"/>
      <c r="F4" s="232"/>
      <c r="G4" s="232"/>
      <c r="H4" s="232"/>
      <c r="I4" s="232"/>
      <c r="J4" s="232"/>
      <c r="K4" s="232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31" t="s">
        <v>48</v>
      </c>
      <c r="C6" s="231"/>
      <c r="D6" s="231"/>
      <c r="E6" s="231"/>
      <c r="F6" s="231"/>
      <c r="G6" s="231"/>
      <c r="H6" s="231"/>
      <c r="I6" s="231"/>
      <c r="J6" s="231"/>
      <c r="K6" s="122"/>
    </row>
    <row r="7" spans="2:11" ht="15.75" customHeight="1" x14ac:dyDescent="0.25">
      <c r="B7" s="225" t="s">
        <v>50</v>
      </c>
      <c r="C7" s="225"/>
      <c r="D7" s="225"/>
      <c r="E7" s="225"/>
      <c r="F7" s="225"/>
      <c r="G7" s="225"/>
      <c r="H7" s="225"/>
      <c r="I7" s="225"/>
      <c r="J7" s="225"/>
      <c r="K7" s="225"/>
    </row>
    <row r="8" spans="2:11" ht="18.75" customHeight="1" x14ac:dyDescent="0.25">
      <c r="B8" s="117"/>
    </row>
    <row r="9" spans="2:11" ht="15.75" customHeight="1" x14ac:dyDescent="0.25">
      <c r="B9" s="233" t="s">
        <v>33</v>
      </c>
      <c r="C9" s="233" t="s">
        <v>82</v>
      </c>
      <c r="D9" s="233" t="s">
        <v>83</v>
      </c>
      <c r="E9" s="233"/>
      <c r="F9" s="233"/>
      <c r="G9" s="233"/>
      <c r="H9" s="233"/>
      <c r="I9" s="233"/>
      <c r="J9" s="233"/>
    </row>
    <row r="10" spans="2:11" ht="15.75" customHeight="1" x14ac:dyDescent="0.25">
      <c r="B10" s="233"/>
      <c r="C10" s="233"/>
      <c r="D10" s="233" t="s">
        <v>84</v>
      </c>
      <c r="E10" s="233" t="s">
        <v>85</v>
      </c>
      <c r="F10" s="233" t="s">
        <v>86</v>
      </c>
      <c r="G10" s="233"/>
      <c r="H10" s="233"/>
      <c r="I10" s="233"/>
      <c r="J10" s="233"/>
    </row>
    <row r="11" spans="2:11" ht="31.5" customHeight="1" x14ac:dyDescent="0.25">
      <c r="B11" s="233"/>
      <c r="C11" s="233"/>
      <c r="D11" s="233"/>
      <c r="E11" s="233"/>
      <c r="F11" s="213" t="s">
        <v>87</v>
      </c>
      <c r="G11" s="213" t="s">
        <v>88</v>
      </c>
      <c r="H11" s="213" t="s">
        <v>43</v>
      </c>
      <c r="I11" s="213" t="s">
        <v>89</v>
      </c>
      <c r="J11" s="213" t="s">
        <v>90</v>
      </c>
    </row>
    <row r="12" spans="2:11" ht="141.75" customHeight="1" x14ac:dyDescent="0.25">
      <c r="B12" s="202">
        <v>1</v>
      </c>
      <c r="C12" s="191" t="s">
        <v>62</v>
      </c>
      <c r="D12" s="214" t="s">
        <v>91</v>
      </c>
      <c r="E12" s="215" t="s">
        <v>92</v>
      </c>
      <c r="F12" s="203">
        <f>75341*6.91/1000</f>
        <v>520.60631000000001</v>
      </c>
      <c r="G12" s="203"/>
      <c r="H12" s="203">
        <f>1285415*4.28/1000</f>
        <v>5501.5762000000004</v>
      </c>
      <c r="I12" s="203">
        <f>221933*8.42/1000</f>
        <v>1868.6758600000001</v>
      </c>
      <c r="J12" s="203">
        <f>SUM(F12:I12)</f>
        <v>7890.8583699999999</v>
      </c>
    </row>
    <row r="13" spans="2:11" ht="15.75" customHeight="1" x14ac:dyDescent="0.25">
      <c r="B13" s="229" t="s">
        <v>93</v>
      </c>
      <c r="C13" s="229"/>
      <c r="D13" s="229"/>
      <c r="E13" s="229"/>
      <c r="F13" s="204">
        <f>SUM(F12)</f>
        <v>520.60631000000001</v>
      </c>
      <c r="G13" s="204"/>
      <c r="H13" s="204">
        <f>SUM(H12)</f>
        <v>5501.5762000000004</v>
      </c>
      <c r="I13" s="204">
        <f>SUM(I12)</f>
        <v>1868.6758600000001</v>
      </c>
      <c r="J13" s="204">
        <f>SUM(J12)</f>
        <v>7890.8583699999999</v>
      </c>
    </row>
    <row r="14" spans="2:11" ht="15.75" customHeight="1" x14ac:dyDescent="0.25">
      <c r="B14" s="230" t="s">
        <v>94</v>
      </c>
      <c r="C14" s="230"/>
      <c r="D14" s="230"/>
      <c r="E14" s="230"/>
      <c r="F14" s="205">
        <f>F13</f>
        <v>520.60631000000001</v>
      </c>
      <c r="G14" s="205"/>
      <c r="H14" s="205">
        <f>H13</f>
        <v>5501.5762000000004</v>
      </c>
      <c r="I14" s="205">
        <f>I13</f>
        <v>1868.6758600000001</v>
      </c>
      <c r="J14" s="205">
        <f>J13</f>
        <v>7890.8583699999999</v>
      </c>
    </row>
    <row r="15" spans="2:11" ht="18.75" customHeight="1" x14ac:dyDescent="0.25">
      <c r="B15" s="117"/>
    </row>
    <row r="18" spans="2:3" s="193" customFormat="1" x14ac:dyDescent="0.25">
      <c r="B18" s="194" t="s">
        <v>76</v>
      </c>
      <c r="C18" s="200"/>
    </row>
    <row r="19" spans="2:3" s="193" customFormat="1" x14ac:dyDescent="0.25">
      <c r="B19" s="33" t="s">
        <v>77</v>
      </c>
      <c r="C19" s="200"/>
    </row>
    <row r="20" spans="2:3" s="193" customFormat="1" x14ac:dyDescent="0.25">
      <c r="B20" s="194"/>
      <c r="C20" s="200"/>
    </row>
    <row r="21" spans="2:3" s="193" customFormat="1" x14ac:dyDescent="0.25">
      <c r="B21" s="194" t="s">
        <v>78</v>
      </c>
      <c r="C21" s="200"/>
    </row>
    <row r="22" spans="2:3" s="193" customFormat="1" x14ac:dyDescent="0.25">
      <c r="B22" s="33" t="s">
        <v>79</v>
      </c>
      <c r="C22" s="200"/>
    </row>
  </sheetData>
  <mergeCells count="12">
    <mergeCell ref="B13:E13"/>
    <mergeCell ref="B14:E14"/>
    <mergeCell ref="B6:J6"/>
    <mergeCell ref="B3:J3"/>
    <mergeCell ref="B4:K4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8"/>
  <sheetViews>
    <sheetView view="pageBreakPreview" topLeftCell="A67" zoomScale="85" workbookViewId="0">
      <selection activeCell="A82" sqref="A82:XFD82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9" customWidth="1"/>
    <col min="9" max="9" width="10.140625" customWidth="1"/>
  </cols>
  <sheetData>
    <row r="2" spans="1:11" ht="15.75" customHeight="1" x14ac:dyDescent="0.25">
      <c r="A2" s="226" t="s">
        <v>95</v>
      </c>
      <c r="B2" s="226"/>
      <c r="C2" s="226"/>
      <c r="D2" s="226"/>
      <c r="E2" s="226"/>
      <c r="F2" s="226"/>
      <c r="G2" s="226"/>
      <c r="H2" s="226"/>
      <c r="I2" s="122"/>
    </row>
    <row r="3" spans="1:11" ht="18.75" customHeight="1" x14ac:dyDescent="0.25">
      <c r="A3" s="227" t="s">
        <v>96</v>
      </c>
      <c r="B3" s="227"/>
      <c r="C3" s="227"/>
      <c r="D3" s="227"/>
      <c r="E3" s="227"/>
      <c r="F3" s="227"/>
      <c r="G3" s="227"/>
      <c r="H3" s="227"/>
      <c r="I3" s="227"/>
    </row>
    <row r="4" spans="1:11" x14ac:dyDescent="0.25">
      <c r="B4" s="158"/>
      <c r="C4" s="241"/>
      <c r="D4" s="241"/>
      <c r="E4" s="241"/>
      <c r="F4" s="241"/>
      <c r="G4" s="241"/>
      <c r="H4" s="241"/>
    </row>
    <row r="5" spans="1:11" ht="15.75" customHeight="1" x14ac:dyDescent="0.25">
      <c r="C5" s="143"/>
      <c r="D5" s="143"/>
      <c r="E5" s="143"/>
      <c r="F5" s="143"/>
      <c r="G5" s="143"/>
      <c r="H5" s="144"/>
    </row>
    <row r="6" spans="1:11" ht="15" customHeight="1" x14ac:dyDescent="0.25">
      <c r="A6" s="242" t="s">
        <v>97</v>
      </c>
      <c r="B6" s="242"/>
      <c r="C6" s="242"/>
      <c r="D6" s="242"/>
      <c r="E6" s="242"/>
      <c r="F6" s="242"/>
      <c r="G6" s="242"/>
      <c r="H6" s="242"/>
    </row>
    <row r="7" spans="1:11" ht="14.25" customHeight="1" x14ac:dyDescent="0.25">
      <c r="A7" s="242"/>
      <c r="B7" s="242"/>
      <c r="C7" s="242"/>
      <c r="D7" s="242"/>
      <c r="E7" s="242"/>
      <c r="F7" s="242"/>
      <c r="G7" s="242"/>
      <c r="H7" s="242"/>
    </row>
    <row r="8" spans="1:11" ht="15.75" customHeight="1" x14ac:dyDescent="0.25">
      <c r="C8" s="145"/>
      <c r="D8" s="146"/>
      <c r="E8" s="147"/>
      <c r="F8" s="148"/>
      <c r="G8" s="149"/>
      <c r="H8" s="150"/>
    </row>
    <row r="9" spans="1:11" ht="38.25" customHeight="1" x14ac:dyDescent="0.25">
      <c r="A9" s="233" t="s">
        <v>98</v>
      </c>
      <c r="B9" s="233" t="s">
        <v>99</v>
      </c>
      <c r="C9" s="233" t="s">
        <v>100</v>
      </c>
      <c r="D9" s="233" t="s">
        <v>101</v>
      </c>
      <c r="E9" s="233" t="s">
        <v>102</v>
      </c>
      <c r="F9" s="233" t="s">
        <v>103</v>
      </c>
      <c r="G9" s="233" t="s">
        <v>104</v>
      </c>
      <c r="H9" s="233"/>
    </row>
    <row r="10" spans="1:11" ht="40.5" customHeight="1" x14ac:dyDescent="0.25">
      <c r="A10" s="233"/>
      <c r="B10" s="233"/>
      <c r="C10" s="233"/>
      <c r="D10" s="233"/>
      <c r="E10" s="233"/>
      <c r="F10" s="233"/>
      <c r="G10" s="118" t="s">
        <v>105</v>
      </c>
      <c r="H10" s="118" t="s">
        <v>106</v>
      </c>
    </row>
    <row r="11" spans="1:11" ht="15.75" customHeight="1" x14ac:dyDescent="0.25">
      <c r="A11" s="118">
        <v>1</v>
      </c>
      <c r="B11" s="151"/>
      <c r="C11" s="118">
        <v>2</v>
      </c>
      <c r="D11" s="118" t="s">
        <v>107</v>
      </c>
      <c r="E11" s="118">
        <v>4</v>
      </c>
      <c r="F11" s="118">
        <v>5</v>
      </c>
      <c r="G11" s="151">
        <v>6</v>
      </c>
      <c r="H11" s="151">
        <v>7</v>
      </c>
    </row>
    <row r="12" spans="1:11" ht="15" customHeight="1" x14ac:dyDescent="0.25">
      <c r="A12" s="240" t="s">
        <v>108</v>
      </c>
      <c r="B12" s="236"/>
      <c r="C12" s="236"/>
      <c r="D12" s="237"/>
      <c r="E12" s="152"/>
      <c r="F12" s="212">
        <f>SUM(F13:F19)</f>
        <v>2454.4444666666295</v>
      </c>
      <c r="G12" s="208"/>
      <c r="H12" s="209">
        <f>SUM(H13:H19)</f>
        <v>31569.920000000002</v>
      </c>
    </row>
    <row r="13" spans="1:11" x14ac:dyDescent="0.25">
      <c r="A13" s="206">
        <v>1</v>
      </c>
      <c r="B13" s="162"/>
      <c r="C13" s="162" t="s">
        <v>109</v>
      </c>
      <c r="D13" s="8" t="s">
        <v>110</v>
      </c>
      <c r="E13" s="2" t="s">
        <v>111</v>
      </c>
      <c r="F13" s="190">
        <v>239.33333333332999</v>
      </c>
      <c r="G13" s="32">
        <v>15.49</v>
      </c>
      <c r="H13" s="32">
        <f t="shared" ref="H13:H19" si="0">ROUND(F13*G13,2)</f>
        <v>3707.27</v>
      </c>
      <c r="J13" s="153"/>
      <c r="K13" s="153"/>
    </row>
    <row r="14" spans="1:11" x14ac:dyDescent="0.25">
      <c r="A14" s="206">
        <v>2</v>
      </c>
      <c r="B14" s="162"/>
      <c r="C14" s="162" t="s">
        <v>112</v>
      </c>
      <c r="D14" s="8" t="s">
        <v>113</v>
      </c>
      <c r="E14" s="2" t="s">
        <v>111</v>
      </c>
      <c r="F14" s="190">
        <v>239.33333333332999</v>
      </c>
      <c r="G14" s="32">
        <v>14.09</v>
      </c>
      <c r="H14" s="32">
        <f t="shared" si="0"/>
        <v>3372.21</v>
      </c>
      <c r="J14" s="153"/>
      <c r="K14" s="153"/>
    </row>
    <row r="15" spans="1:11" x14ac:dyDescent="0.25">
      <c r="A15" s="206">
        <v>3</v>
      </c>
      <c r="B15" s="162"/>
      <c r="C15" s="162" t="s">
        <v>114</v>
      </c>
      <c r="D15" s="8" t="s">
        <v>115</v>
      </c>
      <c r="E15" s="2" t="s">
        <v>111</v>
      </c>
      <c r="F15" s="190">
        <v>1665.3421333332999</v>
      </c>
      <c r="G15" s="32">
        <v>12.92</v>
      </c>
      <c r="H15" s="32">
        <f t="shared" si="0"/>
        <v>21516.22</v>
      </c>
      <c r="J15" s="153"/>
      <c r="K15" s="153"/>
    </row>
    <row r="16" spans="1:11" x14ac:dyDescent="0.25">
      <c r="A16" s="206">
        <v>4</v>
      </c>
      <c r="B16" s="162"/>
      <c r="C16" s="162" t="s">
        <v>116</v>
      </c>
      <c r="D16" s="8" t="s">
        <v>117</v>
      </c>
      <c r="E16" s="2" t="s">
        <v>111</v>
      </c>
      <c r="F16" s="190">
        <v>270.36706666666998</v>
      </c>
      <c r="G16" s="32">
        <v>9.6199999999999992</v>
      </c>
      <c r="H16" s="32">
        <f t="shared" si="0"/>
        <v>2600.9299999999998</v>
      </c>
      <c r="J16" s="153"/>
      <c r="K16" s="153"/>
    </row>
    <row r="17" spans="1:11" x14ac:dyDescent="0.25">
      <c r="A17" s="206">
        <v>5</v>
      </c>
      <c r="B17" s="162"/>
      <c r="C17" s="162" t="s">
        <v>118</v>
      </c>
      <c r="D17" s="8" t="s">
        <v>119</v>
      </c>
      <c r="E17" s="2" t="s">
        <v>111</v>
      </c>
      <c r="F17" s="190">
        <v>31.4224</v>
      </c>
      <c r="G17" s="32">
        <v>9.4</v>
      </c>
      <c r="H17" s="32">
        <f t="shared" si="0"/>
        <v>295.37</v>
      </c>
      <c r="J17" s="153"/>
      <c r="K17" s="153"/>
    </row>
    <row r="18" spans="1:11" x14ac:dyDescent="0.25">
      <c r="A18" s="206">
        <v>6</v>
      </c>
      <c r="B18" s="162"/>
      <c r="C18" s="162" t="s">
        <v>120</v>
      </c>
      <c r="D18" s="8" t="s">
        <v>121</v>
      </c>
      <c r="E18" s="2" t="s">
        <v>111</v>
      </c>
      <c r="F18" s="190">
        <v>5.5945999999999998</v>
      </c>
      <c r="G18" s="32">
        <v>8.74</v>
      </c>
      <c r="H18" s="32">
        <f t="shared" si="0"/>
        <v>48.9</v>
      </c>
      <c r="J18" s="153"/>
      <c r="K18" s="153"/>
    </row>
    <row r="19" spans="1:11" x14ac:dyDescent="0.25">
      <c r="A19" s="206">
        <v>7</v>
      </c>
      <c r="B19" s="162"/>
      <c r="C19" s="162" t="s">
        <v>122</v>
      </c>
      <c r="D19" s="8" t="s">
        <v>123</v>
      </c>
      <c r="E19" s="2" t="s">
        <v>111</v>
      </c>
      <c r="F19" s="190">
        <v>3.0516000000000001</v>
      </c>
      <c r="G19" s="32">
        <v>9.51</v>
      </c>
      <c r="H19" s="32">
        <f t="shared" si="0"/>
        <v>29.02</v>
      </c>
      <c r="J19" s="153"/>
      <c r="K19" s="153"/>
    </row>
    <row r="20" spans="1:11" x14ac:dyDescent="0.25">
      <c r="A20" s="234" t="s">
        <v>124</v>
      </c>
      <c r="B20" s="235"/>
      <c r="C20" s="236"/>
      <c r="D20" s="237"/>
      <c r="E20" s="154"/>
      <c r="F20" s="47"/>
      <c r="G20" s="210"/>
      <c r="H20" s="168">
        <f>H21</f>
        <v>2195.2049999999999</v>
      </c>
      <c r="K20" s="153"/>
    </row>
    <row r="21" spans="1:11" x14ac:dyDescent="0.25">
      <c r="A21" s="162" t="s">
        <v>125</v>
      </c>
      <c r="B21" s="164"/>
      <c r="C21" s="162">
        <v>2</v>
      </c>
      <c r="D21" s="8" t="s">
        <v>124</v>
      </c>
      <c r="E21" s="2" t="s">
        <v>111</v>
      </c>
      <c r="F21" s="189">
        <v>373.17720000000003</v>
      </c>
      <c r="G21" s="32"/>
      <c r="H21" s="32">
        <v>2195.2049999999999</v>
      </c>
    </row>
    <row r="22" spans="1:11" ht="15" customHeight="1" x14ac:dyDescent="0.25">
      <c r="A22" s="238" t="s">
        <v>126</v>
      </c>
      <c r="B22" s="238"/>
      <c r="C22" s="238"/>
      <c r="D22" s="238"/>
      <c r="E22" s="152"/>
      <c r="F22" s="47"/>
      <c r="G22" s="208"/>
      <c r="H22" s="211">
        <f>SUM(H23:H35)</f>
        <v>43269.909999999989</v>
      </c>
      <c r="J22" s="153"/>
    </row>
    <row r="23" spans="1:11" ht="25.5" customHeight="1" x14ac:dyDescent="0.25">
      <c r="A23" s="2">
        <f>A21+1</f>
        <v>9</v>
      </c>
      <c r="B23" s="162"/>
      <c r="C23" s="162" t="s">
        <v>127</v>
      </c>
      <c r="D23" s="8" t="s">
        <v>128</v>
      </c>
      <c r="E23" s="2" t="s">
        <v>129</v>
      </c>
      <c r="F23" s="2">
        <v>192</v>
      </c>
      <c r="G23" s="32">
        <v>110.86</v>
      </c>
      <c r="H23" s="32">
        <f t="shared" ref="H23:H35" si="1">ROUND(F23*G23,2)</f>
        <v>21285.119999999999</v>
      </c>
      <c r="I23" s="155"/>
    </row>
    <row r="24" spans="1:11" x14ac:dyDescent="0.25">
      <c r="A24" s="2">
        <f t="shared" ref="A24:A35" si="2">A23+1</f>
        <v>10</v>
      </c>
      <c r="B24" s="162"/>
      <c r="C24" s="162" t="s">
        <v>130</v>
      </c>
      <c r="D24" s="8" t="s">
        <v>131</v>
      </c>
      <c r="E24" s="2" t="s">
        <v>129</v>
      </c>
      <c r="F24" s="2">
        <v>29.58</v>
      </c>
      <c r="G24" s="32">
        <v>287.99</v>
      </c>
      <c r="H24" s="32">
        <f t="shared" si="1"/>
        <v>8518.74</v>
      </c>
      <c r="I24" s="155"/>
    </row>
    <row r="25" spans="1:11" ht="25.5" customHeight="1" x14ac:dyDescent="0.25">
      <c r="A25" s="2">
        <f t="shared" si="2"/>
        <v>11</v>
      </c>
      <c r="B25" s="162"/>
      <c r="C25" s="162" t="s">
        <v>132</v>
      </c>
      <c r="D25" s="8" t="s">
        <v>133</v>
      </c>
      <c r="E25" s="2" t="s">
        <v>129</v>
      </c>
      <c r="F25" s="2">
        <v>60.09</v>
      </c>
      <c r="G25" s="32">
        <v>111.99</v>
      </c>
      <c r="H25" s="32">
        <f t="shared" si="1"/>
        <v>6729.48</v>
      </c>
      <c r="I25" s="155"/>
    </row>
    <row r="26" spans="1:11" ht="25.5" customHeight="1" x14ac:dyDescent="0.25">
      <c r="A26" s="2">
        <f t="shared" si="2"/>
        <v>12</v>
      </c>
      <c r="B26" s="162"/>
      <c r="C26" s="162" t="s">
        <v>134</v>
      </c>
      <c r="D26" s="8" t="s">
        <v>135</v>
      </c>
      <c r="E26" s="2" t="s">
        <v>129</v>
      </c>
      <c r="F26" s="2">
        <v>29.58</v>
      </c>
      <c r="G26" s="32">
        <v>131.44</v>
      </c>
      <c r="H26" s="32">
        <f t="shared" si="1"/>
        <v>3888</v>
      </c>
      <c r="I26" s="155"/>
    </row>
    <row r="27" spans="1:11" x14ac:dyDescent="0.25">
      <c r="A27" s="2">
        <f t="shared" si="2"/>
        <v>13</v>
      </c>
      <c r="B27" s="162"/>
      <c r="C27" s="167" t="s">
        <v>136</v>
      </c>
      <c r="D27" s="170" t="s">
        <v>137</v>
      </c>
      <c r="E27" s="167" t="s">
        <v>129</v>
      </c>
      <c r="F27" s="167">
        <v>19.53</v>
      </c>
      <c r="G27" s="32">
        <v>65.709999999999994</v>
      </c>
      <c r="H27" s="32">
        <f t="shared" si="1"/>
        <v>1283.32</v>
      </c>
      <c r="I27" s="155"/>
    </row>
    <row r="28" spans="1:11" x14ac:dyDescent="0.25">
      <c r="A28" s="2">
        <f t="shared" si="2"/>
        <v>14</v>
      </c>
      <c r="B28" s="162"/>
      <c r="C28" s="167" t="s">
        <v>138</v>
      </c>
      <c r="D28" s="170" t="s">
        <v>139</v>
      </c>
      <c r="E28" s="167" t="s">
        <v>129</v>
      </c>
      <c r="F28" s="167">
        <v>33.119999999999997</v>
      </c>
      <c r="G28" s="32">
        <v>29.6</v>
      </c>
      <c r="H28" s="32">
        <f t="shared" si="1"/>
        <v>980.35</v>
      </c>
      <c r="I28" s="155"/>
    </row>
    <row r="29" spans="1:11" ht="25.5" customHeight="1" x14ac:dyDescent="0.25">
      <c r="A29" s="2">
        <f t="shared" si="2"/>
        <v>15</v>
      </c>
      <c r="B29" s="162"/>
      <c r="C29" s="167" t="s">
        <v>140</v>
      </c>
      <c r="D29" s="170" t="s">
        <v>141</v>
      </c>
      <c r="E29" s="167" t="s">
        <v>129</v>
      </c>
      <c r="F29" s="167">
        <v>46.74</v>
      </c>
      <c r="G29" s="32">
        <v>8.1</v>
      </c>
      <c r="H29" s="32">
        <f t="shared" si="1"/>
        <v>378.59</v>
      </c>
      <c r="I29" s="155"/>
    </row>
    <row r="30" spans="1:11" x14ac:dyDescent="0.25">
      <c r="A30" s="2">
        <f t="shared" si="2"/>
        <v>16</v>
      </c>
      <c r="B30" s="162"/>
      <c r="C30" s="167" t="s">
        <v>142</v>
      </c>
      <c r="D30" s="170" t="s">
        <v>143</v>
      </c>
      <c r="E30" s="167" t="s">
        <v>129</v>
      </c>
      <c r="F30" s="167">
        <v>0.99</v>
      </c>
      <c r="G30" s="32">
        <v>70</v>
      </c>
      <c r="H30" s="32">
        <f t="shared" si="1"/>
        <v>69.3</v>
      </c>
      <c r="I30" s="155"/>
    </row>
    <row r="31" spans="1:11" x14ac:dyDescent="0.25">
      <c r="A31" s="2">
        <f t="shared" si="2"/>
        <v>17</v>
      </c>
      <c r="B31" s="162"/>
      <c r="C31" s="167" t="s">
        <v>144</v>
      </c>
      <c r="D31" s="170" t="s">
        <v>145</v>
      </c>
      <c r="E31" s="167" t="s">
        <v>129</v>
      </c>
      <c r="F31" s="167">
        <v>0.99</v>
      </c>
      <c r="G31" s="32">
        <v>56.24</v>
      </c>
      <c r="H31" s="32">
        <f t="shared" si="1"/>
        <v>55.68</v>
      </c>
      <c r="I31" s="155"/>
    </row>
    <row r="32" spans="1:11" x14ac:dyDescent="0.25">
      <c r="A32" s="2">
        <f t="shared" si="2"/>
        <v>18</v>
      </c>
      <c r="B32" s="162"/>
      <c r="C32" s="167" t="s">
        <v>146</v>
      </c>
      <c r="D32" s="170" t="s">
        <v>147</v>
      </c>
      <c r="E32" s="167" t="s">
        <v>129</v>
      </c>
      <c r="F32" s="167">
        <v>59.16</v>
      </c>
      <c r="G32" s="32">
        <v>0.9</v>
      </c>
      <c r="H32" s="32">
        <f t="shared" si="1"/>
        <v>53.24</v>
      </c>
      <c r="I32" s="155"/>
    </row>
    <row r="33" spans="1:9" x14ac:dyDescent="0.25">
      <c r="A33" s="2">
        <f t="shared" si="2"/>
        <v>19</v>
      </c>
      <c r="B33" s="162"/>
      <c r="C33" s="167" t="s">
        <v>148</v>
      </c>
      <c r="D33" s="170" t="s">
        <v>149</v>
      </c>
      <c r="E33" s="167" t="s">
        <v>129</v>
      </c>
      <c r="F33" s="167">
        <v>0.99</v>
      </c>
      <c r="G33" s="32">
        <v>16.920000000000002</v>
      </c>
      <c r="H33" s="32">
        <f t="shared" si="1"/>
        <v>16.75</v>
      </c>
      <c r="I33" s="155"/>
    </row>
    <row r="34" spans="1:9" ht="25.5" customHeight="1" x14ac:dyDescent="0.25">
      <c r="A34" s="2">
        <f t="shared" si="2"/>
        <v>20</v>
      </c>
      <c r="B34" s="162"/>
      <c r="C34" s="167" t="s">
        <v>150</v>
      </c>
      <c r="D34" s="170" t="s">
        <v>151</v>
      </c>
      <c r="E34" s="167" t="s">
        <v>129</v>
      </c>
      <c r="F34" s="167">
        <v>1.32</v>
      </c>
      <c r="G34" s="32">
        <v>6.82</v>
      </c>
      <c r="H34" s="32">
        <f t="shared" si="1"/>
        <v>9</v>
      </c>
      <c r="I34" s="155"/>
    </row>
    <row r="35" spans="1:9" x14ac:dyDescent="0.25">
      <c r="A35" s="2">
        <f t="shared" si="2"/>
        <v>21</v>
      </c>
      <c r="B35" s="162"/>
      <c r="C35" s="167" t="s">
        <v>152</v>
      </c>
      <c r="D35" s="170" t="s">
        <v>153</v>
      </c>
      <c r="E35" s="167" t="s">
        <v>129</v>
      </c>
      <c r="F35" s="167">
        <v>0.99</v>
      </c>
      <c r="G35" s="32">
        <v>2.36</v>
      </c>
      <c r="H35" s="32">
        <f t="shared" si="1"/>
        <v>2.34</v>
      </c>
      <c r="I35" s="155"/>
    </row>
    <row r="36" spans="1:9" ht="15" customHeight="1" x14ac:dyDescent="0.25">
      <c r="A36" s="239" t="s">
        <v>43</v>
      </c>
      <c r="B36" s="239"/>
      <c r="C36" s="239"/>
      <c r="D36" s="239"/>
      <c r="E36" s="156"/>
      <c r="F36" s="157"/>
      <c r="G36" s="210"/>
      <c r="H36" s="168">
        <f>SUM(H37:H39)</f>
        <v>5141661.0200000005</v>
      </c>
      <c r="I36" s="155"/>
    </row>
    <row r="37" spans="1:9" x14ac:dyDescent="0.25">
      <c r="A37" s="2">
        <v>22</v>
      </c>
      <c r="B37" s="162"/>
      <c r="C37" s="207" t="s">
        <v>154</v>
      </c>
      <c r="D37" s="8" t="s">
        <v>155</v>
      </c>
      <c r="E37" s="2" t="s">
        <v>156</v>
      </c>
      <c r="F37" s="2">
        <v>12</v>
      </c>
      <c r="G37" s="32">
        <v>425900.9</v>
      </c>
      <c r="H37" s="32">
        <f>ROUND(F37*G37,2)</f>
        <v>5110810.8</v>
      </c>
      <c r="I37" s="155"/>
    </row>
    <row r="38" spans="1:9" x14ac:dyDescent="0.25">
      <c r="A38" s="2">
        <f>A37+1</f>
        <v>23</v>
      </c>
      <c r="B38" s="162"/>
      <c r="C38" s="207" t="s">
        <v>154</v>
      </c>
      <c r="D38" s="8" t="s">
        <v>157</v>
      </c>
      <c r="E38" s="2" t="s">
        <v>156</v>
      </c>
      <c r="F38" s="2">
        <v>4</v>
      </c>
      <c r="G38" s="32">
        <v>4046.87</v>
      </c>
      <c r="H38" s="32">
        <f>ROUND(F38*G38,2)</f>
        <v>16187.48</v>
      </c>
      <c r="I38" s="155"/>
    </row>
    <row r="39" spans="1:9" x14ac:dyDescent="0.25">
      <c r="A39" s="2">
        <f>A38+1</f>
        <v>24</v>
      </c>
      <c r="B39" s="162"/>
      <c r="C39" s="207" t="s">
        <v>154</v>
      </c>
      <c r="D39" s="8" t="s">
        <v>158</v>
      </c>
      <c r="E39" s="2" t="s">
        <v>156</v>
      </c>
      <c r="F39" s="2">
        <v>3</v>
      </c>
      <c r="G39" s="32">
        <v>4887.58</v>
      </c>
      <c r="H39" s="32">
        <f>ROUND(F39*G39,2)</f>
        <v>14662.74</v>
      </c>
      <c r="I39" s="155"/>
    </row>
    <row r="40" spans="1:9" ht="15" customHeight="1" x14ac:dyDescent="0.25">
      <c r="A40" s="238" t="s">
        <v>159</v>
      </c>
      <c r="B40" s="238"/>
      <c r="C40" s="238"/>
      <c r="D40" s="238"/>
      <c r="E40" s="163"/>
      <c r="F40" s="163"/>
      <c r="G40" s="208"/>
      <c r="H40" s="211">
        <f>SUM(H41:H79)</f>
        <v>34588.304673500003</v>
      </c>
    </row>
    <row r="41" spans="1:9" ht="25.5" customHeight="1" x14ac:dyDescent="0.25">
      <c r="A41" s="2">
        <v>25</v>
      </c>
      <c r="B41" s="162"/>
      <c r="C41" s="171" t="s">
        <v>160</v>
      </c>
      <c r="D41" s="8" t="s">
        <v>161</v>
      </c>
      <c r="E41" s="2" t="s">
        <v>162</v>
      </c>
      <c r="F41" s="169">
        <v>0.13200000000000001</v>
      </c>
      <c r="G41" s="32">
        <v>98440.41</v>
      </c>
      <c r="H41" s="32">
        <f>ROUND(F41*G41,2)</f>
        <v>12994.13</v>
      </c>
      <c r="I41" s="155"/>
    </row>
    <row r="42" spans="1:9" x14ac:dyDescent="0.25">
      <c r="A42" s="2">
        <f t="shared" ref="A42:A79" si="3">A41+1</f>
        <v>26</v>
      </c>
      <c r="B42" s="162"/>
      <c r="C42" s="167" t="s">
        <v>163</v>
      </c>
      <c r="D42" s="8" t="s">
        <v>164</v>
      </c>
      <c r="E42" s="2" t="s">
        <v>162</v>
      </c>
      <c r="F42" s="169">
        <v>0.216</v>
      </c>
      <c r="G42" s="32">
        <v>38348.22</v>
      </c>
      <c r="H42" s="32">
        <f>ROUND(F42*G42,2)</f>
        <v>8283.2199999999993</v>
      </c>
      <c r="I42" s="155"/>
    </row>
    <row r="43" spans="1:9" ht="51" customHeight="1" x14ac:dyDescent="0.25">
      <c r="A43" s="2">
        <f t="shared" si="3"/>
        <v>27</v>
      </c>
      <c r="B43" s="162"/>
      <c r="C43" s="162" t="s">
        <v>165</v>
      </c>
      <c r="D43" s="8" t="s">
        <v>166</v>
      </c>
      <c r="E43" s="2" t="s">
        <v>167</v>
      </c>
      <c r="F43" s="2">
        <v>7.2950000000000001E-2</v>
      </c>
      <c r="G43" s="32">
        <v>34500.53</v>
      </c>
      <c r="H43" s="32">
        <f>F43*G43</f>
        <v>2516.8136635000001</v>
      </c>
      <c r="I43" s="155"/>
    </row>
    <row r="44" spans="1:9" ht="25.5" customHeight="1" x14ac:dyDescent="0.25">
      <c r="A44" s="2">
        <f t="shared" si="3"/>
        <v>28</v>
      </c>
      <c r="B44" s="162"/>
      <c r="C44" s="162" t="s">
        <v>168</v>
      </c>
      <c r="D44" s="8" t="s">
        <v>169</v>
      </c>
      <c r="E44" s="2" t="s">
        <v>170</v>
      </c>
      <c r="F44" s="2">
        <v>1.1200000000000001</v>
      </c>
      <c r="G44" s="32">
        <v>1837.28</v>
      </c>
      <c r="H44" s="32">
        <f t="shared" ref="H44:H52" si="4">ROUND(F44*G44,2)</f>
        <v>2057.75</v>
      </c>
      <c r="I44" s="155"/>
    </row>
    <row r="45" spans="1:9" x14ac:dyDescent="0.25">
      <c r="A45" s="2">
        <f t="shared" si="3"/>
        <v>29</v>
      </c>
      <c r="B45" s="162"/>
      <c r="C45" s="162" t="s">
        <v>171</v>
      </c>
      <c r="D45" s="8" t="s">
        <v>172</v>
      </c>
      <c r="E45" s="2" t="s">
        <v>173</v>
      </c>
      <c r="F45" s="2">
        <v>0.24</v>
      </c>
      <c r="G45" s="32">
        <v>6505</v>
      </c>
      <c r="H45" s="32">
        <f t="shared" si="4"/>
        <v>1561.2</v>
      </c>
      <c r="I45" s="155"/>
    </row>
    <row r="46" spans="1:9" x14ac:dyDescent="0.25">
      <c r="A46" s="2">
        <f t="shared" si="3"/>
        <v>30</v>
      </c>
      <c r="B46" s="162"/>
      <c r="C46" s="162" t="s">
        <v>174</v>
      </c>
      <c r="D46" s="8" t="s">
        <v>175</v>
      </c>
      <c r="E46" s="2" t="s">
        <v>156</v>
      </c>
      <c r="F46" s="2">
        <v>14</v>
      </c>
      <c r="G46" s="32">
        <v>66.819999999999993</v>
      </c>
      <c r="H46" s="32">
        <f t="shared" si="4"/>
        <v>935.48</v>
      </c>
      <c r="I46" s="155"/>
    </row>
    <row r="47" spans="1:9" x14ac:dyDescent="0.25">
      <c r="A47" s="2">
        <f t="shared" si="3"/>
        <v>31</v>
      </c>
      <c r="B47" s="162"/>
      <c r="C47" s="162" t="s">
        <v>176</v>
      </c>
      <c r="D47" s="8" t="s">
        <v>177</v>
      </c>
      <c r="E47" s="2" t="s">
        <v>156</v>
      </c>
      <c r="F47" s="2">
        <v>138</v>
      </c>
      <c r="G47" s="32">
        <v>6.29</v>
      </c>
      <c r="H47" s="32">
        <f t="shared" si="4"/>
        <v>868.02</v>
      </c>
      <c r="I47" s="155"/>
    </row>
    <row r="48" spans="1:9" x14ac:dyDescent="0.25">
      <c r="A48" s="2">
        <f t="shared" si="3"/>
        <v>32</v>
      </c>
      <c r="B48" s="162"/>
      <c r="C48" s="162" t="s">
        <v>178</v>
      </c>
      <c r="D48" s="8" t="s">
        <v>179</v>
      </c>
      <c r="E48" s="2" t="s">
        <v>180</v>
      </c>
      <c r="F48" s="2">
        <v>90.025999999999996</v>
      </c>
      <c r="G48" s="32">
        <v>9.0399999999999991</v>
      </c>
      <c r="H48" s="32">
        <f t="shared" si="4"/>
        <v>813.84</v>
      </c>
      <c r="I48" s="155"/>
    </row>
    <row r="49" spans="1:9" ht="25.5" customHeight="1" x14ac:dyDescent="0.25">
      <c r="A49" s="2">
        <f t="shared" si="3"/>
        <v>33</v>
      </c>
      <c r="B49" s="162"/>
      <c r="C49" s="162" t="s">
        <v>181</v>
      </c>
      <c r="D49" s="8" t="s">
        <v>182</v>
      </c>
      <c r="E49" s="2" t="s">
        <v>183</v>
      </c>
      <c r="F49" s="2">
        <v>810.09</v>
      </c>
      <c r="G49" s="32">
        <v>1</v>
      </c>
      <c r="H49" s="32">
        <f t="shared" si="4"/>
        <v>810.09</v>
      </c>
      <c r="I49" s="155"/>
    </row>
    <row r="50" spans="1:9" x14ac:dyDescent="0.25">
      <c r="A50" s="2">
        <f t="shared" si="3"/>
        <v>34</v>
      </c>
      <c r="B50" s="162"/>
      <c r="C50" s="162" t="s">
        <v>184</v>
      </c>
      <c r="D50" s="8" t="s">
        <v>185</v>
      </c>
      <c r="E50" s="2" t="s">
        <v>180</v>
      </c>
      <c r="F50" s="2">
        <v>16</v>
      </c>
      <c r="G50" s="32">
        <v>50</v>
      </c>
      <c r="H50" s="32">
        <f t="shared" si="4"/>
        <v>800</v>
      </c>
      <c r="I50" s="155"/>
    </row>
    <row r="51" spans="1:9" x14ac:dyDescent="0.25">
      <c r="A51" s="2">
        <f t="shared" si="3"/>
        <v>35</v>
      </c>
      <c r="B51" s="162"/>
      <c r="C51" s="162" t="s">
        <v>186</v>
      </c>
      <c r="D51" s="8" t="s">
        <v>187</v>
      </c>
      <c r="E51" s="2" t="s">
        <v>170</v>
      </c>
      <c r="F51" s="2">
        <v>4.8</v>
      </c>
      <c r="G51" s="32">
        <v>108.4</v>
      </c>
      <c r="H51" s="32">
        <f t="shared" si="4"/>
        <v>520.32000000000005</v>
      </c>
      <c r="I51" s="155"/>
    </row>
    <row r="52" spans="1:9" x14ac:dyDescent="0.25">
      <c r="A52" s="2">
        <f t="shared" si="3"/>
        <v>36</v>
      </c>
      <c r="B52" s="162"/>
      <c r="C52" s="162" t="s">
        <v>188</v>
      </c>
      <c r="D52" s="8" t="s">
        <v>189</v>
      </c>
      <c r="E52" s="2" t="s">
        <v>190</v>
      </c>
      <c r="F52" s="2" t="s">
        <v>191</v>
      </c>
      <c r="G52" s="32">
        <v>29.4</v>
      </c>
      <c r="H52" s="32">
        <f t="shared" si="4"/>
        <v>405.72</v>
      </c>
      <c r="I52" s="155"/>
    </row>
    <row r="53" spans="1:9" ht="25.5" customHeight="1" x14ac:dyDescent="0.25">
      <c r="A53" s="2">
        <f t="shared" si="3"/>
        <v>37</v>
      </c>
      <c r="B53" s="162"/>
      <c r="C53" s="167" t="s">
        <v>192</v>
      </c>
      <c r="D53" s="8" t="s">
        <v>193</v>
      </c>
      <c r="E53" s="2" t="s">
        <v>194</v>
      </c>
      <c r="F53" s="169">
        <v>20.9</v>
      </c>
      <c r="G53" s="32">
        <v>15.13</v>
      </c>
      <c r="H53" s="32">
        <f>F53*G53</f>
        <v>316.21699999999998</v>
      </c>
      <c r="I53" s="155"/>
    </row>
    <row r="54" spans="1:9" x14ac:dyDescent="0.25">
      <c r="A54" s="2">
        <f t="shared" si="3"/>
        <v>38</v>
      </c>
      <c r="B54" s="162"/>
      <c r="C54" s="162" t="s">
        <v>195</v>
      </c>
      <c r="D54" s="8" t="s">
        <v>196</v>
      </c>
      <c r="E54" s="2" t="s">
        <v>173</v>
      </c>
      <c r="F54" s="2">
        <v>3.4830000000000001</v>
      </c>
      <c r="G54" s="32">
        <v>86</v>
      </c>
      <c r="H54" s="32">
        <f>ROUND(F54*G54,2)</f>
        <v>299.54000000000002</v>
      </c>
      <c r="I54" s="155"/>
    </row>
    <row r="55" spans="1:9" x14ac:dyDescent="0.25">
      <c r="A55" s="2">
        <f t="shared" si="3"/>
        <v>39</v>
      </c>
      <c r="B55" s="162"/>
      <c r="C55" s="162" t="s">
        <v>197</v>
      </c>
      <c r="D55" s="8" t="s">
        <v>198</v>
      </c>
      <c r="E55" s="2" t="s">
        <v>180</v>
      </c>
      <c r="F55" s="2">
        <v>1.1040000000000001</v>
      </c>
      <c r="G55" s="32">
        <v>238.48</v>
      </c>
      <c r="H55" s="32">
        <f>ROUND(F55*G55,2)</f>
        <v>263.27999999999997</v>
      </c>
      <c r="I55" s="155"/>
    </row>
    <row r="56" spans="1:9" x14ac:dyDescent="0.25">
      <c r="A56" s="2">
        <f t="shared" si="3"/>
        <v>40</v>
      </c>
      <c r="B56" s="162"/>
      <c r="C56" s="162" t="s">
        <v>199</v>
      </c>
      <c r="D56" s="8" t="s">
        <v>200</v>
      </c>
      <c r="E56" s="2" t="s">
        <v>180</v>
      </c>
      <c r="F56" s="2">
        <v>8.64</v>
      </c>
      <c r="G56" s="32">
        <v>28.6</v>
      </c>
      <c r="H56" s="32">
        <f>ROUND(F56*G56,2)</f>
        <v>247.1</v>
      </c>
      <c r="I56" s="155"/>
    </row>
    <row r="57" spans="1:9" ht="25.5" customHeight="1" x14ac:dyDescent="0.25">
      <c r="A57" s="2">
        <f t="shared" si="3"/>
        <v>41</v>
      </c>
      <c r="B57" s="162"/>
      <c r="C57" s="162" t="s">
        <v>201</v>
      </c>
      <c r="D57" s="8" t="s">
        <v>202</v>
      </c>
      <c r="E57" s="2" t="s">
        <v>167</v>
      </c>
      <c r="F57" s="2">
        <v>4.48E-2</v>
      </c>
      <c r="G57" s="32">
        <v>5000</v>
      </c>
      <c r="H57" s="32">
        <f>ROUND(F57*G57,2)</f>
        <v>224</v>
      </c>
      <c r="I57" s="155"/>
    </row>
    <row r="58" spans="1:9" x14ac:dyDescent="0.25">
      <c r="A58" s="2">
        <f t="shared" si="3"/>
        <v>42</v>
      </c>
      <c r="B58" s="162"/>
      <c r="C58" s="165" t="s">
        <v>203</v>
      </c>
      <c r="D58" s="166" t="s">
        <v>204</v>
      </c>
      <c r="E58" s="154" t="s">
        <v>180</v>
      </c>
      <c r="F58" s="167">
        <v>12.393000000000001</v>
      </c>
      <c r="G58" s="32">
        <v>10.57</v>
      </c>
      <c r="H58" s="32">
        <f>F58*G58</f>
        <v>130.99401</v>
      </c>
      <c r="I58" s="155"/>
    </row>
    <row r="59" spans="1:9" ht="25.5" customHeight="1" x14ac:dyDescent="0.25">
      <c r="A59" s="2">
        <f t="shared" si="3"/>
        <v>43</v>
      </c>
      <c r="B59" s="162"/>
      <c r="C59" s="162" t="s">
        <v>205</v>
      </c>
      <c r="D59" s="8" t="s">
        <v>206</v>
      </c>
      <c r="E59" s="2" t="s">
        <v>167</v>
      </c>
      <c r="F59" s="2">
        <v>2.1999999999999999E-2</v>
      </c>
      <c r="G59" s="32">
        <v>5941.89</v>
      </c>
      <c r="H59" s="32">
        <f t="shared" ref="H59:H79" si="5">ROUND(F59*G59,2)</f>
        <v>130.72</v>
      </c>
      <c r="I59" s="155"/>
    </row>
    <row r="60" spans="1:9" x14ac:dyDescent="0.25">
      <c r="A60" s="2">
        <f t="shared" si="3"/>
        <v>44</v>
      </c>
      <c r="B60" s="162"/>
      <c r="C60" s="162" t="s">
        <v>207</v>
      </c>
      <c r="D60" s="8" t="s">
        <v>208</v>
      </c>
      <c r="E60" s="2" t="s">
        <v>173</v>
      </c>
      <c r="F60" s="2">
        <v>0.93130000000000002</v>
      </c>
      <c r="G60" s="32">
        <v>110</v>
      </c>
      <c r="H60" s="32">
        <f t="shared" si="5"/>
        <v>102.44</v>
      </c>
      <c r="I60" s="155"/>
    </row>
    <row r="61" spans="1:9" ht="25.5" customHeight="1" x14ac:dyDescent="0.25">
      <c r="A61" s="2">
        <f t="shared" si="3"/>
        <v>45</v>
      </c>
      <c r="B61" s="162"/>
      <c r="C61" s="162" t="s">
        <v>209</v>
      </c>
      <c r="D61" s="8" t="s">
        <v>210</v>
      </c>
      <c r="E61" s="2" t="s">
        <v>167</v>
      </c>
      <c r="F61" s="2">
        <v>0.20949999999999999</v>
      </c>
      <c r="G61" s="32">
        <v>480</v>
      </c>
      <c r="H61" s="32">
        <f t="shared" si="5"/>
        <v>100.56</v>
      </c>
      <c r="I61" s="155"/>
    </row>
    <row r="62" spans="1:9" ht="25.5" customHeight="1" x14ac:dyDescent="0.25">
      <c r="A62" s="2">
        <f t="shared" si="3"/>
        <v>46</v>
      </c>
      <c r="B62" s="162"/>
      <c r="C62" s="162" t="s">
        <v>211</v>
      </c>
      <c r="D62" s="8" t="s">
        <v>212</v>
      </c>
      <c r="E62" s="2" t="s">
        <v>167</v>
      </c>
      <c r="F62" s="2">
        <v>2.8999999999999998E-3</v>
      </c>
      <c r="G62" s="32">
        <v>17500</v>
      </c>
      <c r="H62" s="32">
        <f t="shared" si="5"/>
        <v>50.75</v>
      </c>
      <c r="I62" s="155"/>
    </row>
    <row r="63" spans="1:9" x14ac:dyDescent="0.25">
      <c r="A63" s="2">
        <f t="shared" si="3"/>
        <v>47</v>
      </c>
      <c r="B63" s="162"/>
      <c r="C63" s="162" t="s">
        <v>213</v>
      </c>
      <c r="D63" s="8" t="s">
        <v>214</v>
      </c>
      <c r="E63" s="2" t="s">
        <v>215</v>
      </c>
      <c r="F63" s="2">
        <v>0.6</v>
      </c>
      <c r="G63" s="32">
        <v>79.099999999999994</v>
      </c>
      <c r="H63" s="32">
        <f t="shared" si="5"/>
        <v>47.46</v>
      </c>
      <c r="I63" s="155"/>
    </row>
    <row r="64" spans="1:9" x14ac:dyDescent="0.25">
      <c r="A64" s="2">
        <f t="shared" si="3"/>
        <v>48</v>
      </c>
      <c r="B64" s="162"/>
      <c r="C64" s="162" t="s">
        <v>216</v>
      </c>
      <c r="D64" s="8" t="s">
        <v>217</v>
      </c>
      <c r="E64" s="2" t="s">
        <v>167</v>
      </c>
      <c r="F64" s="2">
        <v>5.9999999999999995E-4</v>
      </c>
      <c r="G64" s="32">
        <v>28300.400000000001</v>
      </c>
      <c r="H64" s="32">
        <f t="shared" si="5"/>
        <v>16.98</v>
      </c>
      <c r="I64" s="155"/>
    </row>
    <row r="65" spans="1:9" x14ac:dyDescent="0.25">
      <c r="A65" s="2">
        <f t="shared" si="3"/>
        <v>49</v>
      </c>
      <c r="B65" s="162"/>
      <c r="C65" s="162" t="s">
        <v>218</v>
      </c>
      <c r="D65" s="8" t="s">
        <v>219</v>
      </c>
      <c r="E65" s="2" t="s">
        <v>190</v>
      </c>
      <c r="F65" s="2">
        <v>0.4</v>
      </c>
      <c r="G65" s="32">
        <v>39</v>
      </c>
      <c r="H65" s="32">
        <f t="shared" si="5"/>
        <v>15.6</v>
      </c>
      <c r="I65" s="155"/>
    </row>
    <row r="66" spans="1:9" x14ac:dyDescent="0.25">
      <c r="A66" s="2">
        <f t="shared" si="3"/>
        <v>50</v>
      </c>
      <c r="B66" s="162"/>
      <c r="C66" s="162" t="s">
        <v>220</v>
      </c>
      <c r="D66" s="8" t="s">
        <v>221</v>
      </c>
      <c r="E66" s="2" t="s">
        <v>167</v>
      </c>
      <c r="F66" s="2">
        <v>1.9780000000000002E-3</v>
      </c>
      <c r="G66" s="32">
        <v>6159.22</v>
      </c>
      <c r="H66" s="32">
        <f t="shared" si="5"/>
        <v>12.18</v>
      </c>
      <c r="I66" s="155"/>
    </row>
    <row r="67" spans="1:9" x14ac:dyDescent="0.25">
      <c r="A67" s="2">
        <f t="shared" si="3"/>
        <v>51</v>
      </c>
      <c r="B67" s="162"/>
      <c r="C67" s="162" t="s">
        <v>222</v>
      </c>
      <c r="D67" s="8" t="s">
        <v>223</v>
      </c>
      <c r="E67" s="2" t="s">
        <v>173</v>
      </c>
      <c r="F67" s="2">
        <v>0.44</v>
      </c>
      <c r="G67" s="32">
        <v>26.6</v>
      </c>
      <c r="H67" s="32">
        <f t="shared" si="5"/>
        <v>11.7</v>
      </c>
      <c r="I67" s="155"/>
    </row>
    <row r="68" spans="1:9" ht="25.5" customHeight="1" x14ac:dyDescent="0.25">
      <c r="A68" s="2">
        <f t="shared" si="3"/>
        <v>52</v>
      </c>
      <c r="B68" s="162"/>
      <c r="C68" s="162" t="s">
        <v>224</v>
      </c>
      <c r="D68" s="8" t="s">
        <v>225</v>
      </c>
      <c r="E68" s="2" t="s">
        <v>170</v>
      </c>
      <c r="F68" s="2">
        <v>0.17460000000000001</v>
      </c>
      <c r="G68" s="32">
        <v>59.99</v>
      </c>
      <c r="H68" s="32">
        <f t="shared" si="5"/>
        <v>10.47</v>
      </c>
      <c r="I68" s="155"/>
    </row>
    <row r="69" spans="1:9" x14ac:dyDescent="0.25">
      <c r="A69" s="2">
        <f t="shared" si="3"/>
        <v>53</v>
      </c>
      <c r="B69" s="162"/>
      <c r="C69" s="162" t="s">
        <v>226</v>
      </c>
      <c r="D69" s="8" t="s">
        <v>227</v>
      </c>
      <c r="E69" s="2" t="s">
        <v>167</v>
      </c>
      <c r="F69" s="2">
        <v>5.9999999999999995E-4</v>
      </c>
      <c r="G69" s="32">
        <v>15620</v>
      </c>
      <c r="H69" s="32">
        <f t="shared" si="5"/>
        <v>9.3699999999999992</v>
      </c>
      <c r="I69" s="155"/>
    </row>
    <row r="70" spans="1:9" x14ac:dyDescent="0.25">
      <c r="A70" s="2">
        <f t="shared" si="3"/>
        <v>54</v>
      </c>
      <c r="B70" s="162"/>
      <c r="C70" s="162" t="s">
        <v>228</v>
      </c>
      <c r="D70" s="8" t="s">
        <v>229</v>
      </c>
      <c r="E70" s="2" t="s">
        <v>167</v>
      </c>
      <c r="F70" s="2">
        <v>8.9999999999999998E-4</v>
      </c>
      <c r="G70" s="32">
        <v>10315.01</v>
      </c>
      <c r="H70" s="32">
        <f t="shared" si="5"/>
        <v>9.2799999999999994</v>
      </c>
      <c r="I70" s="155"/>
    </row>
    <row r="71" spans="1:9" x14ac:dyDescent="0.25">
      <c r="A71" s="2">
        <f t="shared" si="3"/>
        <v>55</v>
      </c>
      <c r="B71" s="162"/>
      <c r="C71" s="162" t="s">
        <v>230</v>
      </c>
      <c r="D71" s="8" t="s">
        <v>231</v>
      </c>
      <c r="E71" s="2" t="s">
        <v>173</v>
      </c>
      <c r="F71" s="2">
        <v>3.427</v>
      </c>
      <c r="G71" s="32">
        <v>2</v>
      </c>
      <c r="H71" s="32">
        <f t="shared" si="5"/>
        <v>6.85</v>
      </c>
      <c r="I71" s="155"/>
    </row>
    <row r="72" spans="1:9" ht="25.5" customHeight="1" x14ac:dyDescent="0.25">
      <c r="A72" s="2">
        <f t="shared" si="3"/>
        <v>56</v>
      </c>
      <c r="B72" s="162"/>
      <c r="C72" s="162" t="s">
        <v>232</v>
      </c>
      <c r="D72" s="8" t="s">
        <v>233</v>
      </c>
      <c r="E72" s="2" t="s">
        <v>180</v>
      </c>
      <c r="F72" s="2">
        <v>0.22</v>
      </c>
      <c r="G72" s="32">
        <v>28.22</v>
      </c>
      <c r="H72" s="32">
        <f t="shared" si="5"/>
        <v>6.21</v>
      </c>
      <c r="I72" s="155"/>
    </row>
    <row r="73" spans="1:9" x14ac:dyDescent="0.25">
      <c r="A73" s="2">
        <f t="shared" si="3"/>
        <v>57</v>
      </c>
      <c r="B73" s="162"/>
      <c r="C73" s="162" t="s">
        <v>234</v>
      </c>
      <c r="D73" s="8" t="s">
        <v>235</v>
      </c>
      <c r="E73" s="2" t="s">
        <v>167</v>
      </c>
      <c r="F73" s="2">
        <v>5.0000000000000001E-4</v>
      </c>
      <c r="G73" s="32">
        <v>9420</v>
      </c>
      <c r="H73" s="32">
        <f t="shared" si="5"/>
        <v>4.71</v>
      </c>
      <c r="I73" s="155"/>
    </row>
    <row r="74" spans="1:9" ht="25.5" customHeight="1" x14ac:dyDescent="0.25">
      <c r="A74" s="2">
        <f t="shared" si="3"/>
        <v>58</v>
      </c>
      <c r="B74" s="162"/>
      <c r="C74" s="162" t="s">
        <v>236</v>
      </c>
      <c r="D74" s="8" t="s">
        <v>237</v>
      </c>
      <c r="E74" s="2" t="s">
        <v>180</v>
      </c>
      <c r="F74" s="2">
        <v>4.8000000000000001E-2</v>
      </c>
      <c r="G74" s="32">
        <v>30.4</v>
      </c>
      <c r="H74" s="32">
        <f t="shared" si="5"/>
        <v>1.46</v>
      </c>
      <c r="I74" s="155"/>
    </row>
    <row r="75" spans="1:9" x14ac:dyDescent="0.25">
      <c r="A75" s="2">
        <f t="shared" si="3"/>
        <v>59</v>
      </c>
      <c r="B75" s="162"/>
      <c r="C75" s="162" t="s">
        <v>238</v>
      </c>
      <c r="D75" s="8" t="s">
        <v>239</v>
      </c>
      <c r="E75" s="2" t="s">
        <v>167</v>
      </c>
      <c r="F75" s="2">
        <v>2.0000000000000001E-4</v>
      </c>
      <c r="G75" s="32">
        <v>6667</v>
      </c>
      <c r="H75" s="32">
        <f t="shared" si="5"/>
        <v>1.33</v>
      </c>
      <c r="I75" s="155"/>
    </row>
    <row r="76" spans="1:9" x14ac:dyDescent="0.25">
      <c r="A76" s="2">
        <f t="shared" si="3"/>
        <v>60</v>
      </c>
      <c r="B76" s="162"/>
      <c r="C76" s="162" t="s">
        <v>240</v>
      </c>
      <c r="D76" s="8" t="s">
        <v>241</v>
      </c>
      <c r="E76" s="2" t="s">
        <v>180</v>
      </c>
      <c r="F76" s="2">
        <v>2.4E-2</v>
      </c>
      <c r="G76" s="32">
        <v>44.97</v>
      </c>
      <c r="H76" s="32">
        <f t="shared" si="5"/>
        <v>1.08</v>
      </c>
      <c r="I76" s="155"/>
    </row>
    <row r="77" spans="1:9" x14ac:dyDescent="0.25">
      <c r="A77" s="2">
        <f t="shared" si="3"/>
        <v>61</v>
      </c>
      <c r="B77" s="162"/>
      <c r="C77" s="162" t="s">
        <v>242</v>
      </c>
      <c r="D77" s="8" t="s">
        <v>243</v>
      </c>
      <c r="E77" s="2" t="s">
        <v>180</v>
      </c>
      <c r="F77" s="2">
        <v>2.4E-2</v>
      </c>
      <c r="G77" s="32">
        <v>35.630000000000003</v>
      </c>
      <c r="H77" s="32">
        <f t="shared" si="5"/>
        <v>0.86</v>
      </c>
      <c r="I77" s="155"/>
    </row>
    <row r="78" spans="1:9" x14ac:dyDescent="0.25">
      <c r="A78" s="2">
        <f t="shared" si="3"/>
        <v>62</v>
      </c>
      <c r="B78" s="162"/>
      <c r="C78" s="162" t="s">
        <v>244</v>
      </c>
      <c r="D78" s="8" t="s">
        <v>245</v>
      </c>
      <c r="E78" s="2" t="s">
        <v>180</v>
      </c>
      <c r="F78" s="2">
        <v>4.0000000000000001E-3</v>
      </c>
      <c r="G78" s="32">
        <v>133.05000000000001</v>
      </c>
      <c r="H78" s="32">
        <f t="shared" si="5"/>
        <v>0.53</v>
      </c>
      <c r="I78" s="155"/>
    </row>
    <row r="79" spans="1:9" x14ac:dyDescent="0.25">
      <c r="A79" s="2">
        <f t="shared" si="3"/>
        <v>63</v>
      </c>
      <c r="B79" s="162"/>
      <c r="C79" s="162" t="s">
        <v>246</v>
      </c>
      <c r="D79" s="8" t="s">
        <v>247</v>
      </c>
      <c r="E79" s="2" t="s">
        <v>180</v>
      </c>
      <c r="F79" s="2">
        <v>4.0000000000000001E-3</v>
      </c>
      <c r="G79" s="32">
        <v>11.5</v>
      </c>
      <c r="H79" s="32">
        <f t="shared" si="5"/>
        <v>0.05</v>
      </c>
      <c r="I79" s="155"/>
    </row>
    <row r="80" spans="1:9" x14ac:dyDescent="0.25">
      <c r="C80" s="148"/>
      <c r="D80" s="146"/>
      <c r="E80" s="147"/>
      <c r="F80" s="147"/>
      <c r="G80" s="149"/>
      <c r="H80" s="161"/>
    </row>
    <row r="81" spans="2:8" ht="25.5" customHeight="1" x14ac:dyDescent="0.25">
      <c r="B81" s="158" t="s">
        <v>248</v>
      </c>
      <c r="C81" s="243" t="s">
        <v>249</v>
      </c>
      <c r="D81" s="243"/>
      <c r="E81" s="243"/>
      <c r="F81" s="243"/>
      <c r="G81" s="243"/>
      <c r="H81" s="243"/>
    </row>
    <row r="84" spans="2:8" s="193" customFormat="1" x14ac:dyDescent="0.25">
      <c r="B84" s="194" t="s">
        <v>76</v>
      </c>
      <c r="C84" s="200"/>
    </row>
    <row r="85" spans="2:8" s="193" customFormat="1" x14ac:dyDescent="0.25">
      <c r="B85" s="33" t="s">
        <v>77</v>
      </c>
      <c r="C85" s="200"/>
    </row>
    <row r="86" spans="2:8" s="193" customFormat="1" x14ac:dyDescent="0.25">
      <c r="B86" s="194"/>
      <c r="C86" s="200"/>
    </row>
    <row r="87" spans="2:8" s="193" customFormat="1" x14ac:dyDescent="0.25">
      <c r="B87" s="194" t="s">
        <v>78</v>
      </c>
      <c r="C87" s="200"/>
    </row>
    <row r="88" spans="2:8" s="193" customFormat="1" x14ac:dyDescent="0.25">
      <c r="B88" s="33" t="s">
        <v>79</v>
      </c>
      <c r="C88" s="200"/>
    </row>
  </sheetData>
  <mergeCells count="17">
    <mergeCell ref="C81:H81"/>
    <mergeCell ref="A3:I3"/>
    <mergeCell ref="D9:D10"/>
    <mergeCell ref="C9:C10"/>
    <mergeCell ref="B9:B10"/>
    <mergeCell ref="G9:H9"/>
    <mergeCell ref="A2:H2"/>
    <mergeCell ref="A20:D20"/>
    <mergeCell ref="A22:D22"/>
    <mergeCell ref="A40:D40"/>
    <mergeCell ref="A36:D36"/>
    <mergeCell ref="A9:A10"/>
    <mergeCell ref="A12:D12"/>
    <mergeCell ref="E9:E10"/>
    <mergeCell ref="F9:F10"/>
    <mergeCell ref="C4:H4"/>
    <mergeCell ref="A6:H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4" t="s">
        <v>250</v>
      </c>
      <c r="B1" s="224"/>
      <c r="C1" s="224"/>
      <c r="D1" s="224"/>
    </row>
    <row r="2" spans="1:10" x14ac:dyDescent="0.25">
      <c r="A2" s="244" t="str">
        <f>'4.1 Отдел 1'!A10</f>
        <v>И5-05-02</v>
      </c>
      <c r="B2" s="244"/>
      <c r="C2" s="244"/>
      <c r="D2" s="244"/>
    </row>
    <row r="3" spans="1:10" x14ac:dyDescent="0.25">
      <c r="A3" s="245"/>
      <c r="B3" s="245"/>
      <c r="C3" s="245"/>
      <c r="D3" s="245"/>
    </row>
    <row r="4" spans="1:10" ht="51.75" customHeight="1" x14ac:dyDescent="0.25">
      <c r="A4" s="221" t="str">
        <f>'Прил. 3'!A6</f>
        <v>Наименование разрабатываемого показателя УНЦ -ТН (четыре вторичные обмотки) на три фазы без устройства фундамента напряжение 220(150) кВ</v>
      </c>
      <c r="B4" s="221"/>
      <c r="C4" s="221"/>
      <c r="D4" s="221"/>
    </row>
    <row r="5" spans="1:10" ht="15" customHeight="1" x14ac:dyDescent="0.25">
      <c r="A5" s="221"/>
      <c r="B5" s="246"/>
      <c r="C5" s="246"/>
      <c r="D5" s="246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251</v>
      </c>
      <c r="B7" s="2" t="s">
        <v>104</v>
      </c>
      <c r="C7" s="2" t="s">
        <v>252</v>
      </c>
      <c r="D7" s="2" t="s">
        <v>253</v>
      </c>
    </row>
    <row r="8" spans="1:10" x14ac:dyDescent="0.25">
      <c r="A8" s="25" t="s">
        <v>254</v>
      </c>
      <c r="B8" s="26">
        <f>'Прил.5 Расчет СМР и ОБ'!G16</f>
        <v>31569.920000000002</v>
      </c>
      <c r="C8" s="27">
        <f t="shared" ref="C8:C15" si="0">B8/$B$21</f>
        <v>0.22837109724596927</v>
      </c>
      <c r="D8" s="27">
        <f t="shared" ref="D8:D15" si="1">B8/$B$35</f>
        <v>5.7661773775993805E-3</v>
      </c>
      <c r="I8" s="28"/>
      <c r="J8" s="28"/>
    </row>
    <row r="9" spans="1:10" x14ac:dyDescent="0.25">
      <c r="A9" s="25" t="s">
        <v>255</v>
      </c>
      <c r="B9" s="26">
        <f>'Прил.5 Расчет СМР и ОБ'!G25</f>
        <v>40421.339999999997</v>
      </c>
      <c r="C9" s="27">
        <f t="shared" si="0"/>
        <v>0.29240067025676297</v>
      </c>
      <c r="D9" s="27">
        <f t="shared" si="1"/>
        <v>7.3828700319878201E-3</v>
      </c>
      <c r="I9" s="28"/>
      <c r="J9" s="28"/>
    </row>
    <row r="10" spans="1:10" x14ac:dyDescent="0.25">
      <c r="A10" s="25" t="s">
        <v>256</v>
      </c>
      <c r="B10" s="26">
        <f>'Прил.5 Расчет СМР и ОБ'!G35</f>
        <v>2848.57</v>
      </c>
      <c r="C10" s="27">
        <f t="shared" si="0"/>
        <v>2.0606040702097143E-2</v>
      </c>
      <c r="D10" s="27">
        <f t="shared" si="1"/>
        <v>5.2028512877157337E-4</v>
      </c>
      <c r="I10" s="28"/>
      <c r="J10" s="28"/>
    </row>
    <row r="11" spans="1:10" x14ac:dyDescent="0.25">
      <c r="A11" s="25" t="s">
        <v>257</v>
      </c>
      <c r="B11" s="26">
        <f>B9+B10</f>
        <v>43269.91</v>
      </c>
      <c r="C11" s="27">
        <f t="shared" si="0"/>
        <v>0.31300671095886012</v>
      </c>
      <c r="D11" s="27">
        <f t="shared" si="1"/>
        <v>7.9031551607593956E-3</v>
      </c>
      <c r="I11" s="28"/>
      <c r="J11" s="28"/>
    </row>
    <row r="12" spans="1:10" x14ac:dyDescent="0.25">
      <c r="A12" s="25" t="s">
        <v>258</v>
      </c>
      <c r="B12" s="26">
        <f>'Прил.5 Расчет СМР и ОБ'!G18</f>
        <v>2195.2049999999999</v>
      </c>
      <c r="C12" s="27">
        <f t="shared" si="0"/>
        <v>1.5879716341689745E-2</v>
      </c>
      <c r="D12" s="27">
        <f t="shared" si="1"/>
        <v>4.0094942939966421E-4</v>
      </c>
      <c r="I12" s="28"/>
      <c r="J12" s="28"/>
    </row>
    <row r="13" spans="1:10" x14ac:dyDescent="0.25">
      <c r="A13" s="25" t="s">
        <v>259</v>
      </c>
      <c r="B13" s="26">
        <f>'Прил.5 Расчет СМР и ОБ'!G50</f>
        <v>2516.81</v>
      </c>
      <c r="C13" s="27">
        <f t="shared" si="0"/>
        <v>1.8206148804293068E-2</v>
      </c>
      <c r="D13" s="27">
        <f t="shared" si="1"/>
        <v>4.5968988472938469E-4</v>
      </c>
      <c r="I13" s="28"/>
      <c r="J13" s="28"/>
    </row>
    <row r="14" spans="1:10" x14ac:dyDescent="0.25">
      <c r="A14" s="25" t="s">
        <v>260</v>
      </c>
      <c r="B14" s="26">
        <f>'Прил.5 Расчет СМР и ОБ'!G88</f>
        <v>8209.33</v>
      </c>
      <c r="C14" s="27">
        <f t="shared" si="0"/>
        <v>5.9384809963226155E-2</v>
      </c>
      <c r="D14" s="27">
        <f t="shared" si="1"/>
        <v>1.4994163092984689E-3</v>
      </c>
      <c r="I14" s="28"/>
      <c r="J14" s="28"/>
    </row>
    <row r="15" spans="1:10" x14ac:dyDescent="0.25">
      <c r="A15" s="25" t="s">
        <v>261</v>
      </c>
      <c r="B15" s="26">
        <f>B13+B14</f>
        <v>10726.14</v>
      </c>
      <c r="C15" s="27">
        <f t="shared" si="0"/>
        <v>7.7590958767519216E-2</v>
      </c>
      <c r="D15" s="27">
        <f t="shared" si="1"/>
        <v>1.9591061940278536E-3</v>
      </c>
      <c r="I15" s="28"/>
      <c r="J15" s="28"/>
    </row>
    <row r="16" spans="1:10" x14ac:dyDescent="0.25">
      <c r="A16" s="25" t="s">
        <v>262</v>
      </c>
      <c r="B16" s="26">
        <f>B8+B11+B15</f>
        <v>85565.97</v>
      </c>
      <c r="C16" s="27"/>
      <c r="D16" s="27"/>
      <c r="I16" s="28"/>
      <c r="J16" s="28"/>
    </row>
    <row r="17" spans="1:10" x14ac:dyDescent="0.25">
      <c r="A17" s="25" t="s">
        <v>263</v>
      </c>
      <c r="B17" s="26">
        <f>'Прил.5 Расчет СМР и ОБ'!G92</f>
        <v>22284.98</v>
      </c>
      <c r="C17" s="27">
        <f>B17/$B$21</f>
        <v>0.16120551888330664</v>
      </c>
      <c r="D17" s="27">
        <f>B17/$B$35</f>
        <v>4.0703032359997952E-3</v>
      </c>
      <c r="I17" s="28"/>
      <c r="J17" s="28"/>
    </row>
    <row r="18" spans="1:10" x14ac:dyDescent="0.25">
      <c r="A18" s="25" t="s">
        <v>264</v>
      </c>
      <c r="B18" s="29">
        <f>B17/(B8+B12)</f>
        <v>0.65999992595910717</v>
      </c>
      <c r="C18" s="27"/>
      <c r="D18" s="27"/>
      <c r="I18" s="28"/>
      <c r="J18" s="28"/>
    </row>
    <row r="19" spans="1:10" x14ac:dyDescent="0.25">
      <c r="A19" s="25" t="s">
        <v>265</v>
      </c>
      <c r="B19" s="26">
        <f>'Прил.5 Расчет СМР и ОБ'!G91</f>
        <v>30388.61</v>
      </c>
      <c r="C19" s="27">
        <f>B19/$B$21</f>
        <v>0.21982571414434479</v>
      </c>
      <c r="D19" s="27">
        <f>B19/$B$35</f>
        <v>5.5504136696795658E-3</v>
      </c>
      <c r="I19" s="28"/>
      <c r="J19" s="28"/>
    </row>
    <row r="20" spans="1:10" x14ac:dyDescent="0.25">
      <c r="A20" s="25" t="s">
        <v>266</v>
      </c>
      <c r="B20" s="29">
        <f>B19/(B8+B12)</f>
        <v>0.89999992595910727</v>
      </c>
      <c r="C20" s="27"/>
      <c r="D20" s="27"/>
      <c r="J20" s="28"/>
    </row>
    <row r="21" spans="1:10" x14ac:dyDescent="0.25">
      <c r="A21" s="25" t="s">
        <v>267</v>
      </c>
      <c r="B21" s="26">
        <f>B16+B17+B19</f>
        <v>138239.56</v>
      </c>
      <c r="C21" s="27">
        <f>B21/$B$21</f>
        <v>1</v>
      </c>
      <c r="D21" s="27">
        <f>B21/$B$35</f>
        <v>2.5249155638065988E-2</v>
      </c>
      <c r="J21" s="28"/>
    </row>
    <row r="22" spans="1:10" ht="26.45" customHeight="1" x14ac:dyDescent="0.25">
      <c r="A22" s="25" t="s">
        <v>268</v>
      </c>
      <c r="B22" s="26">
        <f>'Прил.6 Расчет ОБ'!G16</f>
        <v>5141661.0200000005</v>
      </c>
      <c r="C22" s="27"/>
      <c r="D22" s="27">
        <f>B22/$B$35</f>
        <v>0.93911322730018187</v>
      </c>
      <c r="J22" s="28"/>
    </row>
    <row r="23" spans="1:10" ht="26.45" customHeight="1" x14ac:dyDescent="0.25">
      <c r="A23" s="25" t="s">
        <v>269</v>
      </c>
      <c r="B23" s="26">
        <f>'Прил.6 Расчет ОБ'!G15</f>
        <v>5141661.0200000005</v>
      </c>
      <c r="C23" s="27"/>
      <c r="D23" s="27">
        <f>B23/$B$35</f>
        <v>0.93911322730018187</v>
      </c>
      <c r="J23" s="28"/>
    </row>
    <row r="24" spans="1:10" x14ac:dyDescent="0.25">
      <c r="A24" s="25" t="s">
        <v>270</v>
      </c>
      <c r="B24" s="26">
        <f>'Прил.5 Расчет СМР и ОБ'!G94</f>
        <v>5307414.22</v>
      </c>
      <c r="C24" s="27"/>
      <c r="D24" s="27">
        <f>B24/$B$35</f>
        <v>0.96938768957644683</v>
      </c>
      <c r="J24" s="28"/>
    </row>
    <row r="25" spans="1:10" ht="26.45" customHeight="1" x14ac:dyDescent="0.25">
      <c r="A25" s="25" t="s">
        <v>271</v>
      </c>
      <c r="B25" s="26"/>
      <c r="C25" s="27"/>
      <c r="D25" s="27"/>
      <c r="J25" s="28"/>
    </row>
    <row r="26" spans="1:10" x14ac:dyDescent="0.25">
      <c r="A26" s="25" t="s">
        <v>272</v>
      </c>
      <c r="B26" s="26">
        <f>'4.7 Прил.6 Расчет Прочие'!I9*1000</f>
        <v>278.41007999999999</v>
      </c>
      <c r="C26" s="27"/>
      <c r="D26" s="27">
        <f>B26/$B$35</f>
        <v>5.0850996929724045E-5</v>
      </c>
      <c r="J26" s="28"/>
    </row>
    <row r="27" spans="1:10" x14ac:dyDescent="0.25">
      <c r="A27" s="25" t="s">
        <v>273</v>
      </c>
      <c r="B27" s="26">
        <f>'4.7 Прил.6 Расчет Прочие'!I11*1000</f>
        <v>86.950678710000005</v>
      </c>
      <c r="C27" s="27"/>
      <c r="D27" s="27">
        <f>B27/$B$35</f>
        <v>1.5881352773289072E-5</v>
      </c>
      <c r="J27" s="28"/>
    </row>
    <row r="28" spans="1:10" x14ac:dyDescent="0.25">
      <c r="A28" s="25" t="s">
        <v>274</v>
      </c>
      <c r="B28" s="26">
        <f>'4.7 Прил.6 Расчет Прочие'!I12*1000</f>
        <v>5470.4031199999999</v>
      </c>
      <c r="C28" s="27"/>
      <c r="D28" s="27">
        <f>B28/$B$35</f>
        <v>9.9915725845656461E-4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275</v>
      </c>
      <c r="B30" s="26">
        <f>'4.7 Прил.6 Расчет Прочие'!I14*1000</f>
        <v>2300.6417510043998</v>
      </c>
      <c r="C30" s="27"/>
      <c r="D30" s="27">
        <f>B30/$B$35</f>
        <v>4.2020722316059707E-4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276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277</v>
      </c>
      <c r="B33" s="26">
        <f>B24+B26+B27+B28+B30+B32</f>
        <v>5315550.6256297138</v>
      </c>
      <c r="C33" s="27"/>
      <c r="D33" s="27">
        <f>B33/$B$35</f>
        <v>0.97087378640776689</v>
      </c>
      <c r="J33" s="28"/>
    </row>
    <row r="34" spans="1:10" x14ac:dyDescent="0.25">
      <c r="A34" s="25" t="s">
        <v>278</v>
      </c>
      <c r="B34" s="26">
        <f>B33*3%</f>
        <v>159466.5187688914</v>
      </c>
      <c r="C34" s="27"/>
      <c r="D34" s="27">
        <f>B34/$B$35</f>
        <v>2.9126213592233007E-2</v>
      </c>
      <c r="J34" s="28"/>
    </row>
    <row r="35" spans="1:10" x14ac:dyDescent="0.25">
      <c r="A35" s="25" t="s">
        <v>279</v>
      </c>
      <c r="B35" s="26">
        <f>B33+B34</f>
        <v>5475017.1443986055</v>
      </c>
      <c r="C35" s="27"/>
      <c r="D35" s="27">
        <f>B35/$B$35</f>
        <v>1</v>
      </c>
      <c r="J35" s="28"/>
    </row>
    <row r="36" spans="1:10" x14ac:dyDescent="0.25">
      <c r="A36" s="25" t="s">
        <v>280</v>
      </c>
      <c r="B36" s="26">
        <f>B35</f>
        <v>5475017.1443986055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281</v>
      </c>
      <c r="B38" s="30"/>
      <c r="C38" s="30"/>
      <c r="D38" s="30"/>
    </row>
    <row r="39" spans="1:10" x14ac:dyDescent="0.25">
      <c r="A39" s="31" t="s">
        <v>282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283</v>
      </c>
      <c r="B41" s="30"/>
      <c r="C41" s="30"/>
      <c r="D41" s="30"/>
    </row>
    <row r="42" spans="1:10" x14ac:dyDescent="0.25">
      <c r="A42" s="31" t="s">
        <v>284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0"/>
  <sheetViews>
    <sheetView view="pageBreakPreview" topLeftCell="A35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285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8" t="s">
        <v>250</v>
      </c>
      <c r="C5" s="218"/>
      <c r="D5" s="218"/>
      <c r="E5" s="218"/>
    </row>
    <row r="6" spans="2:5" x14ac:dyDescent="0.25">
      <c r="B6" s="140"/>
      <c r="C6" s="4"/>
      <c r="D6" s="4"/>
      <c r="E6" s="4"/>
    </row>
    <row r="7" spans="2:5" ht="25.5" customHeight="1" x14ac:dyDescent="0.25">
      <c r="B7" s="246" t="s">
        <v>48</v>
      </c>
      <c r="C7" s="246"/>
      <c r="D7" s="246"/>
      <c r="E7" s="246"/>
    </row>
    <row r="8" spans="2:5" x14ac:dyDescent="0.25">
      <c r="B8" s="247" t="s">
        <v>50</v>
      </c>
      <c r="C8" s="247"/>
      <c r="D8" s="247"/>
      <c r="E8" s="247"/>
    </row>
    <row r="9" spans="2:5" x14ac:dyDescent="0.25">
      <c r="B9" s="140"/>
      <c r="C9" s="4"/>
      <c r="D9" s="4"/>
      <c r="E9" s="4"/>
    </row>
    <row r="10" spans="2:5" ht="51" customHeight="1" x14ac:dyDescent="0.25">
      <c r="B10" s="2" t="s">
        <v>251</v>
      </c>
      <c r="C10" s="2" t="s">
        <v>286</v>
      </c>
      <c r="D10" s="2" t="s">
        <v>287</v>
      </c>
      <c r="E10" s="2" t="s">
        <v>288</v>
      </c>
    </row>
    <row r="11" spans="2:5" x14ac:dyDescent="0.25">
      <c r="B11" s="25" t="s">
        <v>254</v>
      </c>
      <c r="C11" s="172">
        <f>'Прил.5 Расчет СМР и ОБ'!J16</f>
        <v>1456214.7799999998</v>
      </c>
      <c r="D11" s="27">
        <f t="shared" ref="D11:D18" si="0">C11/$C$24</f>
        <v>0.30017786728923224</v>
      </c>
      <c r="E11" s="27">
        <f t="shared" ref="E11:E18" si="1">C11/$C$40</f>
        <v>6.8595297382321577E-2</v>
      </c>
    </row>
    <row r="12" spans="2:5" x14ac:dyDescent="0.25">
      <c r="B12" s="25" t="s">
        <v>255</v>
      </c>
      <c r="C12" s="172">
        <f>'Прил.5 Расчет СМР и ОБ'!J25</f>
        <v>544475.14</v>
      </c>
      <c r="D12" s="27">
        <f t="shared" si="0"/>
        <v>0.11223576944961797</v>
      </c>
      <c r="E12" s="27">
        <f t="shared" si="1"/>
        <v>2.5647613702685517E-2</v>
      </c>
    </row>
    <row r="13" spans="2:5" x14ac:dyDescent="0.25">
      <c r="B13" s="25" t="s">
        <v>256</v>
      </c>
      <c r="C13" s="172">
        <f>'Прил.5 Расчет СМР и ОБ'!J35</f>
        <v>38370.11</v>
      </c>
      <c r="D13" s="27">
        <f t="shared" si="0"/>
        <v>7.9094498597612386E-3</v>
      </c>
      <c r="E13" s="27">
        <f t="shared" si="1"/>
        <v>1.8074319408036713E-3</v>
      </c>
    </row>
    <row r="14" spans="2:5" x14ac:dyDescent="0.25">
      <c r="B14" s="25" t="s">
        <v>257</v>
      </c>
      <c r="C14" s="172">
        <f>C13+C12</f>
        <v>582845.25</v>
      </c>
      <c r="D14" s="27">
        <f t="shared" si="0"/>
        <v>0.1201452193093792</v>
      </c>
      <c r="E14" s="27">
        <f t="shared" si="1"/>
        <v>2.745504564348919E-2</v>
      </c>
    </row>
    <row r="15" spans="2:5" x14ac:dyDescent="0.25">
      <c r="B15" s="25" t="s">
        <v>258</v>
      </c>
      <c r="C15" s="172">
        <f>'Прил.5 Расчет СМР и ОБ'!J18</f>
        <v>194451.44</v>
      </c>
      <c r="D15" s="27">
        <f t="shared" si="0"/>
        <v>4.0083385605054846E-2</v>
      </c>
      <c r="E15" s="27">
        <f t="shared" si="1"/>
        <v>9.1596751635913635E-3</v>
      </c>
    </row>
    <row r="16" spans="2:5" x14ac:dyDescent="0.25">
      <c r="B16" s="25" t="s">
        <v>259</v>
      </c>
      <c r="C16" s="172">
        <f>'Прил.5 Расчет СМР и ОБ'!J50</f>
        <v>171069.89</v>
      </c>
      <c r="D16" s="27">
        <f t="shared" si="0"/>
        <v>3.5263613199698167E-2</v>
      </c>
      <c r="E16" s="27">
        <f t="shared" si="1"/>
        <v>8.0582824311885102E-3</v>
      </c>
    </row>
    <row r="17" spans="2:5" x14ac:dyDescent="0.25">
      <c r="B17" s="25" t="s">
        <v>260</v>
      </c>
      <c r="C17" s="172">
        <f>'Прил.5 Расчет СМР и ОБ'!J88</f>
        <v>66003.820000000007</v>
      </c>
      <c r="D17" s="27">
        <f t="shared" si="0"/>
        <v>1.3605744284879718E-2</v>
      </c>
      <c r="E17" s="27">
        <f t="shared" si="1"/>
        <v>3.1091235465068039E-3</v>
      </c>
    </row>
    <row r="18" spans="2:5" x14ac:dyDescent="0.25">
      <c r="B18" s="25" t="s">
        <v>261</v>
      </c>
      <c r="C18" s="172">
        <f>C17+C16</f>
        <v>237073.71</v>
      </c>
      <c r="D18" s="27">
        <f t="shared" si="0"/>
        <v>4.886935748457788E-2</v>
      </c>
      <c r="E18" s="27">
        <f t="shared" si="1"/>
        <v>1.1167405977695314E-2</v>
      </c>
    </row>
    <row r="19" spans="2:5" x14ac:dyDescent="0.25">
      <c r="B19" s="25" t="s">
        <v>262</v>
      </c>
      <c r="C19" s="172">
        <f>C18+C14+C11</f>
        <v>2276133.7399999998</v>
      </c>
      <c r="D19" s="27"/>
      <c r="E19" s="25"/>
    </row>
    <row r="20" spans="2:5" x14ac:dyDescent="0.25">
      <c r="B20" s="25" t="s">
        <v>263</v>
      </c>
      <c r="C20" s="172">
        <f>ROUND(C21*(C11+C15),2)</f>
        <v>1089439.71</v>
      </c>
      <c r="D20" s="27">
        <f>C20/$C$24</f>
        <v>0.22457242789968088</v>
      </c>
      <c r="E20" s="27">
        <f>C20/$C$40</f>
        <v>5.1318282106407535E-2</v>
      </c>
    </row>
    <row r="21" spans="2:5" x14ac:dyDescent="0.25">
      <c r="B21" s="25" t="s">
        <v>264</v>
      </c>
      <c r="C21" s="29">
        <f>'Прил.5 Расчет СМР и ОБ'!D92</f>
        <v>0.66</v>
      </c>
      <c r="D21" s="27"/>
      <c r="E21" s="25"/>
    </row>
    <row r="22" spans="2:5" x14ac:dyDescent="0.25">
      <c r="B22" s="25" t="s">
        <v>265</v>
      </c>
      <c r="C22" s="172">
        <f>ROUND(C23*(C11+C15),2)</f>
        <v>1485599.6</v>
      </c>
      <c r="D22" s="27">
        <f>C22/$C$24</f>
        <v>0.30623512801712982</v>
      </c>
      <c r="E22" s="27">
        <f>C22/$C$40</f>
        <v>6.9979475385532064E-2</v>
      </c>
    </row>
    <row r="23" spans="2:5" x14ac:dyDescent="0.25">
      <c r="B23" s="25" t="s">
        <v>266</v>
      </c>
      <c r="C23" s="29">
        <f>'Прил.5 Расчет СМР и ОБ'!D91</f>
        <v>0.9</v>
      </c>
      <c r="D23" s="27"/>
      <c r="E23" s="25"/>
    </row>
    <row r="24" spans="2:5" x14ac:dyDescent="0.25">
      <c r="B24" s="25" t="s">
        <v>267</v>
      </c>
      <c r="C24" s="172">
        <f>C19+C20+C22</f>
        <v>4851173.05</v>
      </c>
      <c r="D24" s="27">
        <f>C24/$C$24</f>
        <v>1</v>
      </c>
      <c r="E24" s="27">
        <f>C24/$C$40</f>
        <v>0.22851550649544566</v>
      </c>
    </row>
    <row r="25" spans="2:5" ht="25.5" customHeight="1" x14ac:dyDescent="0.25">
      <c r="B25" s="25" t="s">
        <v>268</v>
      </c>
      <c r="C25" s="172">
        <f>'Прил.5 Расчет СМР и ОБ'!J44</f>
        <v>14809122.390000001</v>
      </c>
      <c r="D25" s="27"/>
      <c r="E25" s="27">
        <f>C25/$C$40</f>
        <v>0.69758676279418541</v>
      </c>
    </row>
    <row r="26" spans="2:5" ht="25.5" customHeight="1" x14ac:dyDescent="0.25">
      <c r="B26" s="25" t="s">
        <v>269</v>
      </c>
      <c r="C26" s="172">
        <f>C25</f>
        <v>14809122.390000001</v>
      </c>
      <c r="D26" s="27"/>
      <c r="E26" s="27">
        <f>C26/$C$40</f>
        <v>0.69758676279418541</v>
      </c>
    </row>
    <row r="27" spans="2:5" x14ac:dyDescent="0.25">
      <c r="B27" s="25" t="s">
        <v>270</v>
      </c>
      <c r="C27" s="26">
        <f>C24+C25</f>
        <v>19660295.440000001</v>
      </c>
      <c r="D27" s="27"/>
      <c r="E27" s="27">
        <f>C27/$C$40</f>
        <v>0.92610226928963113</v>
      </c>
    </row>
    <row r="28" spans="2:5" ht="33" customHeight="1" x14ac:dyDescent="0.25">
      <c r="B28" s="25" t="s">
        <v>271</v>
      </c>
      <c r="C28" s="25"/>
      <c r="D28" s="25"/>
      <c r="E28" s="25"/>
    </row>
    <row r="29" spans="2:5" ht="25.5" customHeight="1" x14ac:dyDescent="0.25">
      <c r="B29" s="25" t="s">
        <v>289</v>
      </c>
      <c r="C29" s="26">
        <f>ROUND(C24*3.9%,2)</f>
        <v>189195.75</v>
      </c>
      <c r="D29" s="25"/>
      <c r="E29" s="27">
        <f t="shared" ref="E29:E38" si="2">C29/$C$40</f>
        <v>8.9121048027828477E-3</v>
      </c>
    </row>
    <row r="30" spans="2:5" ht="38.25" customHeight="1" x14ac:dyDescent="0.25">
      <c r="B30" s="25" t="s">
        <v>290</v>
      </c>
      <c r="C30" s="26">
        <f>ROUND((C24+C29)*2.1%,2)</f>
        <v>105847.74</v>
      </c>
      <c r="D30" s="25"/>
      <c r="E30" s="27">
        <f t="shared" si="2"/>
        <v>4.9859796111578099E-3</v>
      </c>
    </row>
    <row r="31" spans="2:5" x14ac:dyDescent="0.25">
      <c r="B31" s="25" t="s">
        <v>291</v>
      </c>
      <c r="C31" s="26">
        <v>184150.39999999999</v>
      </c>
      <c r="D31" s="25"/>
      <c r="E31" s="27">
        <f t="shared" si="2"/>
        <v>8.6744425510318409E-3</v>
      </c>
    </row>
    <row r="32" spans="2:5" ht="25.5" customHeight="1" x14ac:dyDescent="0.25">
      <c r="B32" s="25" t="s">
        <v>292</v>
      </c>
      <c r="C32" s="26">
        <f>ROUND(C27*0%,2)</f>
        <v>0</v>
      </c>
      <c r="D32" s="25"/>
      <c r="E32" s="27">
        <f t="shared" si="2"/>
        <v>0</v>
      </c>
    </row>
    <row r="33" spans="2:11" ht="25.5" customHeight="1" x14ac:dyDescent="0.25">
      <c r="B33" s="25" t="s">
        <v>293</v>
      </c>
      <c r="C33" s="26">
        <f>ROUND(C27*0%,2)</f>
        <v>0</v>
      </c>
      <c r="D33" s="25"/>
      <c r="E33" s="27">
        <f t="shared" si="2"/>
        <v>0</v>
      </c>
    </row>
    <row r="34" spans="2:11" ht="51" customHeight="1" x14ac:dyDescent="0.25">
      <c r="B34" s="25" t="s">
        <v>294</v>
      </c>
      <c r="C34" s="26">
        <f>ROUND(C28*0%,2)</f>
        <v>0</v>
      </c>
      <c r="D34" s="25"/>
      <c r="E34" s="27">
        <f t="shared" si="2"/>
        <v>0</v>
      </c>
    </row>
    <row r="35" spans="2:11" ht="76.5" customHeight="1" x14ac:dyDescent="0.25">
      <c r="B35" s="25" t="s">
        <v>295</v>
      </c>
      <c r="C35" s="26">
        <f>ROUND(C29*0%,2)</f>
        <v>0</v>
      </c>
      <c r="D35" s="25"/>
      <c r="E35" s="27">
        <f t="shared" si="2"/>
        <v>0</v>
      </c>
    </row>
    <row r="36" spans="2:11" ht="25.5" customHeight="1" x14ac:dyDescent="0.25">
      <c r="B36" s="25" t="s">
        <v>296</v>
      </c>
      <c r="C36" s="26">
        <f>ROUND((C27+C32+C33+C34+C35+C29+C31+C30)*2.14%,2)</f>
        <v>430985.07</v>
      </c>
      <c r="D36" s="25"/>
      <c r="E36" s="27">
        <f t="shared" si="2"/>
        <v>2.0301640561559666E-2</v>
      </c>
      <c r="K36" s="141"/>
    </row>
    <row r="37" spans="2:11" x14ac:dyDescent="0.25">
      <c r="B37" s="25" t="s">
        <v>297</v>
      </c>
      <c r="C37" s="26">
        <f>ROUND((C27+C32+C33+C34+C35+C29+C31+C30)*0.2%,2)</f>
        <v>40278.980000000003</v>
      </c>
      <c r="D37" s="25"/>
      <c r="E37" s="27">
        <f t="shared" si="2"/>
        <v>1.8973496556301836E-3</v>
      </c>
      <c r="K37" s="141"/>
    </row>
    <row r="38" spans="2:11" ht="38.25" customHeight="1" x14ac:dyDescent="0.25">
      <c r="B38" s="25" t="s">
        <v>277</v>
      </c>
      <c r="C38" s="172">
        <f>C27+C32+C33+C34+C35+C29+C31+C30+C36+C37</f>
        <v>20610753.379999999</v>
      </c>
      <c r="D38" s="25"/>
      <c r="E38" s="27">
        <f t="shared" si="2"/>
        <v>0.97087378647179345</v>
      </c>
    </row>
    <row r="39" spans="2:11" ht="13.5" customHeight="1" x14ac:dyDescent="0.25">
      <c r="B39" s="25" t="s">
        <v>278</v>
      </c>
      <c r="C39" s="172">
        <f>ROUND(C38*3%,2)</f>
        <v>618322.6</v>
      </c>
      <c r="D39" s="25"/>
      <c r="E39" s="27">
        <f>C39/$C$38</f>
        <v>2.9999999932074292E-2</v>
      </c>
    </row>
    <row r="40" spans="2:11" x14ac:dyDescent="0.25">
      <c r="B40" s="25" t="s">
        <v>279</v>
      </c>
      <c r="C40" s="172">
        <f>C39+C38</f>
        <v>21229075.98</v>
      </c>
      <c r="D40" s="25"/>
      <c r="E40" s="27">
        <f>C40/$C$40</f>
        <v>1</v>
      </c>
    </row>
    <row r="41" spans="2:11" x14ac:dyDescent="0.25">
      <c r="B41" s="25" t="s">
        <v>280</v>
      </c>
      <c r="C41" s="172">
        <f>C40/'Прил.5 Расчет СМР и ОБ'!E95</f>
        <v>5307268.9950000001</v>
      </c>
      <c r="D41" s="25"/>
      <c r="E41" s="25"/>
    </row>
    <row r="42" spans="2:11" x14ac:dyDescent="0.25">
      <c r="B42" s="142"/>
      <c r="C42" s="4"/>
      <c r="D42" s="4"/>
      <c r="E42" s="4"/>
    </row>
    <row r="43" spans="2:11" s="193" customFormat="1" x14ac:dyDescent="0.25">
      <c r="B43" s="194" t="s">
        <v>76</v>
      </c>
      <c r="C43" s="200"/>
    </row>
    <row r="44" spans="2:11" s="193" customFormat="1" x14ac:dyDescent="0.25">
      <c r="B44" s="33" t="s">
        <v>77</v>
      </c>
      <c r="C44" s="200"/>
    </row>
    <row r="45" spans="2:11" s="193" customFormat="1" x14ac:dyDescent="0.25">
      <c r="B45" s="194"/>
      <c r="C45" s="200"/>
    </row>
    <row r="46" spans="2:11" s="193" customFormat="1" x14ac:dyDescent="0.25">
      <c r="B46" s="194" t="s">
        <v>78</v>
      </c>
      <c r="C46" s="200"/>
    </row>
    <row r="47" spans="2:11" s="193" customFormat="1" x14ac:dyDescent="0.25">
      <c r="B47" s="33" t="s">
        <v>79</v>
      </c>
      <c r="C47" s="200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1"/>
  <sheetViews>
    <sheetView view="pageBreakPreview" topLeftCell="A73" zoomScale="85" workbookViewId="0">
      <selection activeCell="D97" sqref="D9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4" t="s">
        <v>298</v>
      </c>
      <c r="I2" s="254"/>
      <c r="J2" s="25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8" t="s">
        <v>299</v>
      </c>
      <c r="B4" s="218"/>
      <c r="C4" s="218"/>
      <c r="D4" s="218"/>
      <c r="E4" s="218"/>
      <c r="F4" s="218"/>
      <c r="G4" s="218"/>
      <c r="H4" s="218"/>
      <c r="I4" s="218"/>
      <c r="J4" s="218"/>
    </row>
    <row r="5" spans="1:14" s="4" customFormat="1" ht="12.75" customHeight="1" x14ac:dyDescent="0.2">
      <c r="A5" s="173"/>
      <c r="B5" s="173"/>
      <c r="C5" s="35"/>
      <c r="D5" s="173"/>
      <c r="E5" s="173"/>
      <c r="F5" s="173"/>
      <c r="G5" s="173"/>
      <c r="H5" s="173"/>
      <c r="I5" s="173"/>
      <c r="J5" s="173"/>
    </row>
    <row r="6" spans="1:14" s="4" customFormat="1" ht="12.75" customHeight="1" x14ac:dyDescent="0.2">
      <c r="A6" s="187" t="s">
        <v>300</v>
      </c>
      <c r="B6" s="187"/>
      <c r="C6" s="187"/>
      <c r="D6" s="187" t="s">
        <v>301</v>
      </c>
      <c r="E6" s="186"/>
      <c r="F6" s="186"/>
      <c r="G6" s="186"/>
      <c r="H6" s="186"/>
      <c r="I6" s="174"/>
      <c r="J6" s="174"/>
    </row>
    <row r="7" spans="1:14" s="4" customFormat="1" ht="12.75" customHeight="1" x14ac:dyDescent="0.2">
      <c r="A7" s="221" t="s">
        <v>302</v>
      </c>
      <c r="B7" s="246"/>
      <c r="C7" s="246"/>
      <c r="D7" s="246"/>
      <c r="E7" s="246"/>
      <c r="F7" s="246"/>
      <c r="G7" s="246"/>
      <c r="H7" s="246"/>
      <c r="I7" s="49"/>
      <c r="J7" s="49"/>
    </row>
    <row r="8" spans="1:14" s="4" customFormat="1" ht="13.5" customHeight="1" x14ac:dyDescent="0.2">
      <c r="A8" s="221"/>
      <c r="B8" s="246"/>
      <c r="C8" s="246"/>
      <c r="D8" s="246"/>
      <c r="E8" s="246"/>
      <c r="F8" s="246"/>
      <c r="G8" s="246"/>
      <c r="H8" s="246"/>
    </row>
    <row r="9" spans="1:14" ht="27" customHeight="1" x14ac:dyDescent="0.25">
      <c r="A9" s="249" t="s">
        <v>13</v>
      </c>
      <c r="B9" s="249" t="s">
        <v>100</v>
      </c>
      <c r="C9" s="249" t="s">
        <v>251</v>
      </c>
      <c r="D9" s="249" t="s">
        <v>102</v>
      </c>
      <c r="E9" s="257" t="s">
        <v>303</v>
      </c>
      <c r="F9" s="255" t="s">
        <v>104</v>
      </c>
      <c r="G9" s="256"/>
      <c r="H9" s="257" t="s">
        <v>304</v>
      </c>
      <c r="I9" s="255" t="s">
        <v>305</v>
      </c>
      <c r="J9" s="256"/>
      <c r="M9" s="12"/>
      <c r="N9" s="12"/>
    </row>
    <row r="10" spans="1:14" ht="28.5" customHeight="1" x14ac:dyDescent="0.25">
      <c r="A10" s="249"/>
      <c r="B10" s="249"/>
      <c r="C10" s="249"/>
      <c r="D10" s="249"/>
      <c r="E10" s="258"/>
      <c r="F10" s="2" t="s">
        <v>306</v>
      </c>
      <c r="G10" s="2" t="s">
        <v>106</v>
      </c>
      <c r="H10" s="258"/>
      <c r="I10" s="2" t="s">
        <v>306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5">
        <v>9</v>
      </c>
      <c r="J11" s="175">
        <v>10</v>
      </c>
      <c r="M11" s="12"/>
      <c r="N11" s="12"/>
    </row>
    <row r="12" spans="1:14" x14ac:dyDescent="0.25">
      <c r="A12" s="2"/>
      <c r="B12" s="253" t="s">
        <v>307</v>
      </c>
      <c r="C12" s="248"/>
      <c r="D12" s="249"/>
      <c r="E12" s="250"/>
      <c r="F12" s="251"/>
      <c r="G12" s="251"/>
      <c r="H12" s="252"/>
      <c r="I12" s="177"/>
      <c r="J12" s="177"/>
    </row>
    <row r="13" spans="1:14" ht="25.5" customHeight="1" x14ac:dyDescent="0.25">
      <c r="A13" s="2">
        <v>1</v>
      </c>
      <c r="B13" s="162" t="s">
        <v>308</v>
      </c>
      <c r="C13" s="8" t="s">
        <v>309</v>
      </c>
      <c r="D13" s="2" t="s">
        <v>310</v>
      </c>
      <c r="E13" s="216">
        <f>G13/F13</f>
        <v>1979.825383993533</v>
      </c>
      <c r="F13" s="32">
        <v>12.37</v>
      </c>
      <c r="G13" s="32">
        <f>SUM('Прил. 3'!H15:H19)</f>
        <v>24490.440000000002</v>
      </c>
      <c r="H13" s="178">
        <f>G13/G16</f>
        <v>0.77575236174180995</v>
      </c>
      <c r="I13" s="32">
        <f>ФОТр.тек.!E13</f>
        <v>570.75385650599003</v>
      </c>
      <c r="J13" s="32">
        <f>ROUND(I13*E13,2)</f>
        <v>1129992.97</v>
      </c>
    </row>
    <row r="14" spans="1:14" x14ac:dyDescent="0.25">
      <c r="A14" s="2">
        <v>2</v>
      </c>
      <c r="B14" s="162" t="s">
        <v>109</v>
      </c>
      <c r="C14" s="8" t="s">
        <v>110</v>
      </c>
      <c r="D14" s="2" t="s">
        <v>310</v>
      </c>
      <c r="E14" s="216">
        <f>G14/F14</f>
        <v>239.33311814073596</v>
      </c>
      <c r="F14" s="32">
        <v>15.49</v>
      </c>
      <c r="G14" s="32">
        <f>'Прил. 3'!H13</f>
        <v>3707.27</v>
      </c>
      <c r="H14" s="178">
        <f>G14/G16</f>
        <v>0.11743045278543626</v>
      </c>
      <c r="I14" s="32">
        <f>ФОТр.тек.!E21</f>
        <v>713.02776960364997</v>
      </c>
      <c r="J14" s="32">
        <f>ROUND(I14*E14,2)</f>
        <v>170651.16</v>
      </c>
    </row>
    <row r="15" spans="1:14" x14ac:dyDescent="0.25">
      <c r="A15" s="2">
        <v>3</v>
      </c>
      <c r="B15" s="162" t="s">
        <v>112</v>
      </c>
      <c r="C15" s="8" t="s">
        <v>113</v>
      </c>
      <c r="D15" s="2" t="s">
        <v>310</v>
      </c>
      <c r="E15" s="216">
        <f>G15/F15</f>
        <v>239.33356990773598</v>
      </c>
      <c r="F15" s="32">
        <v>14.09</v>
      </c>
      <c r="G15" s="32">
        <f>'Прил. 3'!H14</f>
        <v>3372.21</v>
      </c>
      <c r="H15" s="178">
        <f>G15/G16</f>
        <v>0.1068171854727538</v>
      </c>
      <c r="I15" s="32">
        <f>ФОТр.тек.!E29</f>
        <v>650.01601322007002</v>
      </c>
      <c r="J15" s="32">
        <f>ROUND(I15*E15,2)</f>
        <v>155570.65</v>
      </c>
    </row>
    <row r="16" spans="1:14" s="12" customFormat="1" ht="25.5" customHeight="1" x14ac:dyDescent="0.2">
      <c r="A16" s="2"/>
      <c r="B16" s="2"/>
      <c r="C16" s="104" t="s">
        <v>311</v>
      </c>
      <c r="D16" s="2" t="s">
        <v>310</v>
      </c>
      <c r="E16" s="179">
        <f>SUM(E13:E15)</f>
        <v>2458.492072042005</v>
      </c>
      <c r="F16" s="32"/>
      <c r="G16" s="32">
        <f>SUM(G13:G15)</f>
        <v>31569.920000000002</v>
      </c>
      <c r="H16" s="176">
        <v>1</v>
      </c>
      <c r="I16" s="177"/>
      <c r="J16" s="32">
        <f>SUM(J13:J15)</f>
        <v>1456214.7799999998</v>
      </c>
    </row>
    <row r="17" spans="1:10" s="12" customFormat="1" ht="14.25" customHeight="1" x14ac:dyDescent="0.2">
      <c r="A17" s="2"/>
      <c r="B17" s="248" t="s">
        <v>124</v>
      </c>
      <c r="C17" s="248"/>
      <c r="D17" s="249"/>
      <c r="E17" s="250"/>
      <c r="F17" s="251"/>
      <c r="G17" s="251"/>
      <c r="H17" s="252"/>
      <c r="I17" s="177"/>
      <c r="J17" s="177"/>
    </row>
    <row r="18" spans="1:10" s="12" customFormat="1" ht="14.25" customHeight="1" x14ac:dyDescent="0.2">
      <c r="A18" s="2">
        <v>4</v>
      </c>
      <c r="B18" s="2">
        <v>2</v>
      </c>
      <c r="C18" s="8" t="s">
        <v>124</v>
      </c>
      <c r="D18" s="2" t="s">
        <v>310</v>
      </c>
      <c r="E18" s="216">
        <v>373.17720000000003</v>
      </c>
      <c r="F18" s="32">
        <v>11.764947054643001</v>
      </c>
      <c r="G18" s="32">
        <f>'Прил. 3'!H21</f>
        <v>2195.2049999999999</v>
      </c>
      <c r="H18" s="176">
        <v>1</v>
      </c>
      <c r="I18" s="32">
        <f>ROUND(F18*'Прил. 10'!D11,2)</f>
        <v>521.07000000000005</v>
      </c>
      <c r="J18" s="32">
        <f>ROUND(I18*E18,2)</f>
        <v>194451.44</v>
      </c>
    </row>
    <row r="19" spans="1:10" s="12" customFormat="1" ht="14.25" customHeight="1" x14ac:dyDescent="0.2">
      <c r="A19" s="2"/>
      <c r="B19" s="253" t="s">
        <v>126</v>
      </c>
      <c r="C19" s="248"/>
      <c r="D19" s="249"/>
      <c r="E19" s="250"/>
      <c r="F19" s="251"/>
      <c r="G19" s="251"/>
      <c r="H19" s="252"/>
      <c r="I19" s="177"/>
      <c r="J19" s="177"/>
    </row>
    <row r="20" spans="1:10" s="12" customFormat="1" ht="14.25" customHeight="1" x14ac:dyDescent="0.2">
      <c r="A20" s="2"/>
      <c r="B20" s="248" t="s">
        <v>312</v>
      </c>
      <c r="C20" s="248"/>
      <c r="D20" s="249"/>
      <c r="E20" s="250"/>
      <c r="F20" s="251"/>
      <c r="G20" s="251"/>
      <c r="H20" s="252"/>
      <c r="I20" s="177"/>
      <c r="J20" s="177"/>
    </row>
    <row r="21" spans="1:10" s="12" customFormat="1" ht="38.25" customHeight="1" x14ac:dyDescent="0.2">
      <c r="A21" s="2">
        <v>5</v>
      </c>
      <c r="B21" s="162" t="s">
        <v>127</v>
      </c>
      <c r="C21" s="8" t="s">
        <v>128</v>
      </c>
      <c r="D21" s="2" t="s">
        <v>129</v>
      </c>
      <c r="E21" s="179">
        <v>192</v>
      </c>
      <c r="F21" s="103">
        <v>110.86</v>
      </c>
      <c r="G21" s="32">
        <f>ROUND(E21*F21,2)</f>
        <v>21285.119999999999</v>
      </c>
      <c r="H21" s="178">
        <f>G21/$G$36</f>
        <v>0.49191505136017</v>
      </c>
      <c r="I21" s="32">
        <f>ROUND(F21*'Прил. 10'!D12,2)</f>
        <v>1493.28</v>
      </c>
      <c r="J21" s="32">
        <f>ROUND(I21*E21,2)</f>
        <v>286709.76000000001</v>
      </c>
    </row>
    <row r="22" spans="1:10" s="12" customFormat="1" ht="25.5" customHeight="1" x14ac:dyDescent="0.2">
      <c r="A22" s="2">
        <v>6</v>
      </c>
      <c r="B22" s="162" t="s">
        <v>130</v>
      </c>
      <c r="C22" s="8" t="s">
        <v>131</v>
      </c>
      <c r="D22" s="2" t="s">
        <v>129</v>
      </c>
      <c r="E22" s="179">
        <v>29.58</v>
      </c>
      <c r="F22" s="103">
        <v>287.99</v>
      </c>
      <c r="G22" s="32">
        <f>ROUND(E22*F22,2)</f>
        <v>8518.74</v>
      </c>
      <c r="H22" s="178">
        <f>G22/$G$36</f>
        <v>0.1968744561752</v>
      </c>
      <c r="I22" s="32">
        <f>ROUND(F22*'Прил. 10'!D12,2)</f>
        <v>3879.23</v>
      </c>
      <c r="J22" s="32">
        <f>ROUND(I22*E22,2)</f>
        <v>114747.62</v>
      </c>
    </row>
    <row r="23" spans="1:10" s="12" customFormat="1" ht="25.5" customHeight="1" x14ac:dyDescent="0.2">
      <c r="A23" s="2">
        <v>7</v>
      </c>
      <c r="B23" s="162" t="s">
        <v>132</v>
      </c>
      <c r="C23" s="8" t="s">
        <v>133</v>
      </c>
      <c r="D23" s="2" t="s">
        <v>129</v>
      </c>
      <c r="E23" s="179">
        <v>60.09</v>
      </c>
      <c r="F23" s="103">
        <v>111.99</v>
      </c>
      <c r="G23" s="32">
        <f>ROUND(E23*F23,2)</f>
        <v>6729.48</v>
      </c>
      <c r="H23" s="178">
        <f>G23/$G$36</f>
        <v>0.1555233186295</v>
      </c>
      <c r="I23" s="32">
        <f>ROUND(F23*'Прил. 10'!D12,2)</f>
        <v>1508.51</v>
      </c>
      <c r="J23" s="32">
        <f>ROUND(I23*E23,2)</f>
        <v>90646.37</v>
      </c>
    </row>
    <row r="24" spans="1:10" s="12" customFormat="1" ht="25.5" customHeight="1" x14ac:dyDescent="0.2">
      <c r="A24" s="2">
        <v>8</v>
      </c>
      <c r="B24" s="162" t="s">
        <v>134</v>
      </c>
      <c r="C24" s="8" t="s">
        <v>135</v>
      </c>
      <c r="D24" s="2" t="s">
        <v>129</v>
      </c>
      <c r="E24" s="179">
        <v>29.58</v>
      </c>
      <c r="F24" s="103">
        <v>131.44</v>
      </c>
      <c r="G24" s="32">
        <f>ROUND(E24*F24,2)</f>
        <v>3888</v>
      </c>
      <c r="H24" s="178">
        <f>G24/$G$36</f>
        <v>8.9854589482621997E-2</v>
      </c>
      <c r="I24" s="32">
        <f>ROUND(F24*'Прил. 10'!$D$12,2)</f>
        <v>1770.5</v>
      </c>
      <c r="J24" s="32">
        <f>ROUND(I24*E24,2)</f>
        <v>52371.39</v>
      </c>
    </row>
    <row r="25" spans="1:10" s="12" customFormat="1" ht="14.25" customHeight="1" x14ac:dyDescent="0.2">
      <c r="A25" s="2"/>
      <c r="B25" s="2"/>
      <c r="C25" s="8" t="s">
        <v>313</v>
      </c>
      <c r="D25" s="2"/>
      <c r="E25" s="179"/>
      <c r="F25" s="32"/>
      <c r="G25" s="32">
        <f>SUM(G21:G24)</f>
        <v>40421.339999999997</v>
      </c>
      <c r="H25" s="176">
        <f>G25/G36</f>
        <v>0.93416741564750005</v>
      </c>
      <c r="I25" s="180"/>
      <c r="J25" s="32">
        <f>SUM(J21:J24)</f>
        <v>544475.14</v>
      </c>
    </row>
    <row r="26" spans="1:10" s="12" customFormat="1" ht="25.5" customHeight="1" outlineLevel="1" x14ac:dyDescent="0.2">
      <c r="A26" s="2">
        <v>9</v>
      </c>
      <c r="B26" s="162" t="s">
        <v>136</v>
      </c>
      <c r="C26" s="8" t="s">
        <v>137</v>
      </c>
      <c r="D26" s="2" t="s">
        <v>129</v>
      </c>
      <c r="E26" s="179">
        <v>19.53</v>
      </c>
      <c r="F26" s="103">
        <v>65.709999999999994</v>
      </c>
      <c r="G26" s="32">
        <f t="shared" ref="G26:G34" si="0">ROUND(E26*F26,2)</f>
        <v>1283.32</v>
      </c>
      <c r="H26" s="178">
        <f t="shared" ref="H26:H34" si="1">G26/$G$36</f>
        <v>2.9658485538795999E-2</v>
      </c>
      <c r="I26" s="47">
        <f>ROUND(F26*'Прил. 10'!$D$12,2)</f>
        <v>885.11</v>
      </c>
      <c r="J26" s="32">
        <f t="shared" ref="J26:J34" si="2">ROUND(I26*E26,2)</f>
        <v>17286.2</v>
      </c>
    </row>
    <row r="27" spans="1:10" s="12" customFormat="1" ht="25.5" customHeight="1" outlineLevel="1" x14ac:dyDescent="0.2">
      <c r="A27" s="2">
        <v>10</v>
      </c>
      <c r="B27" s="162" t="s">
        <v>138</v>
      </c>
      <c r="C27" s="8" t="s">
        <v>139</v>
      </c>
      <c r="D27" s="2" t="s">
        <v>129</v>
      </c>
      <c r="E27" s="179">
        <v>33.119999999999997</v>
      </c>
      <c r="F27" s="103">
        <v>29.6</v>
      </c>
      <c r="G27" s="32">
        <f t="shared" si="0"/>
        <v>980.35</v>
      </c>
      <c r="H27" s="178">
        <f t="shared" si="1"/>
        <v>2.2656622119159E-2</v>
      </c>
      <c r="I27" s="47">
        <f>ROUND(F27*'Прил. 10'!$D$12,2)</f>
        <v>398.71</v>
      </c>
      <c r="J27" s="32">
        <f t="shared" si="2"/>
        <v>13205.28</v>
      </c>
    </row>
    <row r="28" spans="1:10" s="12" customFormat="1" ht="25.5" customHeight="1" outlineLevel="1" x14ac:dyDescent="0.2">
      <c r="A28" s="2">
        <v>11</v>
      </c>
      <c r="B28" s="162" t="s">
        <v>140</v>
      </c>
      <c r="C28" s="8" t="s">
        <v>141</v>
      </c>
      <c r="D28" s="2" t="s">
        <v>129</v>
      </c>
      <c r="E28" s="179">
        <v>46.74</v>
      </c>
      <c r="F28" s="103">
        <v>8.1</v>
      </c>
      <c r="G28" s="32">
        <f t="shared" si="0"/>
        <v>378.59</v>
      </c>
      <c r="H28" s="178">
        <f t="shared" si="1"/>
        <v>8.749498207877E-3</v>
      </c>
      <c r="I28" s="47">
        <f>ROUND(F28*'Прил. 10'!$D$12,2)</f>
        <v>109.11</v>
      </c>
      <c r="J28" s="32">
        <f t="shared" si="2"/>
        <v>5099.8</v>
      </c>
    </row>
    <row r="29" spans="1:10" s="12" customFormat="1" ht="25.5" customHeight="1" outlineLevel="1" x14ac:dyDescent="0.2">
      <c r="A29" s="2">
        <v>12</v>
      </c>
      <c r="B29" s="162" t="s">
        <v>142</v>
      </c>
      <c r="C29" s="8" t="s">
        <v>143</v>
      </c>
      <c r="D29" s="2" t="s">
        <v>129</v>
      </c>
      <c r="E29" s="179">
        <v>0.99</v>
      </c>
      <c r="F29" s="103">
        <v>70</v>
      </c>
      <c r="G29" s="32">
        <f t="shared" si="0"/>
        <v>69.3</v>
      </c>
      <c r="H29" s="178">
        <f t="shared" si="1"/>
        <v>1.6015748588338E-3</v>
      </c>
      <c r="I29" s="47">
        <f>ROUND(F29*'Прил. 10'!$D$12,2)</f>
        <v>942.9</v>
      </c>
      <c r="J29" s="32">
        <f t="shared" si="2"/>
        <v>933.47</v>
      </c>
    </row>
    <row r="30" spans="1:10" s="12" customFormat="1" ht="25.5" customHeight="1" outlineLevel="1" x14ac:dyDescent="0.2">
      <c r="A30" s="2">
        <v>13</v>
      </c>
      <c r="B30" s="162" t="s">
        <v>144</v>
      </c>
      <c r="C30" s="8" t="s">
        <v>145</v>
      </c>
      <c r="D30" s="2" t="s">
        <v>129</v>
      </c>
      <c r="E30" s="179">
        <v>0.99</v>
      </c>
      <c r="F30" s="103">
        <v>56.24</v>
      </c>
      <c r="G30" s="32">
        <f t="shared" si="0"/>
        <v>55.68</v>
      </c>
      <c r="H30" s="178">
        <f t="shared" si="1"/>
        <v>1.2868064666647001E-3</v>
      </c>
      <c r="I30" s="47">
        <f>ROUND(F30*'Прил. 10'!$D$12,2)</f>
        <v>757.55</v>
      </c>
      <c r="J30" s="32">
        <f t="shared" si="2"/>
        <v>749.97</v>
      </c>
    </row>
    <row r="31" spans="1:10" s="12" customFormat="1" ht="30.75" customHeight="1" outlineLevel="1" x14ac:dyDescent="0.2">
      <c r="A31" s="2">
        <v>14</v>
      </c>
      <c r="B31" s="162" t="s">
        <v>146</v>
      </c>
      <c r="C31" s="8" t="s">
        <v>147</v>
      </c>
      <c r="D31" s="2" t="s">
        <v>129</v>
      </c>
      <c r="E31" s="179">
        <v>59.16</v>
      </c>
      <c r="F31" s="103">
        <v>0.9</v>
      </c>
      <c r="G31" s="32">
        <f t="shared" si="0"/>
        <v>53.24</v>
      </c>
      <c r="H31" s="178">
        <f t="shared" si="1"/>
        <v>1.2304162407548E-3</v>
      </c>
      <c r="I31" s="47">
        <f>ROUND(F31*'Прил. 10'!$D$12,2)</f>
        <v>12.12</v>
      </c>
      <c r="J31" s="32">
        <f t="shared" si="2"/>
        <v>717.02</v>
      </c>
    </row>
    <row r="32" spans="1:10" s="12" customFormat="1" ht="25.5" customHeight="1" outlineLevel="1" x14ac:dyDescent="0.2">
      <c r="A32" s="2">
        <v>15</v>
      </c>
      <c r="B32" s="162" t="s">
        <v>148</v>
      </c>
      <c r="C32" s="8" t="s">
        <v>149</v>
      </c>
      <c r="D32" s="2" t="s">
        <v>129</v>
      </c>
      <c r="E32" s="179">
        <v>0.99</v>
      </c>
      <c r="F32" s="103">
        <v>16.920000000000002</v>
      </c>
      <c r="G32" s="32">
        <f t="shared" si="0"/>
        <v>16.75</v>
      </c>
      <c r="H32" s="178">
        <f t="shared" si="1"/>
        <v>3.8710503442230003E-4</v>
      </c>
      <c r="I32" s="47">
        <f>ROUND(F32*'Прил. 10'!$D$12,2)</f>
        <v>227.91</v>
      </c>
      <c r="J32" s="32">
        <f t="shared" si="2"/>
        <v>225.63</v>
      </c>
    </row>
    <row r="33" spans="1:10" s="12" customFormat="1" ht="38.25" customHeight="1" outlineLevel="1" x14ac:dyDescent="0.2">
      <c r="A33" s="2">
        <v>16</v>
      </c>
      <c r="B33" s="162" t="s">
        <v>150</v>
      </c>
      <c r="C33" s="8" t="s">
        <v>151</v>
      </c>
      <c r="D33" s="2" t="s">
        <v>129</v>
      </c>
      <c r="E33" s="179">
        <v>1.32</v>
      </c>
      <c r="F33" s="103">
        <v>6.82</v>
      </c>
      <c r="G33" s="32">
        <f t="shared" si="0"/>
        <v>9</v>
      </c>
      <c r="H33" s="178">
        <f t="shared" si="1"/>
        <v>2.0799673491348001E-4</v>
      </c>
      <c r="I33" s="47">
        <f>ROUND(F33*'Прил. 10'!$D$12,2)</f>
        <v>91.87</v>
      </c>
      <c r="J33" s="32">
        <f t="shared" si="2"/>
        <v>121.27</v>
      </c>
    </row>
    <row r="34" spans="1:10" s="12" customFormat="1" ht="14.25" customHeight="1" outlineLevel="1" x14ac:dyDescent="0.2">
      <c r="A34" s="2">
        <v>17</v>
      </c>
      <c r="B34" s="162" t="s">
        <v>152</v>
      </c>
      <c r="C34" s="8" t="s">
        <v>153</v>
      </c>
      <c r="D34" s="2" t="s">
        <v>129</v>
      </c>
      <c r="E34" s="179">
        <v>0.99</v>
      </c>
      <c r="F34" s="103">
        <v>2.36</v>
      </c>
      <c r="G34" s="32">
        <f t="shared" si="0"/>
        <v>2.34</v>
      </c>
      <c r="H34" s="178">
        <f t="shared" si="1"/>
        <v>5.4079151077503997E-5</v>
      </c>
      <c r="I34" s="47">
        <f>ROUND(F34*'Прил. 10'!$D$12,2)</f>
        <v>31.79</v>
      </c>
      <c r="J34" s="32">
        <f t="shared" si="2"/>
        <v>31.47</v>
      </c>
    </row>
    <row r="35" spans="1:10" s="12" customFormat="1" ht="14.25" customHeight="1" x14ac:dyDescent="0.2">
      <c r="A35" s="2"/>
      <c r="B35" s="2"/>
      <c r="C35" s="8" t="s">
        <v>314</v>
      </c>
      <c r="D35" s="2"/>
      <c r="E35" s="167"/>
      <c r="F35" s="32"/>
      <c r="G35" s="180">
        <f>SUM(G26:G34)</f>
        <v>2848.57</v>
      </c>
      <c r="H35" s="178">
        <f>G35/G36</f>
        <v>6.5832584352498003E-2</v>
      </c>
      <c r="I35" s="32"/>
      <c r="J35" s="32">
        <f>SUM(J26:J34)</f>
        <v>38370.11</v>
      </c>
    </row>
    <row r="36" spans="1:10" s="12" customFormat="1" ht="25.5" customHeight="1" x14ac:dyDescent="0.2">
      <c r="A36" s="2"/>
      <c r="B36" s="2"/>
      <c r="C36" s="104" t="s">
        <v>315</v>
      </c>
      <c r="D36" s="2"/>
      <c r="E36" s="167"/>
      <c r="F36" s="32"/>
      <c r="G36" s="32">
        <f>G35+G25</f>
        <v>43269.91</v>
      </c>
      <c r="H36" s="181">
        <v>1</v>
      </c>
      <c r="I36" s="182"/>
      <c r="J36" s="183">
        <f>J35+J25</f>
        <v>582845.25</v>
      </c>
    </row>
    <row r="37" spans="1:10" x14ac:dyDescent="0.25">
      <c r="A37" s="2"/>
      <c r="B37" s="253" t="s">
        <v>316</v>
      </c>
      <c r="C37" s="253"/>
      <c r="D37" s="253"/>
      <c r="E37" s="253"/>
      <c r="F37" s="253"/>
      <c r="G37" s="253"/>
      <c r="H37" s="253"/>
      <c r="I37" s="253"/>
      <c r="J37" s="253"/>
    </row>
    <row r="38" spans="1:10" x14ac:dyDescent="0.25">
      <c r="A38" s="2"/>
      <c r="B38" s="248" t="s">
        <v>317</v>
      </c>
      <c r="C38" s="248"/>
      <c r="D38" s="249"/>
      <c r="E38" s="250"/>
      <c r="F38" s="251"/>
      <c r="G38" s="251"/>
      <c r="H38" s="252"/>
      <c r="I38" s="177"/>
      <c r="J38" s="177"/>
    </row>
    <row r="39" spans="1:10" x14ac:dyDescent="0.25">
      <c r="A39" s="2">
        <v>18</v>
      </c>
      <c r="B39" s="162" t="s">
        <v>318</v>
      </c>
      <c r="C39" s="8" t="s">
        <v>155</v>
      </c>
      <c r="D39" s="2" t="s">
        <v>156</v>
      </c>
      <c r="E39" s="179">
        <v>12</v>
      </c>
      <c r="F39" s="103">
        <f>ROUND(I39/'Прил. 10'!$D$14,2)</f>
        <v>194568.69</v>
      </c>
      <c r="G39" s="32">
        <f>'Прил. 3'!H37</f>
        <v>5110810.8</v>
      </c>
      <c r="H39" s="176">
        <f t="shared" ref="H39:H44" si="3">G39/$G$44</f>
        <v>0.99399995062296043</v>
      </c>
      <c r="I39" s="32">
        <v>1218000</v>
      </c>
      <c r="J39" s="184">
        <f>ROUND(I39*E39,2)</f>
        <v>14616000</v>
      </c>
    </row>
    <row r="40" spans="1:10" x14ac:dyDescent="0.25">
      <c r="A40" s="2"/>
      <c r="B40" s="2"/>
      <c r="C40" s="8" t="s">
        <v>319</v>
      </c>
      <c r="D40" s="2"/>
      <c r="E40" s="179"/>
      <c r="F40" s="103"/>
      <c r="G40" s="32">
        <f>G39</f>
        <v>5110810.8</v>
      </c>
      <c r="H40" s="176">
        <f t="shared" si="3"/>
        <v>0.99399995062296043</v>
      </c>
      <c r="I40" s="180"/>
      <c r="J40" s="32">
        <f>J39</f>
        <v>14616000</v>
      </c>
    </row>
    <row r="41" spans="1:10" outlineLevel="1" x14ac:dyDescent="0.25">
      <c r="A41" s="2">
        <v>19</v>
      </c>
      <c r="B41" s="162" t="s">
        <v>154</v>
      </c>
      <c r="C41" s="8" t="s">
        <v>157</v>
      </c>
      <c r="D41" s="2" t="s">
        <v>156</v>
      </c>
      <c r="E41" s="179">
        <v>4</v>
      </c>
      <c r="F41" s="103">
        <f>ROUND(I41/'Прил. 10'!$D$14,2)</f>
        <v>4046.87</v>
      </c>
      <c r="G41" s="32">
        <f>'Прил. 3'!H38</f>
        <v>16187.48</v>
      </c>
      <c r="H41" s="176">
        <f t="shared" si="3"/>
        <v>3.1482977849053148E-3</v>
      </c>
      <c r="I41" s="32">
        <v>25333.41</v>
      </c>
      <c r="J41" s="184">
        <f>ROUND(I41*E41,2)</f>
        <v>101333.64</v>
      </c>
    </row>
    <row r="42" spans="1:10" ht="25.5" customHeight="1" outlineLevel="1" x14ac:dyDescent="0.25">
      <c r="A42" s="2">
        <v>20</v>
      </c>
      <c r="B42" s="162" t="s">
        <v>154</v>
      </c>
      <c r="C42" s="8" t="s">
        <v>158</v>
      </c>
      <c r="D42" s="2" t="s">
        <v>156</v>
      </c>
      <c r="E42" s="179">
        <v>3</v>
      </c>
      <c r="F42" s="103">
        <f>ROUND(I42/'Прил. 10'!$D$14,2)</f>
        <v>4887.58</v>
      </c>
      <c r="G42" s="32">
        <f>'Прил. 3'!H39</f>
        <v>14662.74</v>
      </c>
      <c r="H42" s="176">
        <f t="shared" si="3"/>
        <v>2.8517515921343255E-3</v>
      </c>
      <c r="I42" s="32">
        <v>30596.25</v>
      </c>
      <c r="J42" s="184">
        <f>ROUND(I42*E42,2)</f>
        <v>91788.75</v>
      </c>
    </row>
    <row r="43" spans="1:10" x14ac:dyDescent="0.25">
      <c r="A43" s="2"/>
      <c r="B43" s="2"/>
      <c r="C43" s="8" t="s">
        <v>320</v>
      </c>
      <c r="D43" s="2"/>
      <c r="E43" s="179"/>
      <c r="F43" s="103"/>
      <c r="G43" s="32">
        <f>SUM(G41:G42)</f>
        <v>30850.22</v>
      </c>
      <c r="H43" s="176">
        <f t="shared" si="3"/>
        <v>6.0000493770396412E-3</v>
      </c>
      <c r="I43" s="180"/>
      <c r="J43" s="32">
        <f>SUM(J41:J42)</f>
        <v>193122.39</v>
      </c>
    </row>
    <row r="44" spans="1:10" x14ac:dyDescent="0.25">
      <c r="A44" s="2"/>
      <c r="B44" s="2"/>
      <c r="C44" s="104" t="s">
        <v>321</v>
      </c>
      <c r="D44" s="2"/>
      <c r="E44" s="167"/>
      <c r="F44" s="103"/>
      <c r="G44" s="32">
        <f>G40+G43</f>
        <v>5141661.0199999996</v>
      </c>
      <c r="H44" s="176">
        <f t="shared" si="3"/>
        <v>1</v>
      </c>
      <c r="I44" s="180"/>
      <c r="J44" s="32">
        <f>J43+J40</f>
        <v>14809122.390000001</v>
      </c>
    </row>
    <row r="45" spans="1:10" ht="25.5" customHeight="1" x14ac:dyDescent="0.25">
      <c r="A45" s="2"/>
      <c r="B45" s="2"/>
      <c r="C45" s="8" t="s">
        <v>322</v>
      </c>
      <c r="D45" s="2"/>
      <c r="E45" s="169"/>
      <c r="F45" s="103"/>
      <c r="G45" s="32">
        <f>G44</f>
        <v>5141661.0199999996</v>
      </c>
      <c r="H45" s="176"/>
      <c r="I45" s="180"/>
      <c r="J45" s="32">
        <f>J44</f>
        <v>14809122.390000001</v>
      </c>
    </row>
    <row r="46" spans="1:10" s="12" customFormat="1" ht="14.25" customHeight="1" x14ac:dyDescent="0.2">
      <c r="A46" s="2"/>
      <c r="B46" s="253" t="s">
        <v>323</v>
      </c>
      <c r="C46" s="253"/>
      <c r="D46" s="253"/>
      <c r="E46" s="253"/>
      <c r="F46" s="253"/>
      <c r="G46" s="253"/>
      <c r="H46" s="253"/>
      <c r="I46" s="253"/>
      <c r="J46" s="253"/>
    </row>
    <row r="47" spans="1:10" s="12" customFormat="1" ht="14.25" customHeight="1" x14ac:dyDescent="0.2">
      <c r="A47" s="2"/>
      <c r="B47" s="248" t="s">
        <v>324</v>
      </c>
      <c r="C47" s="248"/>
      <c r="D47" s="249"/>
      <c r="E47" s="250"/>
      <c r="F47" s="251"/>
      <c r="G47" s="251"/>
      <c r="H47" s="252"/>
      <c r="I47" s="177"/>
      <c r="J47" s="177"/>
    </row>
    <row r="48" spans="1:10" s="12" customFormat="1" ht="25.5" customHeight="1" x14ac:dyDescent="0.2">
      <c r="A48" s="2">
        <v>21</v>
      </c>
      <c r="B48" s="162" t="s">
        <v>160</v>
      </c>
      <c r="C48" s="8" t="s">
        <v>161</v>
      </c>
      <c r="D48" s="2" t="s">
        <v>162</v>
      </c>
      <c r="E48" s="179">
        <v>0.13200000000000001</v>
      </c>
      <c r="F48" s="103">
        <v>98440.41</v>
      </c>
      <c r="G48" s="32">
        <f t="shared" ref="G48:G55" si="4">ROUND(E48*F48,2)</f>
        <v>12994.13</v>
      </c>
      <c r="H48" s="178">
        <f t="shared" ref="H48:H87" si="5">G48/$G$89</f>
        <v>0.33980660976605997</v>
      </c>
      <c r="I48" s="32">
        <f>ROUND(F48*'Прил. 10'!$D$13,2)</f>
        <v>791460.9</v>
      </c>
      <c r="J48" s="32">
        <f>ROUND(I48*E48,2)</f>
        <v>104472.84</v>
      </c>
    </row>
    <row r="49" spans="1:10" s="12" customFormat="1" ht="14.25" customHeight="1" x14ac:dyDescent="0.2">
      <c r="A49" s="2">
        <v>22</v>
      </c>
      <c r="B49" s="162" t="s">
        <v>163</v>
      </c>
      <c r="C49" s="8" t="s">
        <v>164</v>
      </c>
      <c r="D49" s="2" t="s">
        <v>162</v>
      </c>
      <c r="E49" s="179">
        <v>0.216</v>
      </c>
      <c r="F49" s="103">
        <v>38348.22</v>
      </c>
      <c r="G49" s="32">
        <f t="shared" si="4"/>
        <v>8283.2199999999993</v>
      </c>
      <c r="H49" s="178">
        <f t="shared" si="5"/>
        <v>0.21661264787611001</v>
      </c>
      <c r="I49" s="32">
        <f>ROUND(F49*'Прил. 10'!$D$13,2)</f>
        <v>308319.69</v>
      </c>
      <c r="J49" s="32">
        <f>ROUND(I49*E49,2)</f>
        <v>66597.05</v>
      </c>
    </row>
    <row r="50" spans="1:10" s="12" customFormat="1" ht="63.75" customHeight="1" x14ac:dyDescent="0.2">
      <c r="A50" s="2">
        <v>23</v>
      </c>
      <c r="B50" s="2" t="s">
        <v>165</v>
      </c>
      <c r="C50" s="8" t="s">
        <v>166</v>
      </c>
      <c r="D50" s="2" t="s">
        <v>167</v>
      </c>
      <c r="E50" s="179">
        <v>7.2950000000000001E-2</v>
      </c>
      <c r="F50" s="103">
        <v>34500.53</v>
      </c>
      <c r="G50" s="32">
        <f t="shared" si="4"/>
        <v>2516.81</v>
      </c>
      <c r="H50" s="178">
        <f t="shared" si="5"/>
        <v>6.5816539739507005E-2</v>
      </c>
      <c r="I50" s="32">
        <f>ROUND(F50*'Прил. 10'!$D$13,2)</f>
        <v>277384.26</v>
      </c>
      <c r="J50" s="32">
        <f>SUM(J48:J49)</f>
        <v>171069.89</v>
      </c>
    </row>
    <row r="51" spans="1:10" s="12" customFormat="1" ht="25.5" customHeight="1" x14ac:dyDescent="0.2">
      <c r="A51" s="2">
        <v>24</v>
      </c>
      <c r="B51" s="162" t="s">
        <v>168</v>
      </c>
      <c r="C51" s="8" t="s">
        <v>169</v>
      </c>
      <c r="D51" s="2" t="s">
        <v>170</v>
      </c>
      <c r="E51" s="179">
        <v>1.1200000000000001</v>
      </c>
      <c r="F51" s="103">
        <v>1837.28</v>
      </c>
      <c r="G51" s="32">
        <f t="shared" si="4"/>
        <v>2057.75</v>
      </c>
      <c r="H51" s="178">
        <f t="shared" si="5"/>
        <v>5.3811763561401001E-2</v>
      </c>
      <c r="I51" s="32">
        <f>ROUND(F51*'Прил. 10'!$D$13,2)</f>
        <v>14771.73</v>
      </c>
      <c r="J51" s="32">
        <f>ROUND(I51*E51,2)</f>
        <v>16544.34</v>
      </c>
    </row>
    <row r="52" spans="1:10" s="12" customFormat="1" ht="25.5" customHeight="1" x14ac:dyDescent="0.2">
      <c r="A52" s="2">
        <v>25</v>
      </c>
      <c r="B52" s="162" t="s">
        <v>171</v>
      </c>
      <c r="C52" s="8" t="s">
        <v>172</v>
      </c>
      <c r="D52" s="2" t="s">
        <v>173</v>
      </c>
      <c r="E52" s="179">
        <v>0.24</v>
      </c>
      <c r="F52" s="103">
        <v>6505</v>
      </c>
      <c r="G52" s="32">
        <f t="shared" si="4"/>
        <v>1561.2</v>
      </c>
      <c r="H52" s="178">
        <f t="shared" si="5"/>
        <v>4.0826594713673003E-2</v>
      </c>
      <c r="I52" s="32">
        <f>ROUND(F52*'Прил. 10'!$D$13,2)</f>
        <v>52300.2</v>
      </c>
      <c r="J52" s="32">
        <f>ROUND(I52*E52,2)</f>
        <v>12552.05</v>
      </c>
    </row>
    <row r="53" spans="1:10" s="12" customFormat="1" ht="14.25" customHeight="1" x14ac:dyDescent="0.2">
      <c r="A53" s="2">
        <v>26</v>
      </c>
      <c r="B53" s="162" t="s">
        <v>174</v>
      </c>
      <c r="C53" s="8" t="s">
        <v>175</v>
      </c>
      <c r="D53" s="2" t="s">
        <v>156</v>
      </c>
      <c r="E53" s="179">
        <v>14</v>
      </c>
      <c r="F53" s="103">
        <v>66.819999999999993</v>
      </c>
      <c r="G53" s="32">
        <f t="shared" si="4"/>
        <v>935.48</v>
      </c>
      <c r="H53" s="178">
        <f t="shared" si="5"/>
        <v>2.4463529863403999E-2</v>
      </c>
      <c r="I53" s="32">
        <f>ROUND(F53*'Прил. 10'!$D$13,2)</f>
        <v>537.23</v>
      </c>
      <c r="J53" s="32">
        <f>ROUND(I53*E53,2)</f>
        <v>7521.22</v>
      </c>
    </row>
    <row r="54" spans="1:10" s="12" customFormat="1" ht="14.25" customHeight="1" x14ac:dyDescent="0.2">
      <c r="A54" s="2">
        <v>27</v>
      </c>
      <c r="B54" s="162" t="s">
        <v>176</v>
      </c>
      <c r="C54" s="8" t="s">
        <v>177</v>
      </c>
      <c r="D54" s="2" t="s">
        <v>156</v>
      </c>
      <c r="E54" s="179">
        <v>138</v>
      </c>
      <c r="F54" s="103">
        <v>6.29</v>
      </c>
      <c r="G54" s="32">
        <f t="shared" si="4"/>
        <v>868.02</v>
      </c>
      <c r="H54" s="178">
        <f t="shared" si="5"/>
        <v>2.2699398375199999E-2</v>
      </c>
      <c r="I54" s="32">
        <f>ROUND(F54*'Прил. 10'!$D$13,2)</f>
        <v>50.57</v>
      </c>
      <c r="J54" s="32">
        <f>ROUND(I54*E54,2)</f>
        <v>6978.66</v>
      </c>
    </row>
    <row r="55" spans="1:10" s="12" customFormat="1" ht="14.25" customHeight="1" x14ac:dyDescent="0.2">
      <c r="A55" s="2">
        <v>28</v>
      </c>
      <c r="B55" s="162" t="s">
        <v>178</v>
      </c>
      <c r="C55" s="8" t="s">
        <v>179</v>
      </c>
      <c r="D55" s="2" t="s">
        <v>180</v>
      </c>
      <c r="E55" s="179">
        <v>90.025999999999996</v>
      </c>
      <c r="F55" s="103">
        <v>9.0399999999999991</v>
      </c>
      <c r="G55" s="32">
        <f t="shared" si="4"/>
        <v>813.84</v>
      </c>
      <c r="H55" s="178">
        <f t="shared" si="5"/>
        <v>2.1282549219686999E-2</v>
      </c>
      <c r="I55" s="32">
        <f>ROUND(F55*'Прил. 10'!$D$13,2)</f>
        <v>72.680000000000007</v>
      </c>
      <c r="J55" s="32">
        <f>ROUND(I55*E55,2)</f>
        <v>6543.09</v>
      </c>
    </row>
    <row r="56" spans="1:10" s="12" customFormat="1" ht="14.25" customHeight="1" x14ac:dyDescent="0.2">
      <c r="A56" s="2"/>
      <c r="B56" s="2"/>
      <c r="C56" s="8" t="s">
        <v>325</v>
      </c>
      <c r="D56" s="2"/>
      <c r="E56" s="169"/>
      <c r="F56" s="103"/>
      <c r="G56" s="32">
        <f>SUM(G48:G55)</f>
        <v>30030.45</v>
      </c>
      <c r="H56" s="176">
        <f t="shared" si="5"/>
        <v>0.78531963311504005</v>
      </c>
      <c r="I56" s="180"/>
      <c r="J56" s="32">
        <f>SUM(J48:J55)</f>
        <v>392279.14</v>
      </c>
    </row>
    <row r="57" spans="1:10" s="12" customFormat="1" ht="25.5" customHeight="1" outlineLevel="1" x14ac:dyDescent="0.2">
      <c r="A57" s="2">
        <v>29</v>
      </c>
      <c r="B57" s="162" t="s">
        <v>181</v>
      </c>
      <c r="C57" s="8" t="s">
        <v>182</v>
      </c>
      <c r="D57" s="2" t="s">
        <v>183</v>
      </c>
      <c r="E57" s="179">
        <v>810.09</v>
      </c>
      <c r="F57" s="103">
        <v>1</v>
      </c>
      <c r="G57" s="32">
        <f t="shared" ref="G57:G87" si="6">ROUND(E57*F57,2)</f>
        <v>810.09</v>
      </c>
      <c r="H57" s="178">
        <f t="shared" si="5"/>
        <v>2.1184483801946999E-2</v>
      </c>
      <c r="I57" s="32">
        <f>ROUND(F57*'Прил. 10'!$D$13,2)</f>
        <v>8.0399999999999991</v>
      </c>
      <c r="J57" s="32">
        <f t="shared" ref="J57:J87" si="7">ROUND(I57*E57,2)</f>
        <v>6513.12</v>
      </c>
    </row>
    <row r="58" spans="1:10" s="12" customFormat="1" ht="14.25" customHeight="1" outlineLevel="1" x14ac:dyDescent="0.2">
      <c r="A58" s="2">
        <v>30</v>
      </c>
      <c r="B58" s="162" t="s">
        <v>184</v>
      </c>
      <c r="C58" s="8" t="s">
        <v>185</v>
      </c>
      <c r="D58" s="2" t="s">
        <v>180</v>
      </c>
      <c r="E58" s="179">
        <v>16</v>
      </c>
      <c r="F58" s="103">
        <v>50</v>
      </c>
      <c r="G58" s="32">
        <f t="shared" si="6"/>
        <v>800</v>
      </c>
      <c r="H58" s="178">
        <f t="shared" si="5"/>
        <v>2.0920622451279999E-2</v>
      </c>
      <c r="I58" s="32">
        <f>ROUND(F58*'Прил. 10'!$D$13,2)</f>
        <v>402</v>
      </c>
      <c r="J58" s="32">
        <f t="shared" si="7"/>
        <v>6432</v>
      </c>
    </row>
    <row r="59" spans="1:10" s="12" customFormat="1" ht="25.5" customHeight="1" outlineLevel="1" x14ac:dyDescent="0.2">
      <c r="A59" s="2">
        <v>31</v>
      </c>
      <c r="B59" s="162" t="s">
        <v>186</v>
      </c>
      <c r="C59" s="8" t="s">
        <v>187</v>
      </c>
      <c r="D59" s="2" t="s">
        <v>170</v>
      </c>
      <c r="E59" s="179">
        <v>4.8</v>
      </c>
      <c r="F59" s="103">
        <v>108.4</v>
      </c>
      <c r="G59" s="32">
        <f t="shared" si="6"/>
        <v>520.32000000000005</v>
      </c>
      <c r="H59" s="178">
        <f t="shared" si="5"/>
        <v>1.3606772842311999E-2</v>
      </c>
      <c r="I59" s="32">
        <f>ROUND(F59*'Прил. 10'!$D$13,2)</f>
        <v>871.54</v>
      </c>
      <c r="J59" s="32">
        <f t="shared" si="7"/>
        <v>4183.3900000000003</v>
      </c>
    </row>
    <row r="60" spans="1:10" s="12" customFormat="1" ht="25.5" customHeight="1" outlineLevel="1" x14ac:dyDescent="0.2">
      <c r="A60" s="2">
        <v>32</v>
      </c>
      <c r="B60" s="162" t="s">
        <v>188</v>
      </c>
      <c r="C60" s="8" t="s">
        <v>189</v>
      </c>
      <c r="D60" s="2" t="s">
        <v>190</v>
      </c>
      <c r="E60" s="179" t="s">
        <v>191</v>
      </c>
      <c r="F60" s="103">
        <v>29.4</v>
      </c>
      <c r="G60" s="32">
        <f t="shared" si="6"/>
        <v>4057.2</v>
      </c>
      <c r="H60" s="178">
        <f t="shared" si="5"/>
        <v>0.10609893676167</v>
      </c>
      <c r="I60" s="32">
        <f>ROUND(F60*'Прил. 10'!$D$13,2)</f>
        <v>236.38</v>
      </c>
      <c r="J60" s="32">
        <f t="shared" si="7"/>
        <v>32620.44</v>
      </c>
    </row>
    <row r="61" spans="1:10" s="12" customFormat="1" ht="25.5" customHeight="1" outlineLevel="1" x14ac:dyDescent="0.2">
      <c r="A61" s="2">
        <v>33</v>
      </c>
      <c r="B61" s="162" t="s">
        <v>192</v>
      </c>
      <c r="C61" s="8" t="s">
        <v>193</v>
      </c>
      <c r="D61" s="2" t="s">
        <v>194</v>
      </c>
      <c r="E61" s="179">
        <v>20.9</v>
      </c>
      <c r="F61" s="103">
        <v>15.13</v>
      </c>
      <c r="G61" s="32">
        <f t="shared" si="6"/>
        <v>316.22000000000003</v>
      </c>
      <c r="H61" s="178">
        <f t="shared" si="5"/>
        <v>8.2693990394296004E-3</v>
      </c>
      <c r="I61" s="32">
        <f>ROUND(F61*'Прил. 10'!$D$13,2)</f>
        <v>121.65</v>
      </c>
      <c r="J61" s="32">
        <f t="shared" si="7"/>
        <v>2542.4899999999998</v>
      </c>
    </row>
    <row r="62" spans="1:10" s="12" customFormat="1" ht="14.25" customHeight="1" outlineLevel="1" x14ac:dyDescent="0.2">
      <c r="A62" s="2">
        <v>34</v>
      </c>
      <c r="B62" s="162" t="s">
        <v>195</v>
      </c>
      <c r="C62" s="8" t="s">
        <v>196</v>
      </c>
      <c r="D62" s="2" t="s">
        <v>173</v>
      </c>
      <c r="E62" s="179">
        <v>3.4830000000000001</v>
      </c>
      <c r="F62" s="103">
        <v>86</v>
      </c>
      <c r="G62" s="32">
        <f t="shared" si="6"/>
        <v>299.54000000000002</v>
      </c>
      <c r="H62" s="178">
        <f t="shared" si="5"/>
        <v>7.8332040613204E-3</v>
      </c>
      <c r="I62" s="32">
        <f>ROUND(F62*'Прил. 10'!$D$13,2)</f>
        <v>691.44</v>
      </c>
      <c r="J62" s="32">
        <f t="shared" si="7"/>
        <v>2408.29</v>
      </c>
    </row>
    <row r="63" spans="1:10" s="12" customFormat="1" ht="14.25" customHeight="1" outlineLevel="1" x14ac:dyDescent="0.2">
      <c r="A63" s="2">
        <v>35</v>
      </c>
      <c r="B63" s="162" t="s">
        <v>197</v>
      </c>
      <c r="C63" s="8" t="s">
        <v>198</v>
      </c>
      <c r="D63" s="2" t="s">
        <v>180</v>
      </c>
      <c r="E63" s="179">
        <v>1.1040000000000001</v>
      </c>
      <c r="F63" s="103">
        <v>238.48</v>
      </c>
      <c r="G63" s="32">
        <f t="shared" si="6"/>
        <v>263.27999999999997</v>
      </c>
      <c r="H63" s="178">
        <f t="shared" si="5"/>
        <v>6.8849768487161999E-3</v>
      </c>
      <c r="I63" s="32">
        <f>ROUND(F63*'Прил. 10'!$D$13,2)</f>
        <v>1917.38</v>
      </c>
      <c r="J63" s="32">
        <f t="shared" si="7"/>
        <v>2116.79</v>
      </c>
    </row>
    <row r="64" spans="1:10" s="12" customFormat="1" ht="14.25" customHeight="1" outlineLevel="1" x14ac:dyDescent="0.2">
      <c r="A64" s="2">
        <v>36</v>
      </c>
      <c r="B64" s="162" t="s">
        <v>199</v>
      </c>
      <c r="C64" s="8" t="s">
        <v>200</v>
      </c>
      <c r="D64" s="2" t="s">
        <v>180</v>
      </c>
      <c r="E64" s="179">
        <v>8.64</v>
      </c>
      <c r="F64" s="103">
        <v>28.6</v>
      </c>
      <c r="G64" s="32">
        <f t="shared" si="6"/>
        <v>247.1</v>
      </c>
      <c r="H64" s="178">
        <f t="shared" si="5"/>
        <v>6.4618572596390001E-3</v>
      </c>
      <c r="I64" s="32">
        <f>ROUND(F64*'Прил. 10'!$D$13,2)</f>
        <v>229.94</v>
      </c>
      <c r="J64" s="32">
        <f t="shared" si="7"/>
        <v>1986.68</v>
      </c>
    </row>
    <row r="65" spans="1:10" s="12" customFormat="1" ht="25.5" customHeight="1" outlineLevel="1" x14ac:dyDescent="0.2">
      <c r="A65" s="2">
        <v>37</v>
      </c>
      <c r="B65" s="162" t="s">
        <v>201</v>
      </c>
      <c r="C65" s="8" t="s">
        <v>202</v>
      </c>
      <c r="D65" s="2" t="s">
        <v>167</v>
      </c>
      <c r="E65" s="179">
        <v>4.48E-2</v>
      </c>
      <c r="F65" s="103">
        <v>5000</v>
      </c>
      <c r="G65" s="32">
        <f t="shared" si="6"/>
        <v>224</v>
      </c>
      <c r="H65" s="178">
        <f t="shared" si="5"/>
        <v>5.8577742863583004E-3</v>
      </c>
      <c r="I65" s="32">
        <f>ROUND(F65*'Прил. 10'!$D$13,2)</f>
        <v>40200</v>
      </c>
      <c r="J65" s="32">
        <f t="shared" si="7"/>
        <v>1800.96</v>
      </c>
    </row>
    <row r="66" spans="1:10" s="12" customFormat="1" ht="14.25" customHeight="1" outlineLevel="1" x14ac:dyDescent="0.2">
      <c r="A66" s="2">
        <v>38</v>
      </c>
      <c r="B66" s="162" t="s">
        <v>203</v>
      </c>
      <c r="C66" s="8" t="s">
        <v>204</v>
      </c>
      <c r="D66" s="2" t="s">
        <v>180</v>
      </c>
      <c r="E66" s="179">
        <v>12.393000000000001</v>
      </c>
      <c r="F66" s="103">
        <v>10.57</v>
      </c>
      <c r="G66" s="32">
        <f t="shared" si="6"/>
        <v>130.99</v>
      </c>
      <c r="H66" s="178">
        <f t="shared" si="5"/>
        <v>3.4254904186164E-3</v>
      </c>
      <c r="I66" s="32">
        <f>ROUND(F66*'Прил. 10'!$D$13,2)</f>
        <v>84.98</v>
      </c>
      <c r="J66" s="32">
        <f t="shared" si="7"/>
        <v>1053.1600000000001</v>
      </c>
    </row>
    <row r="67" spans="1:10" s="12" customFormat="1" ht="25.5" customHeight="1" outlineLevel="1" x14ac:dyDescent="0.2">
      <c r="A67" s="2">
        <v>39</v>
      </c>
      <c r="B67" s="162" t="s">
        <v>205</v>
      </c>
      <c r="C67" s="8" t="s">
        <v>206</v>
      </c>
      <c r="D67" s="2" t="s">
        <v>167</v>
      </c>
      <c r="E67" s="179">
        <v>2.1999999999999999E-2</v>
      </c>
      <c r="F67" s="103">
        <v>5941.89</v>
      </c>
      <c r="G67" s="32">
        <f t="shared" si="6"/>
        <v>130.72</v>
      </c>
      <c r="H67" s="178">
        <f t="shared" si="5"/>
        <v>3.4184297085391E-3</v>
      </c>
      <c r="I67" s="32">
        <f>ROUND(F67*'Прил. 10'!$D$13,2)</f>
        <v>47772.800000000003</v>
      </c>
      <c r="J67" s="32">
        <f t="shared" si="7"/>
        <v>1051</v>
      </c>
    </row>
    <row r="68" spans="1:10" s="12" customFormat="1" ht="14.25" customHeight="1" outlineLevel="1" x14ac:dyDescent="0.2">
      <c r="A68" s="2">
        <v>40</v>
      </c>
      <c r="B68" s="162" t="s">
        <v>207</v>
      </c>
      <c r="C68" s="8" t="s">
        <v>208</v>
      </c>
      <c r="D68" s="2" t="s">
        <v>173</v>
      </c>
      <c r="E68" s="179">
        <v>0.93130000000000002</v>
      </c>
      <c r="F68" s="103">
        <v>110</v>
      </c>
      <c r="G68" s="32">
        <f t="shared" si="6"/>
        <v>102.44</v>
      </c>
      <c r="H68" s="178">
        <f t="shared" si="5"/>
        <v>2.6788857048863999E-3</v>
      </c>
      <c r="I68" s="32">
        <f>ROUND(F68*'Прил. 10'!$D$13,2)</f>
        <v>884.4</v>
      </c>
      <c r="J68" s="32">
        <f t="shared" si="7"/>
        <v>823.64</v>
      </c>
    </row>
    <row r="69" spans="1:10" s="12" customFormat="1" ht="25.5" customHeight="1" outlineLevel="1" x14ac:dyDescent="0.2">
      <c r="A69" s="2">
        <v>41</v>
      </c>
      <c r="B69" s="162" t="s">
        <v>209</v>
      </c>
      <c r="C69" s="8" t="s">
        <v>210</v>
      </c>
      <c r="D69" s="2" t="s">
        <v>167</v>
      </c>
      <c r="E69" s="179">
        <v>0.20949999999999999</v>
      </c>
      <c r="F69" s="103">
        <v>480</v>
      </c>
      <c r="G69" s="32">
        <f t="shared" si="6"/>
        <v>100.56</v>
      </c>
      <c r="H69" s="178">
        <f t="shared" si="5"/>
        <v>2.6297222421259002E-3</v>
      </c>
      <c r="I69" s="32">
        <f>ROUND(F69*'Прил. 10'!$D$13,2)</f>
        <v>3859.2</v>
      </c>
      <c r="J69" s="32">
        <f t="shared" si="7"/>
        <v>808.5</v>
      </c>
    </row>
    <row r="70" spans="1:10" s="12" customFormat="1" ht="25.5" customHeight="1" outlineLevel="1" x14ac:dyDescent="0.2">
      <c r="A70" s="2">
        <v>42</v>
      </c>
      <c r="B70" s="162" t="s">
        <v>211</v>
      </c>
      <c r="C70" s="8" t="s">
        <v>212</v>
      </c>
      <c r="D70" s="2" t="s">
        <v>167</v>
      </c>
      <c r="E70" s="179">
        <v>2.8999999999999998E-3</v>
      </c>
      <c r="F70" s="103">
        <v>17500</v>
      </c>
      <c r="G70" s="32">
        <f t="shared" si="6"/>
        <v>50.75</v>
      </c>
      <c r="H70" s="178">
        <f t="shared" si="5"/>
        <v>1.3271519867531E-3</v>
      </c>
      <c r="I70" s="32">
        <f>ROUND(F70*'Прил. 10'!$D$13,2)</f>
        <v>140700</v>
      </c>
      <c r="J70" s="32">
        <f t="shared" si="7"/>
        <v>408.03</v>
      </c>
    </row>
    <row r="71" spans="1:10" s="12" customFormat="1" ht="14.25" customHeight="1" outlineLevel="1" x14ac:dyDescent="0.2">
      <c r="A71" s="2">
        <v>43</v>
      </c>
      <c r="B71" s="162" t="s">
        <v>213</v>
      </c>
      <c r="C71" s="8" t="s">
        <v>214</v>
      </c>
      <c r="D71" s="2" t="s">
        <v>215</v>
      </c>
      <c r="E71" s="179">
        <v>0.6</v>
      </c>
      <c r="F71" s="103">
        <v>79.099999999999994</v>
      </c>
      <c r="G71" s="32">
        <f t="shared" si="6"/>
        <v>47.46</v>
      </c>
      <c r="H71" s="178">
        <f t="shared" si="5"/>
        <v>1.2411159269221999E-3</v>
      </c>
      <c r="I71" s="32">
        <f>ROUND(F71*'Прил. 10'!$D$13,2)</f>
        <v>635.96</v>
      </c>
      <c r="J71" s="32">
        <f t="shared" si="7"/>
        <v>381.58</v>
      </c>
    </row>
    <row r="72" spans="1:10" s="12" customFormat="1" ht="14.25" customHeight="1" outlineLevel="1" x14ac:dyDescent="0.2">
      <c r="A72" s="2">
        <v>44</v>
      </c>
      <c r="B72" s="162" t="s">
        <v>216</v>
      </c>
      <c r="C72" s="8" t="s">
        <v>217</v>
      </c>
      <c r="D72" s="2" t="s">
        <v>167</v>
      </c>
      <c r="E72" s="179">
        <v>5.9999999999999995E-4</v>
      </c>
      <c r="F72" s="103">
        <v>28300.400000000001</v>
      </c>
      <c r="G72" s="32">
        <f t="shared" si="6"/>
        <v>16.98</v>
      </c>
      <c r="H72" s="178">
        <f t="shared" si="5"/>
        <v>4.4404021152841001E-4</v>
      </c>
      <c r="I72" s="32">
        <f>ROUND(F72*'Прил. 10'!$D$13,2)</f>
        <v>227535.22</v>
      </c>
      <c r="J72" s="32">
        <f t="shared" si="7"/>
        <v>136.52000000000001</v>
      </c>
    </row>
    <row r="73" spans="1:10" s="12" customFormat="1" ht="14.25" customHeight="1" outlineLevel="1" x14ac:dyDescent="0.2">
      <c r="A73" s="2">
        <v>45</v>
      </c>
      <c r="B73" s="162" t="s">
        <v>218</v>
      </c>
      <c r="C73" s="8" t="s">
        <v>219</v>
      </c>
      <c r="D73" s="2" t="s">
        <v>190</v>
      </c>
      <c r="E73" s="179">
        <v>0.4</v>
      </c>
      <c r="F73" s="103">
        <v>39</v>
      </c>
      <c r="G73" s="32">
        <f t="shared" si="6"/>
        <v>15.6</v>
      </c>
      <c r="H73" s="178">
        <f t="shared" si="5"/>
        <v>4.0795213779995997E-4</v>
      </c>
      <c r="I73" s="32">
        <f>ROUND(F73*'Прил. 10'!$D$13,2)</f>
        <v>313.56</v>
      </c>
      <c r="J73" s="32">
        <f t="shared" si="7"/>
        <v>125.42</v>
      </c>
    </row>
    <row r="74" spans="1:10" s="12" customFormat="1" ht="14.25" customHeight="1" outlineLevel="1" x14ac:dyDescent="0.2">
      <c r="A74" s="2">
        <v>46</v>
      </c>
      <c r="B74" s="162" t="s">
        <v>220</v>
      </c>
      <c r="C74" s="8" t="s">
        <v>221</v>
      </c>
      <c r="D74" s="2" t="s">
        <v>167</v>
      </c>
      <c r="E74" s="179">
        <v>1.9780000000000002E-3</v>
      </c>
      <c r="F74" s="103">
        <v>6159.22</v>
      </c>
      <c r="G74" s="32">
        <f t="shared" si="6"/>
        <v>12.18</v>
      </c>
      <c r="H74" s="178">
        <f t="shared" si="5"/>
        <v>3.1851647682073001E-4</v>
      </c>
      <c r="I74" s="32">
        <f>ROUND(F74*'Прил. 10'!$D$13,2)</f>
        <v>49520.13</v>
      </c>
      <c r="J74" s="32">
        <f t="shared" si="7"/>
        <v>97.95</v>
      </c>
    </row>
    <row r="75" spans="1:10" s="12" customFormat="1" ht="14.25" customHeight="1" outlineLevel="1" x14ac:dyDescent="0.2">
      <c r="A75" s="2">
        <v>47</v>
      </c>
      <c r="B75" s="162" t="s">
        <v>222</v>
      </c>
      <c r="C75" s="8" t="s">
        <v>223</v>
      </c>
      <c r="D75" s="2" t="s">
        <v>173</v>
      </c>
      <c r="E75" s="179">
        <v>0.44</v>
      </c>
      <c r="F75" s="103">
        <v>26.6</v>
      </c>
      <c r="G75" s="32">
        <f t="shared" si="6"/>
        <v>11.7</v>
      </c>
      <c r="H75" s="178">
        <f t="shared" si="5"/>
        <v>3.0596410334997001E-4</v>
      </c>
      <c r="I75" s="32">
        <f>ROUND(F75*'Прил. 10'!$D$13,2)</f>
        <v>213.86</v>
      </c>
      <c r="J75" s="32">
        <f t="shared" si="7"/>
        <v>94.1</v>
      </c>
    </row>
    <row r="76" spans="1:10" s="12" customFormat="1" ht="25.5" customHeight="1" outlineLevel="1" x14ac:dyDescent="0.2">
      <c r="A76" s="2">
        <v>48</v>
      </c>
      <c r="B76" s="162" t="s">
        <v>224</v>
      </c>
      <c r="C76" s="8" t="s">
        <v>225</v>
      </c>
      <c r="D76" s="2" t="s">
        <v>170</v>
      </c>
      <c r="E76" s="179">
        <v>0.17460000000000001</v>
      </c>
      <c r="F76" s="103">
        <v>59.99</v>
      </c>
      <c r="G76" s="32">
        <f t="shared" si="6"/>
        <v>10.47</v>
      </c>
      <c r="H76" s="178">
        <f t="shared" si="5"/>
        <v>2.7379864633111998E-4</v>
      </c>
      <c r="I76" s="32">
        <f>ROUND(F76*'Прил. 10'!$D$13,2)</f>
        <v>482.32</v>
      </c>
      <c r="J76" s="32">
        <f t="shared" si="7"/>
        <v>84.21</v>
      </c>
    </row>
    <row r="77" spans="1:10" s="12" customFormat="1" ht="14.25" customHeight="1" outlineLevel="1" x14ac:dyDescent="0.2">
      <c r="A77" s="2">
        <v>49</v>
      </c>
      <c r="B77" s="162" t="s">
        <v>226</v>
      </c>
      <c r="C77" s="8" t="s">
        <v>227</v>
      </c>
      <c r="D77" s="2" t="s">
        <v>167</v>
      </c>
      <c r="E77" s="179">
        <v>5.9999999999999995E-4</v>
      </c>
      <c r="F77" s="103">
        <v>15620</v>
      </c>
      <c r="G77" s="32">
        <f t="shared" si="6"/>
        <v>9.3699999999999992</v>
      </c>
      <c r="H77" s="178">
        <f t="shared" si="5"/>
        <v>2.4503279046061001E-4</v>
      </c>
      <c r="I77" s="32">
        <f>ROUND(F77*'Прил. 10'!$D$13,2)</f>
        <v>125584.8</v>
      </c>
      <c r="J77" s="32">
        <f t="shared" si="7"/>
        <v>75.349999999999994</v>
      </c>
    </row>
    <row r="78" spans="1:10" s="12" customFormat="1" ht="14.25" customHeight="1" outlineLevel="1" x14ac:dyDescent="0.2">
      <c r="A78" s="2">
        <v>50</v>
      </c>
      <c r="B78" s="162" t="s">
        <v>228</v>
      </c>
      <c r="C78" s="8" t="s">
        <v>229</v>
      </c>
      <c r="D78" s="2" t="s">
        <v>167</v>
      </c>
      <c r="E78" s="179">
        <v>8.9999999999999998E-4</v>
      </c>
      <c r="F78" s="103">
        <v>10315.01</v>
      </c>
      <c r="G78" s="32">
        <f t="shared" si="6"/>
        <v>9.2799999999999994</v>
      </c>
      <c r="H78" s="178">
        <f t="shared" si="5"/>
        <v>2.4267922043484999E-4</v>
      </c>
      <c r="I78" s="32">
        <f>ROUND(F78*'Прил. 10'!$D$13,2)</f>
        <v>82932.679999999993</v>
      </c>
      <c r="J78" s="32">
        <f t="shared" si="7"/>
        <v>74.64</v>
      </c>
    </row>
    <row r="79" spans="1:10" s="12" customFormat="1" ht="14.25" customHeight="1" outlineLevel="1" x14ac:dyDescent="0.2">
      <c r="A79" s="2">
        <v>51</v>
      </c>
      <c r="B79" s="162" t="s">
        <v>230</v>
      </c>
      <c r="C79" s="8" t="s">
        <v>231</v>
      </c>
      <c r="D79" s="2" t="s">
        <v>173</v>
      </c>
      <c r="E79" s="179">
        <v>3.427</v>
      </c>
      <c r="F79" s="103">
        <v>2</v>
      </c>
      <c r="G79" s="32">
        <f t="shared" si="6"/>
        <v>6.85</v>
      </c>
      <c r="H79" s="178">
        <f t="shared" si="5"/>
        <v>1.7913282973907999E-4</v>
      </c>
      <c r="I79" s="32">
        <f>ROUND(F79*'Прил. 10'!$D$13,2)</f>
        <v>16.079999999999998</v>
      </c>
      <c r="J79" s="32">
        <f t="shared" si="7"/>
        <v>55.11</v>
      </c>
    </row>
    <row r="80" spans="1:10" s="12" customFormat="1" ht="25.5" customHeight="1" outlineLevel="1" x14ac:dyDescent="0.2">
      <c r="A80" s="2">
        <v>52</v>
      </c>
      <c r="B80" s="162" t="s">
        <v>232</v>
      </c>
      <c r="C80" s="8" t="s">
        <v>233</v>
      </c>
      <c r="D80" s="2" t="s">
        <v>180</v>
      </c>
      <c r="E80" s="179">
        <v>0.22</v>
      </c>
      <c r="F80" s="103">
        <v>28.22</v>
      </c>
      <c r="G80" s="32">
        <f t="shared" si="6"/>
        <v>6.21</v>
      </c>
      <c r="H80" s="178">
        <f t="shared" si="5"/>
        <v>1.6239633177806E-4</v>
      </c>
      <c r="I80" s="32">
        <f>ROUND(F80*'Прил. 10'!$D$13,2)</f>
        <v>226.89</v>
      </c>
      <c r="J80" s="32">
        <f t="shared" si="7"/>
        <v>49.92</v>
      </c>
    </row>
    <row r="81" spans="1:10" s="12" customFormat="1" ht="14.25" customHeight="1" outlineLevel="1" x14ac:dyDescent="0.2">
      <c r="A81" s="2">
        <v>53</v>
      </c>
      <c r="B81" s="162" t="s">
        <v>234</v>
      </c>
      <c r="C81" s="8" t="s">
        <v>235</v>
      </c>
      <c r="D81" s="2" t="s">
        <v>167</v>
      </c>
      <c r="E81" s="179">
        <v>5.0000000000000001E-4</v>
      </c>
      <c r="F81" s="103">
        <v>9420</v>
      </c>
      <c r="G81" s="32">
        <f t="shared" si="6"/>
        <v>4.71</v>
      </c>
      <c r="H81" s="178">
        <f t="shared" si="5"/>
        <v>1.2317016468191001E-4</v>
      </c>
      <c r="I81" s="32">
        <f>ROUND(F81*'Прил. 10'!$D$13,2)</f>
        <v>75736.800000000003</v>
      </c>
      <c r="J81" s="32">
        <f t="shared" si="7"/>
        <v>37.869999999999997</v>
      </c>
    </row>
    <row r="82" spans="1:10" s="12" customFormat="1" ht="38.25" customHeight="1" outlineLevel="1" x14ac:dyDescent="0.2">
      <c r="A82" s="2">
        <v>54</v>
      </c>
      <c r="B82" s="162" t="s">
        <v>236</v>
      </c>
      <c r="C82" s="8" t="s">
        <v>237</v>
      </c>
      <c r="D82" s="2" t="s">
        <v>180</v>
      </c>
      <c r="E82" s="179">
        <v>4.8000000000000001E-2</v>
      </c>
      <c r="F82" s="103">
        <v>30.4</v>
      </c>
      <c r="G82" s="32">
        <f t="shared" si="6"/>
        <v>1.46</v>
      </c>
      <c r="H82" s="178">
        <f t="shared" si="5"/>
        <v>3.8180135973585998E-5</v>
      </c>
      <c r="I82" s="32">
        <f>ROUND(F82*'Прил. 10'!$D$13,2)</f>
        <v>244.42</v>
      </c>
      <c r="J82" s="32">
        <f t="shared" si="7"/>
        <v>11.73</v>
      </c>
    </row>
    <row r="83" spans="1:10" s="12" customFormat="1" ht="14.25" customHeight="1" outlineLevel="1" x14ac:dyDescent="0.2">
      <c r="A83" s="2">
        <v>55</v>
      </c>
      <c r="B83" s="162" t="s">
        <v>238</v>
      </c>
      <c r="C83" s="8" t="s">
        <v>239</v>
      </c>
      <c r="D83" s="2" t="s">
        <v>167</v>
      </c>
      <c r="E83" s="179">
        <v>2.0000000000000001E-4</v>
      </c>
      <c r="F83" s="103">
        <v>6667</v>
      </c>
      <c r="G83" s="32">
        <f t="shared" si="6"/>
        <v>1.33</v>
      </c>
      <c r="H83" s="178">
        <f t="shared" si="5"/>
        <v>3.4780534825253003E-5</v>
      </c>
      <c r="I83" s="32">
        <f>ROUND(F83*'Прил. 10'!$D$13,2)</f>
        <v>53602.68</v>
      </c>
      <c r="J83" s="32">
        <f t="shared" si="7"/>
        <v>10.72</v>
      </c>
    </row>
    <row r="84" spans="1:10" s="12" customFormat="1" ht="14.25" customHeight="1" outlineLevel="1" x14ac:dyDescent="0.2">
      <c r="A84" s="2">
        <v>56</v>
      </c>
      <c r="B84" s="162" t="s">
        <v>240</v>
      </c>
      <c r="C84" s="8" t="s">
        <v>241</v>
      </c>
      <c r="D84" s="2" t="s">
        <v>180</v>
      </c>
      <c r="E84" s="179">
        <v>2.4E-2</v>
      </c>
      <c r="F84" s="103">
        <v>44.97</v>
      </c>
      <c r="G84" s="32">
        <f t="shared" si="6"/>
        <v>1.08</v>
      </c>
      <c r="H84" s="178">
        <f t="shared" si="5"/>
        <v>2.8242840309228001E-5</v>
      </c>
      <c r="I84" s="32">
        <f>ROUND(F84*'Прил. 10'!$D$13,2)</f>
        <v>361.56</v>
      </c>
      <c r="J84" s="32">
        <f t="shared" si="7"/>
        <v>8.68</v>
      </c>
    </row>
    <row r="85" spans="1:10" s="12" customFormat="1" ht="14.25" customHeight="1" outlineLevel="1" x14ac:dyDescent="0.2">
      <c r="A85" s="2">
        <v>57</v>
      </c>
      <c r="B85" s="162" t="s">
        <v>242</v>
      </c>
      <c r="C85" s="8" t="s">
        <v>243</v>
      </c>
      <c r="D85" s="2" t="s">
        <v>180</v>
      </c>
      <c r="E85" s="179">
        <v>2.4E-2</v>
      </c>
      <c r="F85" s="103">
        <v>35.630000000000003</v>
      </c>
      <c r="G85" s="32">
        <f t="shared" si="6"/>
        <v>0.86</v>
      </c>
      <c r="H85" s="178">
        <f t="shared" si="5"/>
        <v>2.2489669135126002E-5</v>
      </c>
      <c r="I85" s="32">
        <f>ROUND(F85*'Прил. 10'!$D$13,2)</f>
        <v>286.47000000000003</v>
      </c>
      <c r="J85" s="32">
        <f t="shared" si="7"/>
        <v>6.88</v>
      </c>
    </row>
    <row r="86" spans="1:10" s="12" customFormat="1" ht="14.25" customHeight="1" outlineLevel="1" x14ac:dyDescent="0.2">
      <c r="A86" s="2">
        <v>58</v>
      </c>
      <c r="B86" s="162" t="s">
        <v>244</v>
      </c>
      <c r="C86" s="8" t="s">
        <v>245</v>
      </c>
      <c r="D86" s="2" t="s">
        <v>180</v>
      </c>
      <c r="E86" s="179">
        <v>4.0000000000000001E-3</v>
      </c>
      <c r="F86" s="103">
        <v>133.05000000000001</v>
      </c>
      <c r="G86" s="32">
        <f t="shared" si="6"/>
        <v>0.53</v>
      </c>
      <c r="H86" s="178">
        <f t="shared" si="5"/>
        <v>1.3859912373973E-5</v>
      </c>
      <c r="I86" s="32">
        <f>ROUND(F86*'Прил. 10'!$D$13,2)</f>
        <v>1069.72</v>
      </c>
      <c r="J86" s="32">
        <f t="shared" si="7"/>
        <v>4.28</v>
      </c>
    </row>
    <row r="87" spans="1:10" s="12" customFormat="1" ht="14.25" customHeight="1" outlineLevel="1" x14ac:dyDescent="0.2">
      <c r="A87" s="2">
        <v>59</v>
      </c>
      <c r="B87" s="162" t="s">
        <v>246</v>
      </c>
      <c r="C87" s="8" t="s">
        <v>247</v>
      </c>
      <c r="D87" s="2" t="s">
        <v>180</v>
      </c>
      <c r="E87" s="179">
        <v>4.0000000000000001E-3</v>
      </c>
      <c r="F87" s="103">
        <v>11.5</v>
      </c>
      <c r="G87" s="32">
        <f t="shared" si="6"/>
        <v>0.05</v>
      </c>
      <c r="H87" s="178">
        <f t="shared" si="5"/>
        <v>1.3075389032049999E-6</v>
      </c>
      <c r="I87" s="32">
        <f>ROUND(F87*'Прил. 10'!$D$13,2)</f>
        <v>92.46</v>
      </c>
      <c r="J87" s="32">
        <f t="shared" si="7"/>
        <v>0.37</v>
      </c>
    </row>
    <row r="88" spans="1:10" s="12" customFormat="1" ht="14.25" customHeight="1" x14ac:dyDescent="0.2">
      <c r="A88" s="2"/>
      <c r="B88" s="2"/>
      <c r="C88" s="8" t="s">
        <v>326</v>
      </c>
      <c r="D88" s="2"/>
      <c r="E88" s="167"/>
      <c r="F88" s="103"/>
      <c r="G88" s="32">
        <f>SUM(G57:G87)</f>
        <v>8209.33</v>
      </c>
      <c r="H88" s="176">
        <f>G88/G89</f>
        <v>0.21468036688496001</v>
      </c>
      <c r="I88" s="32"/>
      <c r="J88" s="32">
        <f>SUM(J57:J87)</f>
        <v>66003.820000000007</v>
      </c>
    </row>
    <row r="89" spans="1:10" s="12" customFormat="1" ht="14.25" customHeight="1" x14ac:dyDescent="0.2">
      <c r="A89" s="2"/>
      <c r="B89" s="2"/>
      <c r="C89" s="104" t="s">
        <v>327</v>
      </c>
      <c r="D89" s="2"/>
      <c r="E89" s="167"/>
      <c r="F89" s="103"/>
      <c r="G89" s="32">
        <f>G56+G88</f>
        <v>38239.78</v>
      </c>
      <c r="H89" s="176">
        <v>1</v>
      </c>
      <c r="I89" s="32"/>
      <c r="J89" s="32">
        <f>J50+J88</f>
        <v>237073.71</v>
      </c>
    </row>
    <row r="90" spans="1:10" s="12" customFormat="1" ht="14.25" customHeight="1" x14ac:dyDescent="0.2">
      <c r="A90" s="2"/>
      <c r="B90" s="2"/>
      <c r="C90" s="8" t="s">
        <v>328</v>
      </c>
      <c r="D90" s="2"/>
      <c r="E90" s="167"/>
      <c r="F90" s="103"/>
      <c r="G90" s="32">
        <f>G16+G36+G89</f>
        <v>113079.61</v>
      </c>
      <c r="H90" s="176"/>
      <c r="I90" s="32"/>
      <c r="J90" s="32">
        <f>J16+J36+J89</f>
        <v>2276133.7399999998</v>
      </c>
    </row>
    <row r="91" spans="1:10" s="12" customFormat="1" ht="14.25" customHeight="1" x14ac:dyDescent="0.2">
      <c r="A91" s="2"/>
      <c r="B91" s="2"/>
      <c r="C91" s="8" t="s">
        <v>329</v>
      </c>
      <c r="D91" s="185">
        <v>0.9</v>
      </c>
      <c r="E91" s="167"/>
      <c r="F91" s="103"/>
      <c r="G91" s="32">
        <f>ROUND(D91*(G16+G18),2)</f>
        <v>30388.61</v>
      </c>
      <c r="H91" s="176"/>
      <c r="I91" s="32"/>
      <c r="J91" s="32">
        <f>ROUND(D91*(J16+J18),2)</f>
        <v>1485599.6</v>
      </c>
    </row>
    <row r="92" spans="1:10" s="12" customFormat="1" ht="14.25" customHeight="1" x14ac:dyDescent="0.2">
      <c r="A92" s="2"/>
      <c r="B92" s="2"/>
      <c r="C92" s="8" t="s">
        <v>330</v>
      </c>
      <c r="D92" s="185">
        <v>0.66</v>
      </c>
      <c r="E92" s="167"/>
      <c r="F92" s="103"/>
      <c r="G92" s="32">
        <f>ROUND(D92*(G16+G18),2)</f>
        <v>22284.98</v>
      </c>
      <c r="H92" s="176"/>
      <c r="I92" s="32"/>
      <c r="J92" s="32">
        <f>ROUND(D92*(J16+J18),2)</f>
        <v>1089439.71</v>
      </c>
    </row>
    <row r="93" spans="1:10" s="12" customFormat="1" ht="14.25" customHeight="1" x14ac:dyDescent="0.2">
      <c r="A93" s="2"/>
      <c r="B93" s="2"/>
      <c r="C93" s="8" t="s">
        <v>331</v>
      </c>
      <c r="D93" s="2"/>
      <c r="E93" s="167"/>
      <c r="F93" s="103"/>
      <c r="G93" s="32">
        <f>G16+G36+G89+G91+G92</f>
        <v>165753.20000000001</v>
      </c>
      <c r="H93" s="176"/>
      <c r="I93" s="32"/>
      <c r="J93" s="32">
        <f>J16+J36+J89+J91+J92</f>
        <v>4851173.05</v>
      </c>
    </row>
    <row r="94" spans="1:10" s="12" customFormat="1" ht="14.25" customHeight="1" x14ac:dyDescent="0.2">
      <c r="A94" s="2"/>
      <c r="B94" s="2"/>
      <c r="C94" s="8" t="s">
        <v>332</v>
      </c>
      <c r="D94" s="2"/>
      <c r="E94" s="167"/>
      <c r="F94" s="103"/>
      <c r="G94" s="32">
        <f>G93+G44</f>
        <v>5307414.22</v>
      </c>
      <c r="H94" s="176"/>
      <c r="I94" s="32"/>
      <c r="J94" s="32">
        <f>J93+J44</f>
        <v>19660295.440000001</v>
      </c>
    </row>
    <row r="95" spans="1:10" s="12" customFormat="1" ht="34.5" customHeight="1" x14ac:dyDescent="0.2">
      <c r="A95" s="2"/>
      <c r="B95" s="2"/>
      <c r="C95" s="8" t="s">
        <v>280</v>
      </c>
      <c r="D95" s="2" t="s">
        <v>333</v>
      </c>
      <c r="E95" s="167">
        <v>4</v>
      </c>
      <c r="F95" s="103"/>
      <c r="G95" s="32">
        <f>G94/E95</f>
        <v>1326853.5549999999</v>
      </c>
      <c r="H95" s="176"/>
      <c r="I95" s="32"/>
      <c r="J95" s="32">
        <f>J94/E95</f>
        <v>4915073.8600000003</v>
      </c>
    </row>
    <row r="97" spans="2:3" s="193" customFormat="1" x14ac:dyDescent="0.25">
      <c r="B97" s="194" t="s">
        <v>76</v>
      </c>
      <c r="C97" s="200"/>
    </row>
    <row r="98" spans="2:3" s="193" customFormat="1" x14ac:dyDescent="0.25">
      <c r="B98" s="33" t="s">
        <v>77</v>
      </c>
      <c r="C98" s="200"/>
    </row>
    <row r="99" spans="2:3" s="193" customFormat="1" x14ac:dyDescent="0.25">
      <c r="B99" s="194"/>
      <c r="C99" s="200"/>
    </row>
    <row r="100" spans="2:3" s="193" customFormat="1" x14ac:dyDescent="0.25">
      <c r="B100" s="194" t="s">
        <v>78</v>
      </c>
      <c r="C100" s="200"/>
    </row>
    <row r="101" spans="2:3" s="193" customFormat="1" x14ac:dyDescent="0.25">
      <c r="B101" s="33" t="s">
        <v>79</v>
      </c>
      <c r="C101" s="200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7:H47"/>
    <mergeCell ref="B12:H12"/>
    <mergeCell ref="B17:H17"/>
    <mergeCell ref="B19:H19"/>
    <mergeCell ref="B20:H20"/>
    <mergeCell ref="B38:H38"/>
    <mergeCell ref="B37:J37"/>
    <mergeCell ref="B46:J46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'Прил.7 Расчет пок.'!Область_печати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2023-11-30T07:52:21Z</cp:lastPrinted>
  <dcterms:created xsi:type="dcterms:W3CDTF">2020-09-30T08:50:27Z</dcterms:created>
  <dcterms:modified xsi:type="dcterms:W3CDTF">2023-11-30T07:52:26Z</dcterms:modified>
  <cp:category/>
</cp:coreProperties>
</file>