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2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3'!$A$1:$H$58</definedName>
    <definedName name="_xlnm.Print_Area" localSheetId="5">'Прил.2 Расч стоим'!$A$1:$J$22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0">'Прил.7 Расчет пок.'!$A$1:$D$17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11" i="11"/>
  <c r="C11" i="11"/>
  <c r="D5" i="11"/>
  <c r="G14" i="10"/>
  <c r="G13" i="10"/>
  <c r="G12" i="10"/>
  <c r="F12" i="10"/>
  <c r="E12" i="10"/>
  <c r="D12" i="10"/>
  <c r="C12" i="10"/>
  <c r="B12" i="10"/>
  <c r="J69" i="9"/>
  <c r="G69" i="9"/>
  <c r="J68" i="9"/>
  <c r="G68" i="9"/>
  <c r="J67" i="9"/>
  <c r="G67" i="9"/>
  <c r="J66" i="9"/>
  <c r="D66" i="9"/>
  <c r="J65" i="9"/>
  <c r="D65" i="9"/>
  <c r="J64" i="9"/>
  <c r="G64" i="9"/>
  <c r="J63" i="9"/>
  <c r="H63" i="9"/>
  <c r="G63" i="9"/>
  <c r="J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H45" i="9"/>
  <c r="G45" i="9"/>
  <c r="J44" i="9"/>
  <c r="I44" i="9"/>
  <c r="H44" i="9"/>
  <c r="G44" i="9"/>
  <c r="J43" i="9"/>
  <c r="I43" i="9"/>
  <c r="H43" i="9"/>
  <c r="G43" i="9"/>
  <c r="J40" i="9"/>
  <c r="G40" i="9"/>
  <c r="J39" i="9"/>
  <c r="H39" i="9"/>
  <c r="G39" i="9"/>
  <c r="H38" i="9"/>
  <c r="J37" i="9"/>
  <c r="H37" i="9"/>
  <c r="G37" i="9"/>
  <c r="J36" i="9"/>
  <c r="H36" i="9"/>
  <c r="G36" i="9"/>
  <c r="F36" i="9"/>
  <c r="J33" i="9"/>
  <c r="G33" i="9"/>
  <c r="J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I24" i="9"/>
  <c r="H24" i="9"/>
  <c r="G24" i="9"/>
  <c r="J23" i="9"/>
  <c r="I23" i="9"/>
  <c r="H23" i="9"/>
  <c r="G23" i="9"/>
  <c r="J22" i="9"/>
  <c r="H22" i="9"/>
  <c r="G22" i="9"/>
  <c r="J21" i="9"/>
  <c r="I21" i="9"/>
  <c r="H21" i="9"/>
  <c r="G21" i="9"/>
  <c r="J20" i="9"/>
  <c r="I20" i="9"/>
  <c r="H20" i="9"/>
  <c r="G20" i="9"/>
  <c r="J17" i="9"/>
  <c r="I17" i="9"/>
  <c r="G17" i="9"/>
  <c r="F17" i="9"/>
  <c r="J15" i="9"/>
  <c r="G15" i="9"/>
  <c r="E15" i="9"/>
  <c r="J14" i="9"/>
  <c r="I14" i="9"/>
  <c r="H14" i="9"/>
  <c r="G14" i="9"/>
  <c r="E14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6" i="7"/>
  <c r="F16" i="7"/>
  <c r="H15" i="7"/>
  <c r="H14" i="7"/>
  <c r="H13" i="7"/>
  <c r="H12" i="7"/>
  <c r="H11" i="7"/>
  <c r="H10" i="7"/>
  <c r="F10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6" i="5"/>
  <c r="D35" i="5"/>
  <c r="B35" i="5"/>
  <c r="D34" i="5"/>
  <c r="B34" i="5"/>
  <c r="D33" i="5"/>
  <c r="B33" i="5"/>
  <c r="D32" i="5"/>
  <c r="B32" i="5"/>
  <c r="D30" i="5"/>
  <c r="B30" i="5"/>
  <c r="D28" i="5"/>
  <c r="B28" i="5"/>
  <c r="D27" i="5"/>
  <c r="B27" i="5"/>
  <c r="D26" i="5"/>
  <c r="B26" i="5"/>
  <c r="D24" i="5"/>
  <c r="B24" i="5"/>
  <c r="D23" i="5"/>
  <c r="B23" i="5"/>
  <c r="D22" i="5"/>
  <c r="B22" i="5"/>
  <c r="D21" i="5"/>
  <c r="C21" i="5"/>
  <c r="B21" i="5"/>
  <c r="B20" i="5"/>
  <c r="D19" i="5"/>
  <c r="C19" i="5"/>
  <c r="B19" i="5"/>
  <c r="B18" i="5"/>
  <c r="D17" i="5"/>
  <c r="C17" i="5"/>
  <c r="B17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A4" i="5"/>
  <c r="A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<sst xmlns="http://schemas.openxmlformats.org/spreadsheetml/2006/main" count="726" uniqueCount="431">
  <si>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</si>
  <si>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</si>
  <si>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</si>
  <si>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</si>
  <si>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</si>
  <si>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</si>
  <si>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</si>
  <si>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</si>
  <si>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</si>
  <si>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</si>
  <si>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</si>
  <si>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</si>
  <si>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</si>
  <si>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</si>
  <si>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</si>
  <si>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</si>
  <si>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</si>
  <si>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</si>
  <si>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</si>
  <si>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</si>
  <si>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</si>
  <si>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</si>
  <si>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</si>
  <si>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</si>
  <si>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</si>
  <si>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</si>
  <si>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</si>
  <si>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</si>
  <si>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</si>
  <si>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</si>
  <si>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</si>
  <si>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</si>
  <si>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</si>
  <si>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</si>
  <si>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</si>
  <si>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</si>
  <si>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</si>
  <si>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</si>
  <si>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</si>
  <si>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</si>
  <si>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</si>
  <si>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</si>
  <si>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</si>
  <si>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</si>
  <si>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</si>
  <si>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</si>
  <si>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</si>
  <si>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ОПН на три фазы без устройства фундамента напряжение 35(20) кВ</t>
  </si>
  <si>
    <t>Сопоставимый уровень цен: 3 кв 2021</t>
  </si>
  <si>
    <t>Единица измерения  — 1 ед.</t>
  </si>
  <si>
    <t>Параметр</t>
  </si>
  <si>
    <t>Объект-представитель 1</t>
  </si>
  <si>
    <t>Наименование объекта-представителя</t>
  </si>
  <si>
    <t xml:space="preserve"> Невинномысск и ПС 330 кВ Моздок</t>
  </si>
  <si>
    <t>Наименование субъекта Российской Федерации</t>
  </si>
  <si>
    <t>Ставропольский край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</si>
  <si>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</si>
  <si>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</si>
  <si>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</si>
  <si>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</si>
  <si>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ШО 35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</si>
  <si>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</si>
  <si>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</si>
  <si>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</si>
  <si>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</si>
  <si>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</si>
  <si>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</si>
  <si>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</si>
  <si>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</si>
  <si>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</si>
  <si>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</si>
  <si>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</si>
  <si>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</si>
  <si>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</si>
  <si>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</si>
  <si>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</si>
  <si>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</si>
  <si>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</si>
  <si>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</si>
  <si>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</si>
  <si>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</si>
  <si>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</si>
  <si>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</si>
  <si>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</si>
  <si>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</si>
  <si>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</si>
  <si>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</si>
  <si>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</si>
  <si>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</si>
  <si>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</si>
  <si>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</si>
  <si>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</si>
  <si>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</si>
  <si>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</si>
  <si>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</si>
  <si>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</si>
  <si>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</si>
  <si>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</si>
  <si>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</si>
  <si>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</si>
  <si>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</si>
  <si>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</si>
  <si>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</si>
  <si>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</si>
  <si>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</si>
  <si>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</si>
  <si>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</si>
  <si>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</si>
  <si>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</si>
  <si>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</si>
  <si>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</si>
  <si>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</si>
  <si>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</si>
  <si>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</si>
  <si>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</si>
  <si>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</si>
  <si>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</si>
  <si>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</si>
  <si>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</si>
  <si>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</si>
  <si>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</si>
  <si>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</si>
  <si>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</si>
  <si>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02-43-02</t>
  </si>
  <si>
    <t>Установка группы автотрансформатора АТ1. Электромонтажные работы ПС 500 кВ Моздок-2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</si>
  <si>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</si>
  <si>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</si>
  <si>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</si>
  <si>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</si>
  <si>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Наименование разрабатываемого показателя УНЦ - ОПН на три фазы без устройства фундамента напряжение 35(20)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</si>
  <si>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</si>
  <si>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</si>
  <si>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</si>
  <si>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</si>
  <si>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</si>
  <si>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</si>
  <si>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</si>
  <si>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</si>
  <si>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</si>
  <si>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</si>
  <si>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</si>
  <si>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</si>
  <si>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</si>
  <si>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</si>
  <si>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</si>
  <si>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</si>
  <si>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</si>
  <si>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</si>
  <si>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</si>
  <si>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</si>
  <si>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</si>
  <si>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</si>
  <si>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</si>
  <si>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</si>
  <si>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</si>
  <si>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</si>
  <si>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</si>
  <si>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</si>
  <si>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</si>
  <si>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</si>
  <si>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91.06.06-042</t>
  </si>
  <si>
    <t>Подъемники гидравлические, высота подъема 10 м</t>
  </si>
  <si>
    <t>91.17.04-036</t>
  </si>
  <si>
    <t>Агрегаты сварочные передвижные с дизельным двигателем, номинальный сварочный ток 250-400 А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</si>
  <si>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</si>
  <si>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</si>
  <si>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</si>
  <si>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</si>
  <si>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</si>
  <si>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</si>
  <si>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</si>
  <si>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</si>
  <si>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</si>
  <si>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</si>
  <si>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</si>
  <si>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</si>
  <si>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</si>
  <si>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ОПН-35 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</si>
  <si>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</si>
  <si>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</si>
  <si>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</si>
  <si>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</si>
  <si>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</si>
  <si>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</si>
  <si>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</si>
  <si>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</si>
  <si>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</si>
  <si>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</si>
  <si>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</si>
  <si>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</si>
  <si>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</si>
  <si>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</si>
  <si>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14.4.02.09-0001</t>
  </si>
  <si>
    <t>Краска</t>
  </si>
  <si>
    <t>кг</t>
  </si>
  <si>
    <t>14.4.02.09-0301</t>
  </si>
  <si>
    <t>Композиция антикоррозионная цинкнаполненная</t>
  </si>
  <si>
    <t>14.5.09.11-0102</t>
  </si>
  <si>
    <t>Уайт-спирит</t>
  </si>
  <si>
    <t>08.3.07.01-0076</t>
  </si>
  <si>
    <t>Прокат полосовой, горячекатаный, марка стали Ст3сп, ширина 50-200 мм, толщина 4-5 мм</t>
  </si>
  <si>
    <t>08.3.07.01-0042</t>
  </si>
  <si>
    <t>Сталь полосовая: 40х4 мм, кипящая</t>
  </si>
  <si>
    <t>01.7.15.03-0042</t>
  </si>
  <si>
    <t>Болты с гайками и шайбами строительные</t>
  </si>
  <si>
    <t>14.2.01.05-0001</t>
  </si>
  <si>
    <t>Композиция на основе термопластичных полимеров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</si>
  <si>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</si>
  <si>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</si>
  <si>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</si>
  <si>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</si>
  <si>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999-9950</t>
  </si>
  <si>
    <t>Вспомогательные ненормируемые ресурсы (2% от Оплаты труда рабочих)</t>
  </si>
  <si>
    <t>руб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</si>
  <si>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</si>
  <si>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</si>
  <si>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</si>
  <si>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</si>
  <si>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</si>
  <si>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</si>
  <si>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</si>
  <si>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</si>
  <si>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</si>
  <si>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</si>
  <si>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</si>
  <si>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</si>
  <si>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</si>
  <si>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</si>
  <si>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</si>
  <si>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</si>
  <si>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</si>
  <si>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</si>
  <si>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</si>
  <si>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</si>
  <si>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ОПН на три фазы без устройства фундамента напряжение 35(20)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</si>
  <si>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</si>
  <si>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</si>
  <si>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</si>
  <si>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</si>
  <si>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</si>
  <si>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</si>
  <si>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</si>
  <si>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</si>
  <si>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</si>
  <si>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</si>
  <si>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</si>
  <si>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</si>
  <si>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</si>
  <si>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</si>
  <si>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БЦ.60.41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</si>
  <si>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</si>
  <si>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</si>
  <si>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</si>
  <si>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</si>
  <si>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</si>
  <si>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</si>
  <si>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</si>
  <si>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</si>
  <si>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</si>
  <si>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</si>
  <si>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</si>
  <si>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</si>
  <si>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</si>
  <si>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</si>
  <si>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</si>
  <si>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</si>
  <si>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</si>
  <si>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Наименование разрабатываемого показателя УНЦ —  ОПН на три фазы без устройства фундамента напряжение 35(20)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</si>
  <si>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</si>
  <si>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</si>
  <si>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</si>
  <si>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</si>
  <si>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</si>
  <si>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</si>
  <si>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</si>
  <si>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</si>
  <si>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</si>
  <si>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</si>
  <si>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</si>
  <si>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И10-04-2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</si>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</sst>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" fillId="0" borderId="0" xfId="0" applyFont="1"/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525690</xdr:colOff>
      <xdr:row>15</xdr:row>
      <xdr:rowOff>200585</xdr:rowOff>
    </xdr:from>
    <xdr:to>
      <xdr:col>2</xdr:col>
      <xdr:colOff>1428884</xdr:colOff>
      <xdr:row>17</xdr:row>
      <xdr:rowOff>123516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5404" y="4350764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189754</xdr:colOff>
      <xdr:row>53</xdr:row>
      <xdr:rowOff>74520</xdr:rowOff>
    </xdr:from>
    <xdr:to>
      <xdr:col>2</xdr:col>
      <xdr:colOff>1128246</xdr:colOff>
      <xdr:row>56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554" y="13685745"/>
          <a:ext cx="938492" cy="5080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184151</xdr:colOff>
      <xdr:row>50</xdr:row>
      <xdr:rowOff>181535</xdr:rowOff>
    </xdr:from>
    <xdr:to>
      <xdr:col>2</xdr:col>
      <xdr:colOff>1087345</xdr:colOff>
      <xdr:row>52</xdr:row>
      <xdr:rowOff>108548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951" y="13202210"/>
          <a:ext cx="903194" cy="32706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1094629</xdr:colOff>
      <xdr:row>43</xdr:row>
      <xdr:rowOff>64995</xdr:rowOff>
    </xdr:from>
    <xdr:to>
      <xdr:col>1</xdr:col>
      <xdr:colOff>2033121</xdr:colOff>
      <xdr:row>46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0854" y="116854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850901</xdr:colOff>
      <xdr:row>41</xdr:row>
      <xdr:rowOff>19610</xdr:rowOff>
    </xdr:from>
    <xdr:to>
      <xdr:col>1</xdr:col>
      <xdr:colOff>1754095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2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1027393</xdr:colOff>
      <xdr:row>71</xdr:row>
      <xdr:rowOff>57151</xdr:rowOff>
    </xdr:from>
    <xdr:to>
      <xdr:col>2</xdr:col>
      <xdr:colOff>464297</xdr:colOff>
      <xdr:row>74</xdr:row>
      <xdr:rowOff>41276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393" y="17527122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1103593</xdr:colOff>
      <xdr:row>69</xdr:row>
      <xdr:rowOff>56590</xdr:rowOff>
    </xdr:from>
    <xdr:to>
      <xdr:col>2</xdr:col>
      <xdr:colOff>505199</xdr:colOff>
      <xdr:row>71</xdr:row>
      <xdr:rowOff>21703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593" y="17145561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951754</xdr:colOff>
      <xdr:row>16</xdr:row>
      <xdr:rowOff>74520</xdr:rowOff>
    </xdr:from>
    <xdr:to>
      <xdr:col>2</xdr:col>
      <xdr:colOff>718671</xdr:colOff>
      <xdr:row>19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754" y="38749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889001</xdr:colOff>
      <xdr:row>14</xdr:row>
      <xdr:rowOff>10085</xdr:rowOff>
    </xdr:from>
    <xdr:to>
      <xdr:col>2</xdr:col>
      <xdr:colOff>620620</xdr:colOff>
      <xdr:row>15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1" y="34295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885079</xdr:colOff>
      <xdr:row>13</xdr:row>
      <xdr:rowOff>84045</xdr:rowOff>
    </xdr:from>
    <xdr:to>
      <xdr:col>1</xdr:col>
      <xdr:colOff>1823571</xdr:colOff>
      <xdr:row>16</xdr:row>
      <xdr:rowOff>39595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104" y="359877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974726</xdr:colOff>
      <xdr:row>11</xdr:row>
      <xdr:rowOff>48185</xdr:rowOff>
    </xdr:from>
    <xdr:to>
      <xdr:col>1</xdr:col>
      <xdr:colOff>1877920</xdr:colOff>
      <xdr:row>13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6751" y="3181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1128247</xdr:colOff>
      <xdr:row>27</xdr:row>
      <xdr:rowOff>79562</xdr:rowOff>
    </xdr:from>
    <xdr:to>
      <xdr:col>1</xdr:col>
      <xdr:colOff>2066739</xdr:colOff>
      <xdr:row>30</xdr:row>
      <xdr:rowOff>35112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365" y="90442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1081182</xdr:colOff>
      <xdr:row>24</xdr:row>
      <xdr:rowOff>146237</xdr:rowOff>
    </xdr:from>
    <xdr:to>
      <xdr:col>1</xdr:col>
      <xdr:colOff>1984376</xdr:colOff>
      <xdr:row>26</xdr:row>
      <xdr:rowOff>101825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300" y="8539443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1" t="s">
        <v>0</v>
      </c>
      <c r="B2" s="211"/>
      <c r="C2" s="211"/>
    </row>
    <row r="3" spans="1:3" x14ac:dyDescent="0.25">
      <c r="A3" s="1"/>
      <c r="B3" s="1"/>
      <c r="C3" s="1"/>
    </row>
    <row r="4" spans="1:3" x14ac:dyDescent="0.25">
      <c r="A4" s="212" t="s">
        <v>1</v>
      </c>
      <c r="B4" s="212"/>
      <c r="C4" s="212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13" t="s">
        <v>3</v>
      </c>
      <c r="C6" s="213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111.58643599861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2" t="s">
        <v>265</v>
      </c>
      <c r="B1" s="252"/>
      <c r="C1" s="252"/>
      <c r="D1" s="252"/>
      <c r="E1" s="252"/>
      <c r="F1" s="252"/>
      <c r="G1" s="252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1" t="s">
        <v>266</v>
      </c>
      <c r="B3" s="211"/>
      <c r="C3" s="211"/>
      <c r="D3" s="211"/>
      <c r="E3" s="211"/>
      <c r="F3" s="211"/>
      <c r="G3" s="211"/>
    </row>
    <row r="4" spans="1:7" ht="25.5" customHeight="1" x14ac:dyDescent="0.25">
      <c r="A4" s="214" t="s">
        <v>267</v>
      </c>
      <c r="B4" s="214"/>
      <c r="C4" s="214"/>
      <c r="D4" s="214"/>
      <c r="E4" s="214"/>
      <c r="F4" s="214"/>
      <c r="G4" s="214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2" t="s">
        <v>13</v>
      </c>
      <c r="B6" s="232" t="s">
        <v>132</v>
      </c>
      <c r="C6" s="232" t="s">
        <v>78</v>
      </c>
      <c r="D6" s="232" t="s">
        <v>134</v>
      </c>
      <c r="E6" s="236" t="s">
        <v>235</v>
      </c>
      <c r="F6" s="257" t="s">
        <v>79</v>
      </c>
      <c r="G6" s="257"/>
    </row>
    <row r="7" spans="1:7" x14ac:dyDescent="0.25">
      <c r="A7" s="232"/>
      <c r="B7" s="232"/>
      <c r="C7" s="232"/>
      <c r="D7" s="232"/>
      <c r="E7" s="251"/>
      <c r="F7" s="2" t="s">
        <v>238</v>
      </c>
      <c r="G7" s="2" t="s">
        <v>137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3" t="s">
        <v>268</v>
      </c>
      <c r="C9" s="254"/>
      <c r="D9" s="254"/>
      <c r="E9" s="254"/>
      <c r="F9" s="254"/>
      <c r="G9" s="255"/>
    </row>
    <row r="10" spans="1:7" ht="27" customHeight="1" x14ac:dyDescent="0.25">
      <c r="A10" s="2"/>
      <c r="B10" s="103"/>
      <c r="C10" s="8" t="s">
        <v>269</v>
      </c>
      <c r="D10" s="103"/>
      <c r="E10" s="104"/>
      <c r="F10" s="102"/>
      <c r="G10" s="102">
        <v>0</v>
      </c>
    </row>
    <row r="11" spans="1:7" x14ac:dyDescent="0.25">
      <c r="A11" s="2"/>
      <c r="B11" s="240" t="s">
        <v>270</v>
      </c>
      <c r="C11" s="240"/>
      <c r="D11" s="240"/>
      <c r="E11" s="256"/>
      <c r="F11" s="242"/>
      <c r="G11" s="242"/>
    </row>
    <row r="12" spans="1:7" x14ac:dyDescent="0.25">
      <c r="A12" s="2">
        <v>1</v>
      </c>
      <c r="B12" s="181" t="str">
        <f>'Прил.5 Расчет СМР и ОБ'!B36</f>
        <v>БЦ.60.41</v>
      </c>
      <c r="C12" s="8" t="str">
        <f>'Прил.5 Расчет СМР и ОБ'!C36</f>
        <v>ОПН-35 кВ</v>
      </c>
      <c r="D12" s="2" t="str">
        <f>'Прил.5 Расчет СМР и ОБ'!D36</f>
        <v>шт</v>
      </c>
      <c r="E12" s="158">
        <f>'Прил.5 Расчет СМР и ОБ'!E36</f>
        <v>9</v>
      </c>
      <c r="F12" s="32">
        <f>'Прил.5 Расчет СМР и ОБ'!F36</f>
        <v>5458.47</v>
      </c>
      <c r="G12" s="32">
        <f>ROUND(E12*F12,2)</f>
        <v>49126.23</v>
      </c>
    </row>
    <row r="13" spans="1:7" ht="25.5" customHeight="1" x14ac:dyDescent="0.25">
      <c r="A13" s="2"/>
      <c r="B13" s="8"/>
      <c r="C13" s="8" t="s">
        <v>271</v>
      </c>
      <c r="D13" s="8"/>
      <c r="E13" s="46"/>
      <c r="F13" s="32"/>
      <c r="G13" s="32">
        <f>SUM(G12:G12)</f>
        <v>49126.23</v>
      </c>
    </row>
    <row r="14" spans="1:7" ht="19.5" customHeight="1" x14ac:dyDescent="0.25">
      <c r="A14" s="2"/>
      <c r="B14" s="8"/>
      <c r="C14" s="8" t="s">
        <v>272</v>
      </c>
      <c r="D14" s="8"/>
      <c r="E14" s="46"/>
      <c r="F14" s="32"/>
      <c r="G14" s="32">
        <f>G10+G13</f>
        <v>49126.23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s="184" customFormat="1" x14ac:dyDescent="0.25">
      <c r="B16" s="203" t="s">
        <v>430</v>
      </c>
      <c r="C16" s="191"/>
    </row>
    <row r="17" spans="2:3" s="184" customFormat="1" x14ac:dyDescent="0.25">
      <c r="B17" s="179" t="s">
        <v>75</v>
      </c>
      <c r="C17" s="191"/>
    </row>
    <row r="18" spans="2:3" s="184" customFormat="1" x14ac:dyDescent="0.25">
      <c r="B18" s="203"/>
      <c r="C18" s="191"/>
    </row>
    <row r="19" spans="2:3" s="184" customFormat="1" x14ac:dyDescent="0.25">
      <c r="B19" s="203" t="s">
        <v>264</v>
      </c>
      <c r="C19" s="191"/>
    </row>
    <row r="20" spans="2:3" s="184" customFormat="1" x14ac:dyDescent="0.25">
      <c r="B20" s="179" t="s">
        <v>76</v>
      </c>
      <c r="C20" s="191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176"/>
      <c r="C1" s="176"/>
      <c r="D1" s="177" t="s">
        <v>273</v>
      </c>
    </row>
    <row r="2" spans="1:6" x14ac:dyDescent="0.25">
      <c r="A2" s="177"/>
      <c r="B2" s="177"/>
      <c r="C2" s="177"/>
      <c r="D2" s="177"/>
    </row>
    <row r="3" spans="1:6" ht="24.75" customHeight="1" x14ac:dyDescent="0.25">
      <c r="A3" s="211" t="s">
        <v>274</v>
      </c>
      <c r="B3" s="211"/>
      <c r="C3" s="211"/>
      <c r="D3" s="211"/>
    </row>
    <row r="4" spans="1:6" ht="24.75" customHeight="1" x14ac:dyDescent="0.25">
      <c r="A4" s="178"/>
      <c r="B4" s="178"/>
      <c r="C4" s="178"/>
      <c r="D4" s="178"/>
    </row>
    <row r="5" spans="1:6" ht="47.25" customHeight="1" x14ac:dyDescent="0.25">
      <c r="A5" s="214" t="s">
        <v>275</v>
      </c>
      <c r="B5" s="214"/>
      <c r="C5" s="214"/>
      <c r="D5" s="183" t="str">
        <f>'Прил.5 Расчет СМР и ОБ'!D6:J6</f>
        <v>ОПН на три фазы без устройства фундамента напряжение 35(20) кВ</v>
      </c>
      <c r="E5" s="184"/>
      <c r="F5" s="184"/>
    </row>
    <row r="6" spans="1:6" ht="19.899999999999999" customHeight="1" x14ac:dyDescent="0.25">
      <c r="A6" s="214" t="s">
        <v>276</v>
      </c>
      <c r="B6" s="214"/>
      <c r="C6" s="214"/>
      <c r="D6" s="183"/>
      <c r="E6" s="184"/>
      <c r="F6" s="184"/>
    </row>
    <row r="7" spans="1:6" x14ac:dyDescent="0.25">
      <c r="A7" s="185"/>
      <c r="B7" s="185"/>
      <c r="C7" s="185"/>
      <c r="D7" s="185"/>
      <c r="E7" s="184"/>
      <c r="F7" s="184"/>
    </row>
    <row r="8" spans="1:6" ht="14.45" customHeight="1" x14ac:dyDescent="0.25">
      <c r="A8" s="228" t="s">
        <v>5</v>
      </c>
      <c r="B8" s="228" t="s">
        <v>6</v>
      </c>
      <c r="C8" s="228" t="s">
        <v>277</v>
      </c>
      <c r="D8" s="228" t="s">
        <v>278</v>
      </c>
      <c r="E8" s="184"/>
      <c r="F8" s="184"/>
    </row>
    <row r="9" spans="1:6" ht="15" customHeight="1" x14ac:dyDescent="0.25">
      <c r="A9" s="228"/>
      <c r="B9" s="228"/>
      <c r="C9" s="228"/>
      <c r="D9" s="228"/>
      <c r="E9" s="184"/>
      <c r="F9" s="184"/>
    </row>
    <row r="10" spans="1:6" x14ac:dyDescent="0.25">
      <c r="A10" s="186">
        <v>1</v>
      </c>
      <c r="B10" s="186">
        <v>2</v>
      </c>
      <c r="C10" s="186">
        <v>3</v>
      </c>
      <c r="D10" s="186">
        <v>4</v>
      </c>
      <c r="E10" s="184"/>
      <c r="F10" s="184"/>
    </row>
    <row r="11" spans="1:6" ht="41.45" customHeight="1" x14ac:dyDescent="0.25">
      <c r="A11" s="186" t="s">
        <v>279</v>
      </c>
      <c r="B11" s="186" t="s">
        <v>280</v>
      </c>
      <c r="C11" s="208" t="str">
        <f>D5</f>
        <v>ОПН на три фазы без устройства фундамента напряжение 35(20) кВ</v>
      </c>
      <c r="D11" s="187">
        <f>'Прил.4 РМ'!C41/1000</f>
        <v>433.27730000000003</v>
      </c>
      <c r="E11" s="188"/>
      <c r="F11" s="184"/>
    </row>
    <row r="12" spans="1:6" x14ac:dyDescent="0.25">
      <c r="A12" s="189"/>
      <c r="B12" s="190"/>
      <c r="C12" s="189"/>
      <c r="D12" s="214"/>
      <c r="E12" s="214"/>
      <c r="F12" s="214"/>
    </row>
    <row r="13" spans="1:6" s="184" customFormat="1" x14ac:dyDescent="0.25">
      <c r="B13" s="203" t="s">
        <v>430</v>
      </c>
      <c r="C13" s="191"/>
    </row>
    <row r="14" spans="1:6" s="184" customFormat="1" x14ac:dyDescent="0.25">
      <c r="B14" s="179" t="s">
        <v>75</v>
      </c>
      <c r="C14" s="191"/>
    </row>
    <row r="15" spans="1:6" s="184" customFormat="1" x14ac:dyDescent="0.25">
      <c r="B15" s="203"/>
      <c r="C15" s="191"/>
    </row>
    <row r="16" spans="1:6" s="184" customFormat="1" x14ac:dyDescent="0.25">
      <c r="B16" s="203" t="s">
        <v>264</v>
      </c>
      <c r="C16" s="191"/>
    </row>
    <row r="17" spans="2:3" s="184" customFormat="1" x14ac:dyDescent="0.25">
      <c r="B17" s="179" t="s">
        <v>76</v>
      </c>
      <c r="C17" s="191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22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9.28515625" customWidth="1"/>
    <col min="4" max="4" width="32" customWidth="1"/>
    <col min="5" max="5" width="9.140625" customWidth="1"/>
  </cols>
  <sheetData>
    <row r="4" spans="2:5" ht="15.75" customHeight="1" x14ac:dyDescent="0.25">
      <c r="B4" s="221" t="s">
        <v>281</v>
      </c>
      <c r="C4" s="221"/>
      <c r="D4" s="221"/>
    </row>
    <row r="5" spans="2:5" ht="18.75" customHeight="1" x14ac:dyDescent="0.25">
      <c r="B5" s="130"/>
    </row>
    <row r="6" spans="2:5" ht="15.75" customHeight="1" x14ac:dyDescent="0.25">
      <c r="B6" s="220" t="s">
        <v>282</v>
      </c>
      <c r="C6" s="220"/>
      <c r="D6" s="220"/>
    </row>
    <row r="7" spans="2:5" x14ac:dyDescent="0.25">
      <c r="B7" s="258"/>
      <c r="C7" s="258"/>
      <c r="D7" s="258"/>
      <c r="E7" s="258"/>
    </row>
    <row r="8" spans="2:5" x14ac:dyDescent="0.25">
      <c r="B8" s="134"/>
      <c r="C8" s="134"/>
      <c r="D8" s="134"/>
      <c r="E8" s="134"/>
    </row>
    <row r="9" spans="2:5" ht="47.25" customHeight="1" x14ac:dyDescent="0.25">
      <c r="B9" s="121" t="s">
        <v>283</v>
      </c>
      <c r="C9" s="121" t="s">
        <v>284</v>
      </c>
      <c r="D9" s="121" t="s">
        <v>285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286</v>
      </c>
      <c r="C11" s="121" t="s">
        <v>287</v>
      </c>
      <c r="D11" s="121">
        <v>44.29</v>
      </c>
    </row>
    <row r="12" spans="2:5" ht="31.5" customHeight="1" x14ac:dyDescent="0.25">
      <c r="B12" s="121" t="s">
        <v>288</v>
      </c>
      <c r="C12" s="121" t="s">
        <v>287</v>
      </c>
      <c r="D12" s="121">
        <v>13.47</v>
      </c>
    </row>
    <row r="13" spans="2:5" ht="31.5" customHeight="1" x14ac:dyDescent="0.25">
      <c r="B13" s="121" t="s">
        <v>289</v>
      </c>
      <c r="C13" s="121" t="s">
        <v>287</v>
      </c>
      <c r="D13" s="121">
        <v>8.0399999999999991</v>
      </c>
    </row>
    <row r="14" spans="2:5" ht="31.5" customHeight="1" x14ac:dyDescent="0.25">
      <c r="B14" s="121" t="s">
        <v>290</v>
      </c>
      <c r="C14" s="115" t="s">
        <v>291</v>
      </c>
      <c r="D14" s="121">
        <v>6.26</v>
      </c>
    </row>
    <row r="15" spans="2:5" ht="89.25" customHeight="1" x14ac:dyDescent="0.25">
      <c r="B15" s="121" t="s">
        <v>292</v>
      </c>
      <c r="C15" s="121" t="s">
        <v>293</v>
      </c>
      <c r="D15" s="132">
        <v>3.9E-2</v>
      </c>
    </row>
    <row r="16" spans="2:5" ht="78.75" customHeight="1" x14ac:dyDescent="0.25">
      <c r="B16" s="121" t="s">
        <v>294</v>
      </c>
      <c r="C16" s="121" t="s">
        <v>295</v>
      </c>
      <c r="D16" s="132">
        <v>2.1000000000000001E-2</v>
      </c>
    </row>
    <row r="17" spans="2:4" ht="15.75" customHeight="1" x14ac:dyDescent="0.25">
      <c r="B17" s="121" t="s">
        <v>224</v>
      </c>
      <c r="C17" s="121"/>
      <c r="D17" s="121" t="s">
        <v>296</v>
      </c>
    </row>
    <row r="18" spans="2:4" ht="31.5" customHeight="1" x14ac:dyDescent="0.25">
      <c r="B18" s="121" t="s">
        <v>103</v>
      </c>
      <c r="C18" s="121" t="s">
        <v>297</v>
      </c>
      <c r="D18" s="132">
        <v>2.1399999999999999E-2</v>
      </c>
    </row>
    <row r="19" spans="2:4" ht="31.5" customHeight="1" x14ac:dyDescent="0.25">
      <c r="B19" s="121" t="s">
        <v>230</v>
      </c>
      <c r="C19" s="121" t="s">
        <v>298</v>
      </c>
      <c r="D19" s="132">
        <v>2E-3</v>
      </c>
    </row>
    <row r="20" spans="2:4" ht="24" customHeight="1" x14ac:dyDescent="0.25">
      <c r="B20" s="121" t="s">
        <v>106</v>
      </c>
      <c r="C20" s="121" t="s">
        <v>299</v>
      </c>
      <c r="D20" s="132">
        <v>0.03</v>
      </c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4" spans="2:4" ht="18.75" customHeight="1" x14ac:dyDescent="0.25">
      <c r="B24" s="131"/>
    </row>
    <row r="27" spans="2:4" s="184" customFormat="1" x14ac:dyDescent="0.25">
      <c r="B27" s="203" t="s">
        <v>430</v>
      </c>
      <c r="C27" s="191"/>
    </row>
    <row r="28" spans="2:4" s="184" customFormat="1" x14ac:dyDescent="0.25">
      <c r="B28" s="179" t="s">
        <v>75</v>
      </c>
      <c r="C28" s="191"/>
    </row>
    <row r="29" spans="2:4" s="184" customFormat="1" x14ac:dyDescent="0.25">
      <c r="B29" s="203"/>
      <c r="C29" s="191"/>
    </row>
    <row r="30" spans="2:4" s="184" customFormat="1" x14ac:dyDescent="0.25">
      <c r="B30" s="203" t="s">
        <v>264</v>
      </c>
      <c r="C30" s="191"/>
    </row>
    <row r="31" spans="2:4" s="184" customFormat="1" x14ac:dyDescent="0.25">
      <c r="B31" s="179" t="s">
        <v>76</v>
      </c>
      <c r="C31" s="19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tabSelected="1"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0" t="s">
        <v>300</v>
      </c>
      <c r="B2" s="220"/>
      <c r="C2" s="220"/>
      <c r="D2" s="220"/>
      <c r="E2" s="220"/>
      <c r="F2" s="220"/>
    </row>
    <row r="4" spans="1:7" ht="18" customHeight="1" x14ac:dyDescent="0.25">
      <c r="A4" s="116" t="s">
        <v>301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302</v>
      </c>
      <c r="C5" s="118" t="s">
        <v>303</v>
      </c>
      <c r="D5" s="118" t="s">
        <v>304</v>
      </c>
      <c r="E5" s="118" t="s">
        <v>305</v>
      </c>
      <c r="F5" s="118" t="s">
        <v>306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307</v>
      </c>
      <c r="B7" s="120" t="s">
        <v>308</v>
      </c>
      <c r="C7" s="121" t="s">
        <v>309</v>
      </c>
      <c r="D7" s="121" t="s">
        <v>310</v>
      </c>
      <c r="E7" s="60">
        <v>47872.94</v>
      </c>
      <c r="F7" s="120" t="s">
        <v>311</v>
      </c>
      <c r="G7" s="117"/>
    </row>
    <row r="8" spans="1:7" ht="31.5" customHeight="1" x14ac:dyDescent="0.25">
      <c r="A8" s="119" t="s">
        <v>312</v>
      </c>
      <c r="B8" s="120" t="s">
        <v>313</v>
      </c>
      <c r="C8" s="121" t="s">
        <v>314</v>
      </c>
      <c r="D8" s="121" t="s">
        <v>315</v>
      </c>
      <c r="E8" s="122">
        <f>1973/12</f>
        <v>164.41666666667001</v>
      </c>
      <c r="F8" s="120" t="s">
        <v>316</v>
      </c>
      <c r="G8" s="123"/>
    </row>
    <row r="9" spans="1:7" ht="15.75" customHeight="1" x14ac:dyDescent="0.25">
      <c r="A9" s="119" t="s">
        <v>317</v>
      </c>
      <c r="B9" s="120" t="s">
        <v>318</v>
      </c>
      <c r="C9" s="121" t="s">
        <v>319</v>
      </c>
      <c r="D9" s="121" t="s">
        <v>310</v>
      </c>
      <c r="E9" s="122">
        <v>1</v>
      </c>
      <c r="F9" s="120"/>
      <c r="G9" s="123"/>
    </row>
    <row r="10" spans="1:7" ht="15.75" customHeight="1" x14ac:dyDescent="0.25">
      <c r="A10" s="119" t="s">
        <v>320</v>
      </c>
      <c r="B10" s="120" t="s">
        <v>321</v>
      </c>
      <c r="C10" s="121"/>
      <c r="D10" s="121"/>
      <c r="E10" s="124">
        <v>4.5999999999999996</v>
      </c>
      <c r="F10" s="120" t="s">
        <v>322</v>
      </c>
      <c r="G10" s="123"/>
    </row>
    <row r="11" spans="1:7" ht="78.75" customHeight="1" x14ac:dyDescent="0.25">
      <c r="A11" s="119" t="s">
        <v>323</v>
      </c>
      <c r="B11" s="120" t="s">
        <v>324</v>
      </c>
      <c r="C11" s="121" t="s">
        <v>325</v>
      </c>
      <c r="D11" s="121" t="s">
        <v>310</v>
      </c>
      <c r="E11" s="156">
        <v>1.4610000000000001</v>
      </c>
      <c r="F11" s="120" t="s">
        <v>326</v>
      </c>
      <c r="G11" s="117"/>
    </row>
    <row r="12" spans="1:7" ht="78.75" customHeight="1" x14ac:dyDescent="0.25">
      <c r="A12" s="119" t="s">
        <v>327</v>
      </c>
      <c r="B12" s="125" t="s">
        <v>328</v>
      </c>
      <c r="C12" s="121" t="s">
        <v>329</v>
      </c>
      <c r="D12" s="121" t="s">
        <v>310</v>
      </c>
      <c r="E12" s="126">
        <v>1.139</v>
      </c>
      <c r="F12" s="127" t="s">
        <v>330</v>
      </c>
      <c r="G12" s="123" t="s">
        <v>331</v>
      </c>
    </row>
    <row r="13" spans="1:7" ht="63" customHeight="1" x14ac:dyDescent="0.25">
      <c r="A13" s="119" t="s">
        <v>332</v>
      </c>
      <c r="B13" s="128" t="s">
        <v>333</v>
      </c>
      <c r="C13" s="121" t="s">
        <v>334</v>
      </c>
      <c r="D13" s="121" t="s">
        <v>335</v>
      </c>
      <c r="E13" s="129">
        <f>((E7*E9/E8)*E11)*E12</f>
        <v>484.52724250740999</v>
      </c>
      <c r="F13" s="120" t="s">
        <v>336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59" t="s">
        <v>337</v>
      </c>
      <c r="B1" s="259"/>
      <c r="C1" s="259"/>
      <c r="D1" s="259"/>
      <c r="E1" s="259"/>
      <c r="F1" s="259"/>
      <c r="G1" s="259"/>
      <c r="H1" s="259"/>
      <c r="I1" s="259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4" t="e">
        <f>#REF!</f>
        <v>#REF!</v>
      </c>
      <c r="B3" s="214"/>
      <c r="C3" s="214"/>
      <c r="D3" s="214"/>
      <c r="E3" s="214"/>
      <c r="F3" s="214"/>
      <c r="G3" s="214"/>
      <c r="H3" s="214"/>
      <c r="I3" s="214"/>
    </row>
    <row r="4" spans="1:13" s="4" customFormat="1" ht="15.75" customHeight="1" x14ac:dyDescent="0.2">
      <c r="A4" s="222"/>
      <c r="B4" s="222"/>
      <c r="C4" s="222"/>
      <c r="D4" s="222"/>
      <c r="E4" s="222"/>
      <c r="F4" s="222"/>
      <c r="G4" s="222"/>
      <c r="H4" s="222"/>
      <c r="I4" s="222"/>
    </row>
    <row r="5" spans="1:13" s="35" customFormat="1" ht="36.6" customHeight="1" x14ac:dyDescent="0.35">
      <c r="A5" s="260" t="s">
        <v>13</v>
      </c>
      <c r="B5" s="260" t="s">
        <v>338</v>
      </c>
      <c r="C5" s="260" t="s">
        <v>339</v>
      </c>
      <c r="D5" s="260" t="s">
        <v>340</v>
      </c>
      <c r="E5" s="257" t="s">
        <v>341</v>
      </c>
      <c r="F5" s="257"/>
      <c r="G5" s="257"/>
      <c r="H5" s="257"/>
      <c r="I5" s="257"/>
    </row>
    <row r="6" spans="1:13" s="30" customFormat="1" ht="31.5" customHeight="1" x14ac:dyDescent="0.2">
      <c r="A6" s="260"/>
      <c r="B6" s="260"/>
      <c r="C6" s="260"/>
      <c r="D6" s="260"/>
      <c r="E6" s="36" t="s">
        <v>119</v>
      </c>
      <c r="F6" s="36" t="s">
        <v>120</v>
      </c>
      <c r="G6" s="36" t="s">
        <v>43</v>
      </c>
      <c r="H6" s="36" t="s">
        <v>342</v>
      </c>
      <c r="I6" s="36" t="s">
        <v>343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344</v>
      </c>
      <c r="C9" s="8" t="s">
        <v>345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346</v>
      </c>
      <c r="C11" s="8" t="s">
        <v>294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347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348</v>
      </c>
      <c r="C12" s="8" t="s">
        <v>349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350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297</v>
      </c>
      <c r="C14" s="8" t="s">
        <v>351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352</v>
      </c>
      <c r="C16" s="8" t="s">
        <v>353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354</v>
      </c>
    </row>
    <row r="17" spans="1:10" s="30" customFormat="1" ht="81.75" customHeight="1" x14ac:dyDescent="0.2">
      <c r="A17" s="37">
        <v>7</v>
      </c>
      <c r="B17" s="8" t="s">
        <v>352</v>
      </c>
      <c r="C17" s="8" t="s">
        <v>355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356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357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358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359</v>
      </c>
      <c r="O2" s="262"/>
    </row>
    <row r="3" spans="1:16" x14ac:dyDescent="0.25">
      <c r="A3" s="263" t="s">
        <v>360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361</v>
      </c>
      <c r="B5" s="267" t="s">
        <v>362</v>
      </c>
      <c r="C5" s="270" t="s">
        <v>363</v>
      </c>
      <c r="D5" s="273" t="s">
        <v>364</v>
      </c>
      <c r="E5" s="274"/>
      <c r="F5" s="274"/>
      <c r="G5" s="274"/>
      <c r="H5" s="274"/>
      <c r="I5" s="273" t="s">
        <v>365</v>
      </c>
      <c r="J5" s="274"/>
      <c r="K5" s="274"/>
      <c r="L5" s="274"/>
      <c r="M5" s="274"/>
      <c r="N5" s="274"/>
      <c r="O5" s="53" t="s">
        <v>366</v>
      </c>
    </row>
    <row r="6" spans="1:16" s="56" customFormat="1" ht="150" customHeight="1" x14ac:dyDescent="0.25">
      <c r="A6" s="265"/>
      <c r="B6" s="268"/>
      <c r="C6" s="271"/>
      <c r="D6" s="270" t="s">
        <v>367</v>
      </c>
      <c r="E6" s="275" t="s">
        <v>368</v>
      </c>
      <c r="F6" s="276"/>
      <c r="G6" s="277"/>
      <c r="H6" s="54" t="s">
        <v>369</v>
      </c>
      <c r="I6" s="278" t="s">
        <v>370</v>
      </c>
      <c r="J6" s="278" t="s">
        <v>367</v>
      </c>
      <c r="K6" s="279" t="s">
        <v>368</v>
      </c>
      <c r="L6" s="279"/>
      <c r="M6" s="279"/>
      <c r="N6" s="54" t="s">
        <v>369</v>
      </c>
      <c r="O6" s="55" t="s">
        <v>371</v>
      </c>
    </row>
    <row r="7" spans="1:16" s="56" customFormat="1" ht="30.75" customHeight="1" x14ac:dyDescent="0.25">
      <c r="A7" s="266"/>
      <c r="B7" s="269"/>
      <c r="C7" s="272"/>
      <c r="D7" s="272"/>
      <c r="E7" s="53" t="s">
        <v>119</v>
      </c>
      <c r="F7" s="53" t="s">
        <v>120</v>
      </c>
      <c r="G7" s="53" t="s">
        <v>43</v>
      </c>
      <c r="H7" s="57" t="s">
        <v>372</v>
      </c>
      <c r="I7" s="278"/>
      <c r="J7" s="278"/>
      <c r="K7" s="53" t="s">
        <v>119</v>
      </c>
      <c r="L7" s="53" t="s">
        <v>120</v>
      </c>
      <c r="M7" s="53" t="s">
        <v>43</v>
      </c>
      <c r="N7" s="57" t="s">
        <v>372</v>
      </c>
      <c r="O7" s="53" t="s">
        <v>373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64" t="s">
        <v>374</v>
      </c>
      <c r="C9" s="59" t="s">
        <v>375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66"/>
      <c r="C10" s="62" t="s">
        <v>376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64" t="s">
        <v>377</v>
      </c>
      <c r="C11" s="62" t="s">
        <v>378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66"/>
      <c r="C12" s="62" t="s">
        <v>379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64" t="s">
        <v>380</v>
      </c>
      <c r="C13" s="59" t="s">
        <v>381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66"/>
      <c r="C14" s="62" t="s">
        <v>382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383</v>
      </c>
      <c r="C15" s="62" t="s">
        <v>384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385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386</v>
      </c>
    </row>
    <row r="19" spans="1:15" ht="30.75" customHeight="1" x14ac:dyDescent="0.25">
      <c r="L19" s="74"/>
    </row>
    <row r="20" spans="1:15" ht="15" customHeight="1" outlineLevel="1" x14ac:dyDescent="0.25">
      <c r="G20" s="261" t="s">
        <v>387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5"/>
      <c r="H21" s="75" t="s">
        <v>388</v>
      </c>
      <c r="I21" s="75" t="s">
        <v>389</v>
      </c>
      <c r="J21" s="75" t="s">
        <v>390</v>
      </c>
      <c r="K21" s="76" t="s">
        <v>391</v>
      </c>
      <c r="L21" s="75" t="s">
        <v>392</v>
      </c>
      <c r="M21" s="75" t="s">
        <v>393</v>
      </c>
      <c r="N21" s="75" t="s">
        <v>394</v>
      </c>
      <c r="O21" s="69"/>
    </row>
    <row r="22" spans="1:15" ht="15.75" customHeight="1" outlineLevel="1" x14ac:dyDescent="0.25">
      <c r="G22" s="281" t="s">
        <v>395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7">
        <v>6.29</v>
      </c>
      <c r="O22" t="s">
        <v>396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7">
        <v>6.56</v>
      </c>
      <c r="O23" t="s">
        <v>397</v>
      </c>
    </row>
    <row r="24" spans="1:15" ht="15.75" customHeight="1" outlineLevel="1" x14ac:dyDescent="0.25">
      <c r="G24" s="78" t="s">
        <v>398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372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399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400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342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98" t="s">
        <v>401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361</v>
      </c>
      <c r="B4" s="267" t="s">
        <v>362</v>
      </c>
      <c r="C4" s="270" t="s">
        <v>402</v>
      </c>
      <c r="D4" s="270" t="s">
        <v>403</v>
      </c>
      <c r="E4" s="273" t="s">
        <v>404</v>
      </c>
      <c r="F4" s="274"/>
      <c r="G4" s="274"/>
      <c r="H4" s="274"/>
      <c r="I4" s="274"/>
      <c r="J4" s="274"/>
      <c r="K4" s="274"/>
      <c r="L4" s="274"/>
      <c r="M4" s="274"/>
      <c r="N4" s="299" t="s">
        <v>405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406</v>
      </c>
      <c r="F5" s="278" t="s">
        <v>407</v>
      </c>
      <c r="G5" s="275" t="s">
        <v>368</v>
      </c>
      <c r="H5" s="276"/>
      <c r="I5" s="276"/>
      <c r="J5" s="277"/>
      <c r="K5" s="278" t="s">
        <v>408</v>
      </c>
      <c r="L5" s="278"/>
      <c r="M5" s="278"/>
      <c r="N5" s="80" t="s">
        <v>409</v>
      </c>
      <c r="O5" s="80" t="s">
        <v>410</v>
      </c>
      <c r="P5" s="80" t="s">
        <v>411</v>
      </c>
      <c r="Q5" s="81" t="s">
        <v>412</v>
      </c>
      <c r="R5" s="80" t="s">
        <v>413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53" t="s">
        <v>119</v>
      </c>
      <c r="H6" s="53" t="s">
        <v>120</v>
      </c>
      <c r="I6" s="53" t="s">
        <v>43</v>
      </c>
      <c r="J6" s="53" t="s">
        <v>342</v>
      </c>
      <c r="K6" s="53" t="s">
        <v>409</v>
      </c>
      <c r="L6" s="53" t="s">
        <v>410</v>
      </c>
      <c r="M6" s="53" t="s">
        <v>411</v>
      </c>
      <c r="N6" s="53" t="s">
        <v>414</v>
      </c>
      <c r="O6" s="53" t="s">
        <v>415</v>
      </c>
      <c r="P6" s="53" t="s">
        <v>416</v>
      </c>
      <c r="Q6" s="54" t="s">
        <v>417</v>
      </c>
      <c r="R6" s="53" t="s">
        <v>418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64">
        <v>1</v>
      </c>
      <c r="B9" s="264" t="s">
        <v>419</v>
      </c>
      <c r="C9" s="291" t="s">
        <v>375</v>
      </c>
      <c r="D9" s="59" t="s">
        <v>420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9" t="s">
        <v>421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64">
        <v>2</v>
      </c>
      <c r="B11" s="265"/>
      <c r="C11" s="291" t="s">
        <v>422</v>
      </c>
      <c r="D11" s="59" t="s">
        <v>420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9" t="s">
        <v>421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64">
        <v>3</v>
      </c>
      <c r="B13" s="264" t="s">
        <v>377</v>
      </c>
      <c r="C13" s="294" t="s">
        <v>378</v>
      </c>
      <c r="D13" s="59" t="s">
        <v>423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9" t="s">
        <v>421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64">
        <v>4</v>
      </c>
      <c r="B15" s="265"/>
      <c r="C15" s="296" t="s">
        <v>379</v>
      </c>
      <c r="D15" s="62" t="s">
        <v>423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62" t="s">
        <v>421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64">
        <v>5</v>
      </c>
      <c r="B17" s="279" t="s">
        <v>380</v>
      </c>
      <c r="C17" s="291" t="s">
        <v>424</v>
      </c>
      <c r="D17" s="59" t="s">
        <v>425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9" t="s">
        <v>421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64">
        <v>6</v>
      </c>
      <c r="B19" s="279"/>
      <c r="C19" s="291" t="s">
        <v>382</v>
      </c>
      <c r="D19" s="62" t="s">
        <v>423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62" t="s">
        <v>421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64">
        <v>7</v>
      </c>
      <c r="B21" s="264" t="s">
        <v>383</v>
      </c>
      <c r="C21" s="291" t="s">
        <v>384</v>
      </c>
      <c r="D21" s="62" t="s">
        <v>426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5" t="s">
        <v>421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427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93" t="s">
        <v>428</v>
      </c>
      <c r="E26" s="293"/>
      <c r="F26" s="293"/>
      <c r="G26" s="293"/>
      <c r="H26" s="293"/>
      <c r="I26" s="293"/>
      <c r="J26" s="293"/>
      <c r="K26" s="293"/>
      <c r="L26" s="74"/>
      <c r="R26" s="92"/>
    </row>
    <row r="27" spans="1:18" outlineLevel="1" x14ac:dyDescent="0.25">
      <c r="D27" s="93"/>
      <c r="E27" s="93" t="s">
        <v>388</v>
      </c>
      <c r="F27" s="93" t="s">
        <v>389</v>
      </c>
      <c r="G27" s="93" t="s">
        <v>390</v>
      </c>
      <c r="H27" s="94" t="s">
        <v>391</v>
      </c>
      <c r="I27" s="94" t="s">
        <v>392</v>
      </c>
      <c r="J27" s="94" t="s">
        <v>393</v>
      </c>
      <c r="K27" s="65" t="s">
        <v>394</v>
      </c>
    </row>
    <row r="28" spans="1:18" outlineLevel="1" x14ac:dyDescent="0.25">
      <c r="D28" s="287" t="s">
        <v>395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5">
        <v>6.29</v>
      </c>
      <c r="L28" t="s">
        <v>396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5">
        <v>6.56</v>
      </c>
      <c r="L29" t="s">
        <v>397</v>
      </c>
    </row>
    <row r="30" spans="1:18" outlineLevel="1" x14ac:dyDescent="0.25">
      <c r="D30" s="96" t="s">
        <v>398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87" t="s">
        <v>372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5">
        <v>8.2899999999999991</v>
      </c>
      <c r="L31" t="s">
        <v>396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5">
        <v>11.84</v>
      </c>
      <c r="L32" t="s">
        <v>397</v>
      </c>
    </row>
    <row r="33" spans="4:12" ht="15" customHeight="1" outlineLevel="1" x14ac:dyDescent="0.25">
      <c r="D33" s="97" t="s">
        <v>399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429</v>
      </c>
    </row>
    <row r="34" spans="4:12" outlineLevel="1" x14ac:dyDescent="0.25">
      <c r="D34" s="97" t="s">
        <v>400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429</v>
      </c>
    </row>
    <row r="35" spans="4:12" outlineLevel="1" x14ac:dyDescent="0.25">
      <c r="D35" s="96" t="s">
        <v>342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1" t="s">
        <v>10</v>
      </c>
      <c r="B2" s="211"/>
      <c r="C2" s="211"/>
      <c r="D2" s="211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4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4"/>
    </row>
    <row r="5" spans="1:4" x14ac:dyDescent="0.25">
      <c r="A5" s="5"/>
      <c r="B5" s="1"/>
      <c r="C5" s="1"/>
    </row>
    <row r="6" spans="1:4" x14ac:dyDescent="0.25">
      <c r="A6" s="211" t="s">
        <v>12</v>
      </c>
      <c r="B6" s="211"/>
      <c r="C6" s="211"/>
      <c r="D6" s="211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111.58643599861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49.12623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111.58643599861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5" t="s">
        <v>5</v>
      </c>
      <c r="B15" s="216" t="s">
        <v>15</v>
      </c>
      <c r="C15" s="216"/>
      <c r="D15" s="216"/>
    </row>
    <row r="16" spans="1:4" x14ac:dyDescent="0.25">
      <c r="A16" s="215"/>
      <c r="B16" s="215" t="s">
        <v>17</v>
      </c>
      <c r="C16" s="216" t="s">
        <v>28</v>
      </c>
      <c r="D16" s="216"/>
    </row>
    <row r="17" spans="1:4" ht="39" customHeight="1" x14ac:dyDescent="0.25">
      <c r="A17" s="215"/>
      <c r="B17" s="215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111.58643599861</v>
      </c>
      <c r="C18" s="3">
        <f>C11</f>
        <v>0</v>
      </c>
      <c r="D18" s="3">
        <f>C12</f>
        <v>49.12623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7" t="s">
        <v>29</v>
      </c>
      <c r="B2" s="217"/>
      <c r="C2" s="217"/>
      <c r="D2" s="217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19" zoomScale="80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6.5703125" style="117" customWidth="1"/>
    <col min="5" max="5" width="37.42578125" style="117" customWidth="1"/>
    <col min="6" max="6" width="9.140625" style="117"/>
  </cols>
  <sheetData>
    <row r="3" spans="2:5" x14ac:dyDescent="0.25">
      <c r="B3" s="221" t="s">
        <v>45</v>
      </c>
      <c r="C3" s="221"/>
      <c r="D3" s="221"/>
    </row>
    <row r="4" spans="2:5" x14ac:dyDescent="0.25">
      <c r="B4" s="220" t="s">
        <v>46</v>
      </c>
      <c r="C4" s="220"/>
      <c r="D4" s="220"/>
    </row>
    <row r="5" spans="2:5" x14ac:dyDescent="0.25">
      <c r="B5" s="146"/>
      <c r="C5" s="146"/>
      <c r="D5" s="146"/>
    </row>
    <row r="6" spans="2:5" x14ac:dyDescent="0.25">
      <c r="B6" s="146"/>
      <c r="C6" s="146"/>
      <c r="D6" s="146"/>
    </row>
    <row r="7" spans="2:5" ht="36.75" customHeight="1" x14ac:dyDescent="0.25">
      <c r="B7" s="219" t="s">
        <v>47</v>
      </c>
      <c r="C7" s="219"/>
      <c r="D7" s="219"/>
      <c r="E7" s="145"/>
    </row>
    <row r="8" spans="2:5" x14ac:dyDescent="0.25">
      <c r="B8" s="218" t="s">
        <v>48</v>
      </c>
      <c r="C8" s="218"/>
      <c r="D8" s="218"/>
    </row>
    <row r="9" spans="2:5" x14ac:dyDescent="0.25">
      <c r="B9" s="218" t="s">
        <v>49</v>
      </c>
      <c r="C9" s="218"/>
      <c r="D9" s="218"/>
      <c r="E9" s="145"/>
    </row>
    <row r="10" spans="2:5" x14ac:dyDescent="0.25">
      <c r="B10" s="137"/>
    </row>
    <row r="11" spans="2:5" x14ac:dyDescent="0.25">
      <c r="B11" s="121" t="s">
        <v>33</v>
      </c>
      <c r="C11" s="121" t="s">
        <v>50</v>
      </c>
      <c r="D11" s="204" t="s">
        <v>51</v>
      </c>
      <c r="E11" s="145"/>
    </row>
    <row r="12" spans="2:5" ht="31.5" customHeight="1" x14ac:dyDescent="0.25">
      <c r="B12" s="121">
        <v>1</v>
      </c>
      <c r="C12" s="125" t="s">
        <v>52</v>
      </c>
      <c r="D12" s="180" t="s">
        <v>53</v>
      </c>
    </row>
    <row r="13" spans="2:5" ht="31.5" customHeight="1" x14ac:dyDescent="0.25">
      <c r="B13" s="121">
        <v>2</v>
      </c>
      <c r="C13" s="125" t="s">
        <v>54</v>
      </c>
      <c r="D13" s="180" t="s">
        <v>55</v>
      </c>
    </row>
    <row r="14" spans="2:5" x14ac:dyDescent="0.25">
      <c r="B14" s="121">
        <v>3</v>
      </c>
      <c r="C14" s="125" t="s">
        <v>56</v>
      </c>
      <c r="D14" s="180" t="s">
        <v>57</v>
      </c>
    </row>
    <row r="15" spans="2:5" x14ac:dyDescent="0.25">
      <c r="B15" s="121">
        <v>4</v>
      </c>
      <c r="C15" s="125" t="s">
        <v>58</v>
      </c>
      <c r="D15" s="180">
        <v>9</v>
      </c>
    </row>
    <row r="16" spans="2:5" ht="94.5" customHeight="1" x14ac:dyDescent="0.25">
      <c r="B16" s="121">
        <v>5</v>
      </c>
      <c r="C16" s="115" t="s">
        <v>59</v>
      </c>
      <c r="D16" s="180" t="s">
        <v>60</v>
      </c>
    </row>
    <row r="17" spans="2:5" ht="78.75" customHeight="1" x14ac:dyDescent="0.25">
      <c r="B17" s="121">
        <v>6</v>
      </c>
      <c r="C17" s="115" t="s">
        <v>61</v>
      </c>
      <c r="D17" s="205">
        <f>SUM(D18:D21)</f>
        <v>86.85</v>
      </c>
      <c r="E17" s="141"/>
    </row>
    <row r="18" spans="2:5" x14ac:dyDescent="0.25">
      <c r="B18" s="144" t="s">
        <v>62</v>
      </c>
      <c r="C18" s="125" t="s">
        <v>63</v>
      </c>
      <c r="D18" s="205">
        <v>4.4400000000000004</v>
      </c>
    </row>
    <row r="19" spans="2:5" ht="15.75" customHeight="1" x14ac:dyDescent="0.25">
      <c r="B19" s="144" t="s">
        <v>64</v>
      </c>
      <c r="C19" s="125" t="s">
        <v>65</v>
      </c>
      <c r="D19" s="205">
        <v>67.28</v>
      </c>
    </row>
    <row r="20" spans="2:5" ht="16.5" customHeight="1" x14ac:dyDescent="0.25">
      <c r="B20" s="144" t="s">
        <v>66</v>
      </c>
      <c r="C20" s="125" t="s">
        <v>67</v>
      </c>
      <c r="D20" s="205"/>
    </row>
    <row r="21" spans="2:5" x14ac:dyDescent="0.25">
      <c r="B21" s="144" t="s">
        <v>68</v>
      </c>
      <c r="C21" s="143" t="s">
        <v>69</v>
      </c>
      <c r="D21" s="205">
        <v>15.13</v>
      </c>
    </row>
    <row r="22" spans="2:5" x14ac:dyDescent="0.25">
      <c r="B22" s="121">
        <v>7</v>
      </c>
      <c r="C22" s="143" t="s">
        <v>70</v>
      </c>
      <c r="D22" s="206" t="s">
        <v>71</v>
      </c>
      <c r="E22" s="141"/>
    </row>
    <row r="23" spans="2:5" ht="123" customHeight="1" x14ac:dyDescent="0.25">
      <c r="B23" s="121">
        <v>8</v>
      </c>
      <c r="C23" s="142" t="s">
        <v>72</v>
      </c>
      <c r="D23" s="205">
        <f>D17/7.32*8.16</f>
        <v>96.816393442622996</v>
      </c>
    </row>
    <row r="24" spans="2:5" ht="60.75" customHeight="1" x14ac:dyDescent="0.25">
      <c r="B24" s="121">
        <v>9</v>
      </c>
      <c r="C24" s="115" t="s">
        <v>73</v>
      </c>
      <c r="D24" s="205">
        <f>D23/D15</f>
        <v>10.75737704918</v>
      </c>
      <c r="E24" s="141"/>
    </row>
    <row r="25" spans="2:5" x14ac:dyDescent="0.25">
      <c r="B25" s="121">
        <v>10</v>
      </c>
      <c r="C25" s="125" t="s">
        <v>74</v>
      </c>
      <c r="D25" s="125"/>
    </row>
    <row r="26" spans="2:5" x14ac:dyDescent="0.25">
      <c r="B26" s="140"/>
      <c r="C26" s="139"/>
      <c r="D26" s="139"/>
    </row>
    <row r="27" spans="2:5" ht="37.5" customHeight="1" x14ac:dyDescent="0.25">
      <c r="B27" s="138"/>
    </row>
    <row r="28" spans="2:5" s="184" customFormat="1" ht="15" x14ac:dyDescent="0.25">
      <c r="B28" s="203" t="s">
        <v>430</v>
      </c>
      <c r="C28" s="191"/>
    </row>
    <row r="29" spans="2:5" s="184" customFormat="1" ht="15" x14ac:dyDescent="0.25">
      <c r="B29" s="179" t="s">
        <v>75</v>
      </c>
      <c r="C29" s="191"/>
    </row>
    <row r="30" spans="2:5" s="184" customFormat="1" ht="15" x14ac:dyDescent="0.25">
      <c r="B30" s="203"/>
      <c r="C30" s="191"/>
    </row>
    <row r="31" spans="2:5" s="184" customFormat="1" ht="15" x14ac:dyDescent="0.25">
      <c r="B31" s="203" t="s">
        <v>264</v>
      </c>
      <c r="C31" s="191"/>
    </row>
    <row r="32" spans="2:5" s="184" customFormat="1" ht="15" x14ac:dyDescent="0.25">
      <c r="B32" s="179" t="s">
        <v>76</v>
      </c>
      <c r="C32" s="191"/>
    </row>
  </sheetData>
  <mergeCells count="5">
    <mergeCell ref="B8:D8"/>
    <mergeCell ref="B9:D9"/>
    <mergeCell ref="B7:D7"/>
    <mergeCell ref="B4:D4"/>
    <mergeCell ref="B3:D3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7" t="s">
        <v>77</v>
      </c>
      <c r="B1" s="217"/>
      <c r="C1" s="217"/>
      <c r="D1" s="217"/>
    </row>
    <row r="2" spans="1:10" x14ac:dyDescent="0.25">
      <c r="A2" s="222" t="str">
        <f>'4.1 Отдел 1'!A10</f>
        <v>И5-05-02</v>
      </c>
      <c r="B2" s="222"/>
      <c r="C2" s="222"/>
      <c r="D2" s="222"/>
    </row>
    <row r="3" spans="1:10" x14ac:dyDescent="0.25">
      <c r="A3" s="223"/>
      <c r="B3" s="223"/>
      <c r="C3" s="223"/>
      <c r="D3" s="223"/>
    </row>
    <row r="4" spans="1:10" ht="51.75" customHeight="1" x14ac:dyDescent="0.25">
      <c r="A4" s="214" t="e">
        <f>#REF!</f>
        <v>#REF!</v>
      </c>
      <c r="B4" s="214"/>
      <c r="C4" s="214"/>
      <c r="D4" s="214"/>
    </row>
    <row r="5" spans="1:10" ht="15" customHeight="1" x14ac:dyDescent="0.25">
      <c r="A5" s="214"/>
      <c r="B5" s="224"/>
      <c r="C5" s="224"/>
      <c r="D5" s="224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ОБ'!G15</f>
        <v>2376.81</v>
      </c>
      <c r="C8" s="27">
        <f t="shared" ref="C8:C15" si="0">B8/$B$21</f>
        <v>4.6536858199648999E-2</v>
      </c>
      <c r="D8" s="27">
        <f t="shared" ref="D8:D15" si="1">B8/$B$35</f>
        <v>2.1300169493984999E-2</v>
      </c>
      <c r="I8" s="28"/>
      <c r="J8" s="28"/>
    </row>
    <row r="9" spans="1:10" x14ac:dyDescent="0.25">
      <c r="A9" s="25" t="s">
        <v>83</v>
      </c>
      <c r="B9" s="26">
        <f>'Прил.5 Расчет СМР и ОБ'!G22</f>
        <v>5425.75</v>
      </c>
      <c r="C9" s="27">
        <f t="shared" si="0"/>
        <v>0.10623371593722</v>
      </c>
      <c r="D9" s="27">
        <f t="shared" si="1"/>
        <v>4.8623741330602002E-2</v>
      </c>
      <c r="I9" s="28"/>
      <c r="J9" s="28"/>
    </row>
    <row r="10" spans="1:10" x14ac:dyDescent="0.25">
      <c r="A10" s="25" t="s">
        <v>84</v>
      </c>
      <c r="B10" s="26">
        <f>'Прил.5 Расчет СМР и ОБ'!G32</f>
        <v>642.88</v>
      </c>
      <c r="C10" s="27">
        <f t="shared" si="0"/>
        <v>1.2587297848541E-2</v>
      </c>
      <c r="D10" s="27">
        <f t="shared" si="1"/>
        <v>5.7612737090020003E-3</v>
      </c>
      <c r="I10" s="28"/>
      <c r="J10" s="28"/>
    </row>
    <row r="11" spans="1:10" x14ac:dyDescent="0.25">
      <c r="A11" s="25" t="s">
        <v>85</v>
      </c>
      <c r="B11" s="26">
        <f>B9+B10</f>
        <v>6068.63</v>
      </c>
      <c r="C11" s="27">
        <f t="shared" si="0"/>
        <v>0.11882101378576</v>
      </c>
      <c r="D11" s="27">
        <f t="shared" si="1"/>
        <v>5.4385015039604002E-2</v>
      </c>
      <c r="I11" s="28"/>
      <c r="J11" s="28"/>
    </row>
    <row r="12" spans="1:10" x14ac:dyDescent="0.25">
      <c r="A12" s="25" t="s">
        <v>86</v>
      </c>
      <c r="B12" s="26">
        <f>'Прил.5 Расчет СМР и ОБ'!G17</f>
        <v>1595.42</v>
      </c>
      <c r="C12" s="27">
        <f t="shared" si="0"/>
        <v>3.1237597582004999E-2</v>
      </c>
      <c r="D12" s="27">
        <f t="shared" si="1"/>
        <v>1.4297615886038E-2</v>
      </c>
      <c r="I12" s="28"/>
      <c r="J12" s="28"/>
    </row>
    <row r="13" spans="1:10" x14ac:dyDescent="0.25">
      <c r="A13" s="25" t="s">
        <v>87</v>
      </c>
      <c r="B13" s="26">
        <f>'Прил.5 Расчет СМР и ОБ'!G45</f>
        <v>33332.9</v>
      </c>
      <c r="C13" s="27">
        <f t="shared" si="0"/>
        <v>0.65264301340161002</v>
      </c>
      <c r="D13" s="27">
        <f t="shared" si="1"/>
        <v>0.29871820622012002</v>
      </c>
      <c r="I13" s="28"/>
      <c r="J13" s="28"/>
    </row>
    <row r="14" spans="1:10" x14ac:dyDescent="0.25">
      <c r="A14" s="25" t="s">
        <v>88</v>
      </c>
      <c r="B14" s="26">
        <f>'Прил.5 Расчет СМР и ОБ'!G62</f>
        <v>3428.64</v>
      </c>
      <c r="C14" s="27">
        <f t="shared" si="0"/>
        <v>6.7131210949820996E-2</v>
      </c>
      <c r="D14" s="27">
        <f t="shared" si="1"/>
        <v>3.0726315159334001E-2</v>
      </c>
      <c r="I14" s="28"/>
      <c r="J14" s="28"/>
    </row>
    <row r="15" spans="1:10" x14ac:dyDescent="0.25">
      <c r="A15" s="25" t="s">
        <v>89</v>
      </c>
      <c r="B15" s="26">
        <f>B13+B14</f>
        <v>36761.54</v>
      </c>
      <c r="C15" s="27">
        <f t="shared" si="0"/>
        <v>0.71977422435143001</v>
      </c>
      <c r="D15" s="27">
        <f t="shared" si="1"/>
        <v>0.32944452137946001</v>
      </c>
      <c r="I15" s="28"/>
      <c r="J15" s="28"/>
    </row>
    <row r="16" spans="1:10" x14ac:dyDescent="0.25">
      <c r="A16" s="25" t="s">
        <v>90</v>
      </c>
      <c r="B16" s="26">
        <f>B8+B11+B15</f>
        <v>45206.98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ОБ'!G66</f>
        <v>2072.7600000000002</v>
      </c>
      <c r="C17" s="27">
        <f>B17/$B$21</f>
        <v>4.0583697561817997E-2</v>
      </c>
      <c r="D17" s="27">
        <f>B17/$B$35</f>
        <v>1.8575375953632001E-2</v>
      </c>
      <c r="I17" s="28"/>
      <c r="J17" s="28"/>
    </row>
    <row r="18" spans="1:10" x14ac:dyDescent="0.25">
      <c r="A18" s="25" t="s">
        <v>92</v>
      </c>
      <c r="B18" s="29">
        <f>B17/(B8+B12)</f>
        <v>0.52181268456258001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ОБ'!G65</f>
        <v>3793.97</v>
      </c>
      <c r="C19" s="27">
        <f>B19/$B$21</f>
        <v>7.4284206101338998E-2</v>
      </c>
      <c r="D19" s="27">
        <f>B19/$B$35</f>
        <v>3.4000279389220997E-2</v>
      </c>
      <c r="I19" s="28"/>
      <c r="J19" s="28"/>
    </row>
    <row r="20" spans="1:10" x14ac:dyDescent="0.25">
      <c r="A20" s="25" t="s">
        <v>94</v>
      </c>
      <c r="B20" s="29">
        <f>B19/(B8+B12)</f>
        <v>0.95512344451354003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51073.71</v>
      </c>
      <c r="C21" s="27">
        <f>B21/$B$21</f>
        <v>1</v>
      </c>
      <c r="D21" s="27">
        <f>B21/$B$35</f>
        <v>0.4577053612559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49126.23</v>
      </c>
      <c r="C22" s="27"/>
      <c r="D22" s="27">
        <f>B22/$B$35</f>
        <v>0.44025270240385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49126.23</v>
      </c>
      <c r="C23" s="27"/>
      <c r="D23" s="27">
        <f>B23/$B$35</f>
        <v>0.44025270240385</v>
      </c>
      <c r="J23" s="28"/>
    </row>
    <row r="24" spans="1:10" x14ac:dyDescent="0.25">
      <c r="A24" s="25" t="s">
        <v>98</v>
      </c>
      <c r="B24" s="26">
        <f>'Прил.5 Расчет СМР и ОБ'!G68</f>
        <v>100199.94</v>
      </c>
      <c r="C24" s="27"/>
      <c r="D24" s="27">
        <f>B24/$B$35</f>
        <v>0.89795806365973996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2.4950172259599998E-3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7.7922265311068997E-4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4.9023907530018999E-2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2.0617575338934001E-2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108336.34562971001</v>
      </c>
      <c r="C33" s="27"/>
      <c r="D33" s="27">
        <f>B33/$B$35</f>
        <v>0.97087378640777</v>
      </c>
      <c r="J33" s="28"/>
    </row>
    <row r="34" spans="1:10" x14ac:dyDescent="0.25">
      <c r="A34" s="25" t="s">
        <v>106</v>
      </c>
      <c r="B34" s="26">
        <f>B33*3%</f>
        <v>3250.0903688914</v>
      </c>
      <c r="C34" s="27"/>
      <c r="D34" s="27">
        <f>B34/$B$35</f>
        <v>2.9126213592233E-2</v>
      </c>
      <c r="J34" s="28"/>
    </row>
    <row r="35" spans="1:10" x14ac:dyDescent="0.25">
      <c r="A35" s="25" t="s">
        <v>107</v>
      </c>
      <c r="B35" s="26">
        <f>B33+B34</f>
        <v>111586.43599861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111586.43599861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2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2" x14ac:dyDescent="0.25">
      <c r="B3" s="221" t="s">
        <v>113</v>
      </c>
      <c r="C3" s="221"/>
      <c r="D3" s="221"/>
      <c r="E3" s="221"/>
      <c r="F3" s="221"/>
      <c r="G3" s="221"/>
      <c r="H3" s="221"/>
      <c r="I3" s="221"/>
      <c r="J3" s="221"/>
      <c r="K3" s="138"/>
    </row>
    <row r="4" spans="2:12" x14ac:dyDescent="0.25">
      <c r="B4" s="220" t="s">
        <v>114</v>
      </c>
      <c r="C4" s="220"/>
      <c r="D4" s="220"/>
      <c r="E4" s="220"/>
      <c r="F4" s="220"/>
      <c r="G4" s="220"/>
      <c r="H4" s="220"/>
      <c r="I4" s="220"/>
      <c r="J4" s="220"/>
      <c r="K4" s="220"/>
    </row>
    <row r="5" spans="2:12" x14ac:dyDescent="0.25">
      <c r="B5" s="146"/>
      <c r="C5" s="146"/>
      <c r="D5" s="146"/>
      <c r="E5" s="146"/>
      <c r="F5" s="146"/>
      <c r="G5" s="146"/>
      <c r="H5" s="146"/>
      <c r="I5" s="146"/>
      <c r="J5" s="146"/>
      <c r="K5" s="146"/>
    </row>
    <row r="6" spans="2:12" ht="15.75" customHeight="1" x14ac:dyDescent="0.25">
      <c r="B6" s="227" t="s">
        <v>47</v>
      </c>
      <c r="C6" s="227"/>
      <c r="D6" s="227"/>
      <c r="E6" s="227"/>
      <c r="F6" s="227"/>
      <c r="G6" s="227"/>
      <c r="H6" s="227"/>
      <c r="I6" s="227"/>
      <c r="J6" s="227"/>
      <c r="K6" s="138"/>
      <c r="L6" s="145"/>
    </row>
    <row r="7" spans="2:12" x14ac:dyDescent="0.25">
      <c r="B7" s="218" t="str">
        <f>'Прил.1 Сравнит табл'!B9:D9</f>
        <v>Единица измерения  — 1 ед.</v>
      </c>
      <c r="C7" s="218"/>
      <c r="D7" s="218"/>
      <c r="E7" s="218"/>
      <c r="F7" s="218"/>
      <c r="G7" s="218"/>
      <c r="H7" s="218"/>
      <c r="I7" s="218"/>
      <c r="J7" s="218"/>
      <c r="K7" s="218"/>
      <c r="L7" s="145"/>
    </row>
    <row r="8" spans="2:12" x14ac:dyDescent="0.25">
      <c r="B8" s="137"/>
    </row>
    <row r="9" spans="2:12" ht="15.75" customHeight="1" x14ac:dyDescent="0.25">
      <c r="B9" s="228" t="s">
        <v>33</v>
      </c>
      <c r="C9" s="228" t="s">
        <v>115</v>
      </c>
      <c r="D9" s="228" t="s">
        <v>51</v>
      </c>
      <c r="E9" s="228"/>
      <c r="F9" s="228"/>
      <c r="G9" s="228"/>
      <c r="H9" s="228"/>
      <c r="I9" s="228"/>
      <c r="J9" s="228"/>
    </row>
    <row r="10" spans="2:12" ht="15.75" customHeight="1" x14ac:dyDescent="0.25">
      <c r="B10" s="228"/>
      <c r="C10" s="228"/>
      <c r="D10" s="228" t="s">
        <v>116</v>
      </c>
      <c r="E10" s="228" t="s">
        <v>117</v>
      </c>
      <c r="F10" s="228" t="s">
        <v>118</v>
      </c>
      <c r="G10" s="228"/>
      <c r="H10" s="228"/>
      <c r="I10" s="228"/>
      <c r="J10" s="228"/>
    </row>
    <row r="11" spans="2:12" ht="31.5" customHeight="1" x14ac:dyDescent="0.25">
      <c r="B11" s="228"/>
      <c r="C11" s="228"/>
      <c r="D11" s="228"/>
      <c r="E11" s="228"/>
      <c r="F11" s="206" t="s">
        <v>119</v>
      </c>
      <c r="G11" s="206" t="s">
        <v>120</v>
      </c>
      <c r="H11" s="206" t="s">
        <v>43</v>
      </c>
      <c r="I11" s="206" t="s">
        <v>121</v>
      </c>
      <c r="J11" s="206" t="s">
        <v>122</v>
      </c>
    </row>
    <row r="12" spans="2:12" ht="73.5" customHeight="1" x14ac:dyDescent="0.25">
      <c r="B12" s="192">
        <v>1</v>
      </c>
      <c r="C12" s="180" t="s">
        <v>60</v>
      </c>
      <c r="D12" s="209" t="s">
        <v>123</v>
      </c>
      <c r="E12" s="210" t="s">
        <v>124</v>
      </c>
      <c r="F12" s="193">
        <f>647*6.86/1000</f>
        <v>4.4384199999999998</v>
      </c>
      <c r="G12" s="193"/>
      <c r="H12" s="193">
        <f>14691*4.58/1000</f>
        <v>67.284779999999998</v>
      </c>
      <c r="I12" s="193">
        <f>1675*9.03/1000</f>
        <v>15.125249999999999</v>
      </c>
      <c r="J12" s="193">
        <f>SUM(F12:I12)</f>
        <v>86.84845</v>
      </c>
    </row>
    <row r="13" spans="2:12" ht="15.75" customHeight="1" x14ac:dyDescent="0.25">
      <c r="B13" s="225" t="s">
        <v>125</v>
      </c>
      <c r="C13" s="225"/>
      <c r="D13" s="225"/>
      <c r="E13" s="225"/>
      <c r="F13" s="194">
        <f>SUM(F12)</f>
        <v>4.4384199999999998</v>
      </c>
      <c r="G13" s="194"/>
      <c r="H13" s="194">
        <f>SUM(H12)</f>
        <v>67.284779999999998</v>
      </c>
      <c r="I13" s="194">
        <f>SUM(I12)</f>
        <v>15.125249999999999</v>
      </c>
      <c r="J13" s="194">
        <f>SUM(J12)</f>
        <v>86.84845</v>
      </c>
    </row>
    <row r="14" spans="2:12" ht="28.5" customHeight="1" x14ac:dyDescent="0.25">
      <c r="B14" s="226" t="s">
        <v>126</v>
      </c>
      <c r="C14" s="226"/>
      <c r="D14" s="226"/>
      <c r="E14" s="226"/>
      <c r="F14" s="195">
        <f>F13</f>
        <v>4.4384199999999998</v>
      </c>
      <c r="G14" s="195"/>
      <c r="H14" s="195">
        <f>H13</f>
        <v>67.284779999999998</v>
      </c>
      <c r="I14" s="195">
        <f>I13</f>
        <v>15.125249999999999</v>
      </c>
      <c r="J14" s="195">
        <f>J13</f>
        <v>86.84845</v>
      </c>
    </row>
    <row r="15" spans="2:12" x14ac:dyDescent="0.25">
      <c r="B15" s="137"/>
    </row>
    <row r="18" spans="2:3" s="184" customFormat="1" ht="15" x14ac:dyDescent="0.25">
      <c r="B18" s="203" t="s">
        <v>430</v>
      </c>
      <c r="C18" s="191"/>
    </row>
    <row r="19" spans="2:3" s="184" customFormat="1" ht="15" x14ac:dyDescent="0.25">
      <c r="B19" s="179" t="s">
        <v>75</v>
      </c>
      <c r="C19" s="191"/>
    </row>
    <row r="20" spans="2:3" s="184" customFormat="1" ht="15" x14ac:dyDescent="0.25">
      <c r="B20" s="203"/>
      <c r="C20" s="191"/>
    </row>
    <row r="21" spans="2:3" s="184" customFormat="1" ht="15" x14ac:dyDescent="0.25">
      <c r="B21" s="203" t="s">
        <v>264</v>
      </c>
      <c r="C21" s="191"/>
    </row>
    <row r="22" spans="2:3" s="184" customFormat="1" ht="15" x14ac:dyDescent="0.25">
      <c r="B22" s="179" t="s">
        <v>76</v>
      </c>
      <c r="C22" s="191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"/>
  <sheetViews>
    <sheetView view="pageBreakPreview" zoomScaleSheetLayoutView="100" workbookViewId="0">
      <selection activeCell="D7" sqref="D7: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</cols>
  <sheetData>
    <row r="2" spans="1:10" x14ac:dyDescent="0.25">
      <c r="A2" s="221" t="s">
        <v>127</v>
      </c>
      <c r="B2" s="221"/>
      <c r="C2" s="221"/>
      <c r="D2" s="221"/>
      <c r="E2" s="221"/>
      <c r="F2" s="221"/>
      <c r="G2" s="221"/>
      <c r="H2" s="221"/>
    </row>
    <row r="3" spans="1:10" x14ac:dyDescent="0.25">
      <c r="A3" s="220" t="s">
        <v>128</v>
      </c>
      <c r="B3" s="220"/>
      <c r="C3" s="220"/>
      <c r="D3" s="220"/>
      <c r="E3" s="220"/>
      <c r="F3" s="220"/>
      <c r="G3" s="220"/>
      <c r="H3" s="220"/>
    </row>
    <row r="4" spans="1:10" x14ac:dyDescent="0.25">
      <c r="A4" s="137"/>
    </row>
    <row r="5" spans="1:10" x14ac:dyDescent="0.25">
      <c r="A5" s="227" t="s">
        <v>129</v>
      </c>
      <c r="B5" s="227"/>
      <c r="C5" s="227"/>
      <c r="D5" s="227"/>
      <c r="E5" s="227"/>
      <c r="F5" s="227"/>
      <c r="G5" s="227"/>
      <c r="H5" s="227"/>
    </row>
    <row r="6" spans="1:10" x14ac:dyDescent="0.25">
      <c r="A6" s="147"/>
      <c r="B6" s="147"/>
      <c r="C6" s="147"/>
      <c r="D6" s="147"/>
      <c r="E6" s="147"/>
      <c r="F6" s="147"/>
      <c r="G6" s="147"/>
      <c r="H6" s="147"/>
    </row>
    <row r="7" spans="1:10" ht="38.25" customHeight="1" x14ac:dyDescent="0.25">
      <c r="A7" s="232" t="s">
        <v>130</v>
      </c>
      <c r="B7" s="232" t="s">
        <v>131</v>
      </c>
      <c r="C7" s="232" t="s">
        <v>132</v>
      </c>
      <c r="D7" s="232" t="s">
        <v>133</v>
      </c>
      <c r="E7" s="232" t="s">
        <v>134</v>
      </c>
      <c r="F7" s="232" t="s">
        <v>135</v>
      </c>
      <c r="G7" s="232" t="s">
        <v>79</v>
      </c>
      <c r="H7" s="232"/>
    </row>
    <row r="8" spans="1:10" ht="40.5" customHeight="1" x14ac:dyDescent="0.25">
      <c r="A8" s="232"/>
      <c r="B8" s="232"/>
      <c r="C8" s="232"/>
      <c r="D8" s="232"/>
      <c r="E8" s="232"/>
      <c r="F8" s="232"/>
      <c r="G8" s="181" t="s">
        <v>136</v>
      </c>
      <c r="H8" s="181" t="s">
        <v>137</v>
      </c>
    </row>
    <row r="9" spans="1:10" x14ac:dyDescent="0.25">
      <c r="A9" s="182">
        <v>1</v>
      </c>
      <c r="B9" s="182"/>
      <c r="C9" s="182">
        <v>2</v>
      </c>
      <c r="D9" s="182" t="s">
        <v>138</v>
      </c>
      <c r="E9" s="182">
        <v>4</v>
      </c>
      <c r="F9" s="182">
        <v>5</v>
      </c>
      <c r="G9" s="182">
        <v>6</v>
      </c>
      <c r="H9" s="182">
        <v>7</v>
      </c>
    </row>
    <row r="10" spans="1:10" s="148" customFormat="1" x14ac:dyDescent="0.25">
      <c r="A10" s="229" t="s">
        <v>139</v>
      </c>
      <c r="B10" s="230"/>
      <c r="C10" s="231"/>
      <c r="D10" s="231"/>
      <c r="E10" s="230"/>
      <c r="F10" s="196">
        <f>SUM(F11:F15)</f>
        <v>225.69066330000001</v>
      </c>
      <c r="G10" s="196"/>
      <c r="H10" s="196">
        <f>SUM(H11:H15)</f>
        <v>2376.81</v>
      </c>
    </row>
    <row r="11" spans="1:10" x14ac:dyDescent="0.25">
      <c r="A11" s="7">
        <v>1</v>
      </c>
      <c r="B11" s="198"/>
      <c r="C11" s="161" t="s">
        <v>140</v>
      </c>
      <c r="D11" s="25" t="s">
        <v>141</v>
      </c>
      <c r="E11" s="7" t="s">
        <v>142</v>
      </c>
      <c r="F11" s="7">
        <v>152.009208</v>
      </c>
      <c r="G11" s="199">
        <v>10.94</v>
      </c>
      <c r="H11" s="199">
        <f>ROUND(F11*G11,2)</f>
        <v>1662.98</v>
      </c>
      <c r="J11" s="117"/>
    </row>
    <row r="12" spans="1:10" x14ac:dyDescent="0.25">
      <c r="A12" s="7">
        <v>2</v>
      </c>
      <c r="B12" s="198"/>
      <c r="C12" s="161" t="s">
        <v>143</v>
      </c>
      <c r="D12" s="25" t="s">
        <v>144</v>
      </c>
      <c r="E12" s="7" t="s">
        <v>142</v>
      </c>
      <c r="F12" s="7">
        <v>40.093797600000002</v>
      </c>
      <c r="G12" s="199">
        <v>9.76</v>
      </c>
      <c r="H12" s="199">
        <f>ROUND(F12*G12,2)</f>
        <v>391.32</v>
      </c>
      <c r="J12" s="117"/>
    </row>
    <row r="13" spans="1:10" x14ac:dyDescent="0.25">
      <c r="A13" s="7">
        <v>3</v>
      </c>
      <c r="B13" s="198"/>
      <c r="C13" s="161" t="s">
        <v>145</v>
      </c>
      <c r="D13" s="25" t="s">
        <v>146</v>
      </c>
      <c r="E13" s="7" t="s">
        <v>142</v>
      </c>
      <c r="F13" s="7">
        <v>30.9</v>
      </c>
      <c r="G13" s="199">
        <v>9.6199999999999992</v>
      </c>
      <c r="H13" s="199">
        <f>ROUND(F13*G13,2)</f>
        <v>297.26</v>
      </c>
      <c r="J13" s="117"/>
    </row>
    <row r="14" spans="1:10" x14ac:dyDescent="0.25">
      <c r="A14" s="7">
        <v>4</v>
      </c>
      <c r="B14" s="198"/>
      <c r="C14" s="161" t="s">
        <v>147</v>
      </c>
      <c r="D14" s="25" t="s">
        <v>148</v>
      </c>
      <c r="E14" s="7" t="s">
        <v>142</v>
      </c>
      <c r="F14" s="7">
        <v>2.6640000000000001</v>
      </c>
      <c r="G14" s="199">
        <v>9.4</v>
      </c>
      <c r="H14" s="199">
        <f>ROUND(F14*G14,2)</f>
        <v>25.04</v>
      </c>
      <c r="J14" s="117"/>
    </row>
    <row r="15" spans="1:10" x14ac:dyDescent="0.25">
      <c r="A15" s="7">
        <v>5</v>
      </c>
      <c r="B15" s="198"/>
      <c r="C15" s="161" t="s">
        <v>149</v>
      </c>
      <c r="D15" s="25" t="s">
        <v>150</v>
      </c>
      <c r="E15" s="7" t="s">
        <v>142</v>
      </c>
      <c r="F15" s="7">
        <v>2.36577E-2</v>
      </c>
      <c r="G15" s="199">
        <v>9.07</v>
      </c>
      <c r="H15" s="199">
        <f>ROUND(F15*G15,2)</f>
        <v>0.21</v>
      </c>
      <c r="J15" s="117"/>
    </row>
    <row r="16" spans="1:10" x14ac:dyDescent="0.25">
      <c r="A16" s="229" t="s">
        <v>151</v>
      </c>
      <c r="B16" s="230"/>
      <c r="C16" s="231"/>
      <c r="D16" s="231"/>
      <c r="E16" s="230"/>
      <c r="F16" s="200">
        <f>F17</f>
        <v>127.64046039999999</v>
      </c>
      <c r="G16" s="196"/>
      <c r="H16" s="196">
        <f>H17</f>
        <v>1595.42</v>
      </c>
    </row>
    <row r="17" spans="1:11" x14ac:dyDescent="0.25">
      <c r="A17" s="7">
        <v>6</v>
      </c>
      <c r="B17" s="197"/>
      <c r="C17" s="181">
        <v>2</v>
      </c>
      <c r="D17" s="25" t="s">
        <v>151</v>
      </c>
      <c r="E17" s="7" t="s">
        <v>142</v>
      </c>
      <c r="F17" s="7">
        <v>127.64046039999999</v>
      </c>
      <c r="G17" s="199">
        <v>0</v>
      </c>
      <c r="H17" s="199">
        <v>1595.42</v>
      </c>
      <c r="J17" s="117"/>
    </row>
    <row r="18" spans="1:11" s="148" customFormat="1" x14ac:dyDescent="0.25">
      <c r="A18" s="229" t="s">
        <v>152</v>
      </c>
      <c r="B18" s="230"/>
      <c r="C18" s="231"/>
      <c r="D18" s="231"/>
      <c r="E18" s="230"/>
      <c r="F18" s="200"/>
      <c r="G18" s="196"/>
      <c r="H18" s="196">
        <f>SUM(H19:H29)</f>
        <v>6068.63</v>
      </c>
    </row>
    <row r="19" spans="1:11" x14ac:dyDescent="0.25">
      <c r="A19" s="7">
        <v>7</v>
      </c>
      <c r="B19" s="197"/>
      <c r="C19" s="181" t="s">
        <v>153</v>
      </c>
      <c r="D19" s="25" t="s">
        <v>154</v>
      </c>
      <c r="E19" s="7" t="s">
        <v>155</v>
      </c>
      <c r="F19" s="7">
        <v>51.771251999999997</v>
      </c>
      <c r="G19" s="199">
        <v>74.239999999999995</v>
      </c>
      <c r="H19" s="199">
        <f t="shared" ref="H19:H29" si="0">ROUND(F19*G19,2)</f>
        <v>3843.5</v>
      </c>
      <c r="J19" s="149"/>
      <c r="K19" s="155"/>
    </row>
    <row r="20" spans="1:11" s="148" customFormat="1" ht="25.5" customHeight="1" x14ac:dyDescent="0.25">
      <c r="A20" s="7">
        <v>8</v>
      </c>
      <c r="B20" s="197"/>
      <c r="C20" s="181" t="s">
        <v>156</v>
      </c>
      <c r="D20" s="25" t="s">
        <v>157</v>
      </c>
      <c r="E20" s="7" t="s">
        <v>155</v>
      </c>
      <c r="F20" s="7">
        <v>13.710967999999999</v>
      </c>
      <c r="G20" s="199">
        <v>115.4</v>
      </c>
      <c r="H20" s="199">
        <f t="shared" si="0"/>
        <v>1582.25</v>
      </c>
      <c r="K20" s="155"/>
    </row>
    <row r="21" spans="1:11" x14ac:dyDescent="0.25">
      <c r="A21" s="7">
        <v>9</v>
      </c>
      <c r="B21" s="197"/>
      <c r="C21" s="181" t="s">
        <v>158</v>
      </c>
      <c r="D21" s="25" t="s">
        <v>159</v>
      </c>
      <c r="E21" s="7" t="s">
        <v>155</v>
      </c>
      <c r="F21" s="7">
        <v>4.0880511999999998</v>
      </c>
      <c r="G21" s="199">
        <v>65.709999999999994</v>
      </c>
      <c r="H21" s="199">
        <f t="shared" si="0"/>
        <v>268.63</v>
      </c>
      <c r="K21" s="155"/>
    </row>
    <row r="22" spans="1:11" x14ac:dyDescent="0.25">
      <c r="A22" s="7">
        <v>10</v>
      </c>
      <c r="B22" s="197"/>
      <c r="C22" s="181" t="s">
        <v>160</v>
      </c>
      <c r="D22" s="25" t="s">
        <v>161</v>
      </c>
      <c r="E22" s="7" t="s">
        <v>155</v>
      </c>
      <c r="F22" s="7">
        <v>5.7</v>
      </c>
      <c r="G22" s="199">
        <v>29.6</v>
      </c>
      <c r="H22" s="199">
        <f t="shared" si="0"/>
        <v>168.72</v>
      </c>
      <c r="K22" s="155"/>
    </row>
    <row r="23" spans="1:11" ht="25.5" customHeight="1" x14ac:dyDescent="0.25">
      <c r="A23" s="7">
        <v>11</v>
      </c>
      <c r="B23" s="197"/>
      <c r="C23" s="181" t="s">
        <v>162</v>
      </c>
      <c r="D23" s="25" t="s">
        <v>163</v>
      </c>
      <c r="E23" s="7" t="s">
        <v>155</v>
      </c>
      <c r="F23" s="7">
        <v>9.7131659999999993</v>
      </c>
      <c r="G23" s="199">
        <v>14</v>
      </c>
      <c r="H23" s="199">
        <f t="shared" si="0"/>
        <v>135.97999999999999</v>
      </c>
    </row>
    <row r="24" spans="1:11" x14ac:dyDescent="0.25">
      <c r="A24" s="7">
        <v>12</v>
      </c>
      <c r="B24" s="197"/>
      <c r="C24" s="181" t="s">
        <v>164</v>
      </c>
      <c r="D24" s="25" t="s">
        <v>165</v>
      </c>
      <c r="E24" s="7" t="s">
        <v>155</v>
      </c>
      <c r="F24" s="7">
        <v>0.55104540000000002</v>
      </c>
      <c r="G24" s="199">
        <v>89.99</v>
      </c>
      <c r="H24" s="199">
        <f t="shared" si="0"/>
        <v>49.59</v>
      </c>
    </row>
    <row r="25" spans="1:11" ht="25.5" customHeight="1" x14ac:dyDescent="0.25">
      <c r="A25" s="7">
        <v>13</v>
      </c>
      <c r="B25" s="197"/>
      <c r="C25" s="181" t="s">
        <v>166</v>
      </c>
      <c r="D25" s="25" t="s">
        <v>167</v>
      </c>
      <c r="E25" s="7" t="s">
        <v>155</v>
      </c>
      <c r="F25" s="7">
        <v>1.4976</v>
      </c>
      <c r="G25" s="199">
        <v>8.1</v>
      </c>
      <c r="H25" s="199">
        <f t="shared" si="0"/>
        <v>12.13</v>
      </c>
    </row>
    <row r="26" spans="1:11" x14ac:dyDescent="0.25">
      <c r="A26" s="7">
        <v>14</v>
      </c>
      <c r="B26" s="197"/>
      <c r="C26" s="181" t="s">
        <v>168</v>
      </c>
      <c r="D26" s="25" t="s">
        <v>169</v>
      </c>
      <c r="E26" s="7" t="s">
        <v>155</v>
      </c>
      <c r="F26" s="7">
        <v>4.7891999999999997E-2</v>
      </c>
      <c r="G26" s="199">
        <v>85.84</v>
      </c>
      <c r="H26" s="199">
        <f t="shared" si="0"/>
        <v>4.1100000000000003</v>
      </c>
    </row>
    <row r="27" spans="1:11" x14ac:dyDescent="0.25">
      <c r="A27" s="7">
        <v>15</v>
      </c>
      <c r="B27" s="197"/>
      <c r="C27" s="181" t="s">
        <v>170</v>
      </c>
      <c r="D27" s="25" t="s">
        <v>171</v>
      </c>
      <c r="E27" s="7" t="s">
        <v>155</v>
      </c>
      <c r="F27" s="7">
        <v>3.78</v>
      </c>
      <c r="G27" s="199">
        <v>0.9</v>
      </c>
      <c r="H27" s="199">
        <f t="shared" si="0"/>
        <v>3.4</v>
      </c>
    </row>
    <row r="28" spans="1:11" ht="25.5" customHeight="1" x14ac:dyDescent="0.25">
      <c r="A28" s="7">
        <v>16</v>
      </c>
      <c r="B28" s="197"/>
      <c r="C28" s="181" t="s">
        <v>172</v>
      </c>
      <c r="D28" s="25" t="s">
        <v>173</v>
      </c>
      <c r="E28" s="7" t="s">
        <v>155</v>
      </c>
      <c r="F28" s="7">
        <v>4.6453300000000003E-2</v>
      </c>
      <c r="G28" s="199">
        <v>6.82</v>
      </c>
      <c r="H28" s="199">
        <f t="shared" si="0"/>
        <v>0.32</v>
      </c>
    </row>
    <row r="29" spans="1:11" ht="25.5" customHeight="1" x14ac:dyDescent="0.25">
      <c r="A29" s="7">
        <v>17</v>
      </c>
      <c r="B29" s="197"/>
      <c r="C29" s="181" t="s">
        <v>174</v>
      </c>
      <c r="D29" s="25" t="s">
        <v>175</v>
      </c>
      <c r="E29" s="7" t="s">
        <v>155</v>
      </c>
      <c r="F29" s="7">
        <v>2.8739999999999999E-4</v>
      </c>
      <c r="G29" s="199">
        <v>1.7</v>
      </c>
      <c r="H29" s="199">
        <f t="shared" si="0"/>
        <v>0</v>
      </c>
    </row>
    <row r="30" spans="1:11" x14ac:dyDescent="0.25">
      <c r="A30" s="233" t="s">
        <v>43</v>
      </c>
      <c r="B30" s="233"/>
      <c r="C30" s="233"/>
      <c r="D30" s="233"/>
      <c r="E30" s="233"/>
      <c r="F30" s="200"/>
      <c r="G30" s="196"/>
      <c r="H30" s="196">
        <f>H31</f>
        <v>184387.86</v>
      </c>
    </row>
    <row r="31" spans="1:11" x14ac:dyDescent="0.25">
      <c r="A31" s="7">
        <v>18</v>
      </c>
      <c r="B31" s="197"/>
      <c r="C31" s="181" t="s">
        <v>176</v>
      </c>
      <c r="D31" s="207" t="s">
        <v>177</v>
      </c>
      <c r="E31" s="7" t="s">
        <v>178</v>
      </c>
      <c r="F31" s="7">
        <v>9</v>
      </c>
      <c r="G31" s="199">
        <v>20487.54</v>
      </c>
      <c r="H31" s="199">
        <f>ROUND(F31*G31,2)</f>
        <v>184387.86</v>
      </c>
      <c r="J31" s="155"/>
    </row>
    <row r="32" spans="1:11" x14ac:dyDescent="0.25">
      <c r="A32" s="229" t="s">
        <v>179</v>
      </c>
      <c r="B32" s="230"/>
      <c r="C32" s="231"/>
      <c r="D32" s="231"/>
      <c r="E32" s="230"/>
      <c r="F32" s="200"/>
      <c r="G32" s="196"/>
      <c r="H32" s="196">
        <f>SUM(H33:H50)</f>
        <v>36761.54</v>
      </c>
    </row>
    <row r="33" spans="1:10" x14ac:dyDescent="0.25">
      <c r="A33" s="7">
        <v>19</v>
      </c>
      <c r="B33" s="197"/>
      <c r="C33" s="181" t="s">
        <v>180</v>
      </c>
      <c r="D33" s="25" t="s">
        <v>181</v>
      </c>
      <c r="E33" s="7" t="s">
        <v>182</v>
      </c>
      <c r="F33" s="7">
        <v>2.4664380000000001</v>
      </c>
      <c r="G33" s="199">
        <v>12500</v>
      </c>
      <c r="H33" s="199">
        <f t="shared" ref="H33:H50" si="1">ROUND(F33*G33,2)</f>
        <v>30830.48</v>
      </c>
      <c r="J33" s="155"/>
    </row>
    <row r="34" spans="1:10" ht="31.5" customHeight="1" x14ac:dyDescent="0.25">
      <c r="A34" s="7">
        <v>20</v>
      </c>
      <c r="B34" s="197"/>
      <c r="C34" s="181" t="s">
        <v>183</v>
      </c>
      <c r="D34" s="25" t="s">
        <v>184</v>
      </c>
      <c r="E34" s="7" t="s">
        <v>182</v>
      </c>
      <c r="F34" s="7">
        <v>8.3164500000000002E-2</v>
      </c>
      <c r="G34" s="199">
        <v>30090</v>
      </c>
      <c r="H34" s="199">
        <f t="shared" si="1"/>
        <v>2502.42</v>
      </c>
      <c r="J34" s="155"/>
    </row>
    <row r="35" spans="1:10" x14ac:dyDescent="0.25">
      <c r="A35" s="7">
        <v>21</v>
      </c>
      <c r="B35" s="197"/>
      <c r="C35" s="181" t="s">
        <v>185</v>
      </c>
      <c r="D35" s="25" t="s">
        <v>186</v>
      </c>
      <c r="E35" s="7" t="s">
        <v>187</v>
      </c>
      <c r="F35" s="7">
        <v>0.18</v>
      </c>
      <c r="G35" s="199">
        <v>6080</v>
      </c>
      <c r="H35" s="199">
        <f t="shared" si="1"/>
        <v>1094.4000000000001</v>
      </c>
      <c r="J35" s="155"/>
    </row>
    <row r="36" spans="1:10" ht="31.5" customHeight="1" x14ac:dyDescent="0.25">
      <c r="A36" s="7">
        <v>22</v>
      </c>
      <c r="B36" s="197"/>
      <c r="C36" s="181" t="s">
        <v>188</v>
      </c>
      <c r="D36" s="25" t="s">
        <v>189</v>
      </c>
      <c r="E36" s="7" t="s">
        <v>182</v>
      </c>
      <c r="F36" s="7">
        <v>3.1175000000000001E-2</v>
      </c>
      <c r="G36" s="199">
        <v>32758.86</v>
      </c>
      <c r="H36" s="199">
        <f t="shared" si="1"/>
        <v>1021.26</v>
      </c>
      <c r="J36" s="155"/>
    </row>
    <row r="37" spans="1:10" x14ac:dyDescent="0.25">
      <c r="A37" s="7">
        <v>23</v>
      </c>
      <c r="B37" s="197"/>
      <c r="C37" s="181" t="s">
        <v>190</v>
      </c>
      <c r="D37" s="25" t="s">
        <v>191</v>
      </c>
      <c r="E37" s="7" t="s">
        <v>182</v>
      </c>
      <c r="F37" s="7">
        <v>2.76688E-2</v>
      </c>
      <c r="G37" s="199">
        <v>10315.01</v>
      </c>
      <c r="H37" s="199">
        <f t="shared" si="1"/>
        <v>285.39999999999998</v>
      </c>
      <c r="J37" s="155"/>
    </row>
    <row r="38" spans="1:10" x14ac:dyDescent="0.25">
      <c r="A38" s="7">
        <v>24</v>
      </c>
      <c r="B38" s="197"/>
      <c r="C38" s="181" t="s">
        <v>192</v>
      </c>
      <c r="D38" s="25" t="s">
        <v>193</v>
      </c>
      <c r="E38" s="7" t="s">
        <v>194</v>
      </c>
      <c r="F38" s="7">
        <v>7.2</v>
      </c>
      <c r="G38" s="199">
        <v>28.6</v>
      </c>
      <c r="H38" s="199">
        <f t="shared" si="1"/>
        <v>205.92</v>
      </c>
      <c r="J38" s="155"/>
    </row>
    <row r="39" spans="1:10" ht="31.5" customHeight="1" x14ac:dyDescent="0.25">
      <c r="A39" s="7">
        <v>25</v>
      </c>
      <c r="B39" s="197"/>
      <c r="C39" s="181" t="s">
        <v>195</v>
      </c>
      <c r="D39" s="25" t="s">
        <v>196</v>
      </c>
      <c r="E39" s="7" t="s">
        <v>194</v>
      </c>
      <c r="F39" s="7">
        <v>0.78542900000000004</v>
      </c>
      <c r="G39" s="199">
        <v>238.48</v>
      </c>
      <c r="H39" s="199">
        <f t="shared" si="1"/>
        <v>187.31</v>
      </c>
      <c r="J39" s="155"/>
    </row>
    <row r="40" spans="1:10" x14ac:dyDescent="0.25">
      <c r="A40" s="7">
        <v>26</v>
      </c>
      <c r="B40" s="197"/>
      <c r="C40" s="181" t="s">
        <v>197</v>
      </c>
      <c r="D40" s="25" t="s">
        <v>198</v>
      </c>
      <c r="E40" s="7" t="s">
        <v>194</v>
      </c>
      <c r="F40" s="7">
        <v>27.5379</v>
      </c>
      <c r="G40" s="199">
        <v>6.67</v>
      </c>
      <c r="H40" s="199">
        <f t="shared" si="1"/>
        <v>183.68</v>
      </c>
      <c r="J40" s="155"/>
    </row>
    <row r="41" spans="1:10" ht="31.5" customHeight="1" x14ac:dyDescent="0.25">
      <c r="A41" s="7">
        <v>27</v>
      </c>
      <c r="B41" s="197"/>
      <c r="C41" s="181" t="s">
        <v>199</v>
      </c>
      <c r="D41" s="25" t="s">
        <v>200</v>
      </c>
      <c r="E41" s="7" t="s">
        <v>182</v>
      </c>
      <c r="F41" s="7">
        <v>2.7E-2</v>
      </c>
      <c r="G41" s="199">
        <v>5000</v>
      </c>
      <c r="H41" s="199">
        <f t="shared" si="1"/>
        <v>135</v>
      </c>
      <c r="J41" s="155"/>
    </row>
    <row r="42" spans="1:10" x14ac:dyDescent="0.25">
      <c r="A42" s="7">
        <v>28</v>
      </c>
      <c r="B42" s="197"/>
      <c r="C42" s="181" t="s">
        <v>201</v>
      </c>
      <c r="D42" s="25" t="s">
        <v>202</v>
      </c>
      <c r="E42" s="7" t="s">
        <v>182</v>
      </c>
      <c r="F42" s="7">
        <v>1.8144E-2</v>
      </c>
      <c r="G42" s="199">
        <v>6200</v>
      </c>
      <c r="H42" s="199">
        <f t="shared" si="1"/>
        <v>112.49</v>
      </c>
    </row>
    <row r="43" spans="1:10" ht="31.5" customHeight="1" x14ac:dyDescent="0.25">
      <c r="A43" s="7">
        <v>29</v>
      </c>
      <c r="B43" s="197"/>
      <c r="C43" s="181" t="s">
        <v>195</v>
      </c>
      <c r="D43" s="25" t="s">
        <v>196</v>
      </c>
      <c r="E43" s="7" t="s">
        <v>194</v>
      </c>
      <c r="F43" s="7">
        <v>0.33119999999999999</v>
      </c>
      <c r="G43" s="199">
        <v>238.48</v>
      </c>
      <c r="H43" s="199">
        <f t="shared" si="1"/>
        <v>78.98</v>
      </c>
    </row>
    <row r="44" spans="1:10" x14ac:dyDescent="0.25">
      <c r="A44" s="7">
        <v>30</v>
      </c>
      <c r="B44" s="197"/>
      <c r="C44" s="181" t="s">
        <v>203</v>
      </c>
      <c r="D44" s="25" t="s">
        <v>204</v>
      </c>
      <c r="E44" s="7" t="s">
        <v>194</v>
      </c>
      <c r="F44" s="7">
        <v>8.73</v>
      </c>
      <c r="G44" s="199">
        <v>9.0399999999999991</v>
      </c>
      <c r="H44" s="199">
        <f t="shared" si="1"/>
        <v>78.92</v>
      </c>
    </row>
    <row r="45" spans="1:10" ht="31.5" customHeight="1" x14ac:dyDescent="0.25">
      <c r="A45" s="7">
        <v>31</v>
      </c>
      <c r="B45" s="197"/>
      <c r="C45" s="181" t="s">
        <v>205</v>
      </c>
      <c r="D45" s="25" t="s">
        <v>206</v>
      </c>
      <c r="E45" s="7" t="s">
        <v>194</v>
      </c>
      <c r="F45" s="7">
        <v>0.373558</v>
      </c>
      <c r="G45" s="199">
        <v>54.99</v>
      </c>
      <c r="H45" s="199">
        <f t="shared" si="1"/>
        <v>20.54</v>
      </c>
    </row>
    <row r="46" spans="1:10" ht="31.5" customHeight="1" x14ac:dyDescent="0.25">
      <c r="A46" s="7">
        <v>32</v>
      </c>
      <c r="B46" s="197"/>
      <c r="C46" s="181" t="s">
        <v>207</v>
      </c>
      <c r="D46" s="25" t="s">
        <v>208</v>
      </c>
      <c r="E46" s="7" t="s">
        <v>182</v>
      </c>
      <c r="F46" s="7">
        <v>4.2000000000000002E-4</v>
      </c>
      <c r="G46" s="199">
        <v>17500</v>
      </c>
      <c r="H46" s="199">
        <f t="shared" si="1"/>
        <v>7.35</v>
      </c>
    </row>
    <row r="47" spans="1:10" x14ac:dyDescent="0.25">
      <c r="A47" s="7">
        <v>33</v>
      </c>
      <c r="B47" s="197"/>
      <c r="C47" s="181" t="s">
        <v>209</v>
      </c>
      <c r="D47" s="25" t="s">
        <v>210</v>
      </c>
      <c r="E47" s="7" t="s">
        <v>194</v>
      </c>
      <c r="F47" s="7">
        <v>0.63719999999999999</v>
      </c>
      <c r="G47" s="199">
        <v>10.57</v>
      </c>
      <c r="H47" s="199">
        <f t="shared" si="1"/>
        <v>6.74</v>
      </c>
    </row>
    <row r="48" spans="1:10" ht="31.5" customHeight="1" x14ac:dyDescent="0.25">
      <c r="A48" s="7">
        <v>34</v>
      </c>
      <c r="B48" s="197"/>
      <c r="C48" s="181" t="s">
        <v>211</v>
      </c>
      <c r="D48" s="25" t="s">
        <v>212</v>
      </c>
      <c r="E48" s="7" t="s">
        <v>213</v>
      </c>
      <c r="F48" s="7">
        <v>6.47112</v>
      </c>
      <c r="G48" s="199">
        <v>1</v>
      </c>
      <c r="H48" s="199">
        <f t="shared" si="1"/>
        <v>6.47</v>
      </c>
    </row>
    <row r="49" spans="1:8" ht="31.5" customHeight="1" x14ac:dyDescent="0.25">
      <c r="A49" s="7">
        <v>35</v>
      </c>
      <c r="B49" s="197"/>
      <c r="C49" s="181" t="s">
        <v>214</v>
      </c>
      <c r="D49" s="25" t="s">
        <v>215</v>
      </c>
      <c r="E49" s="7" t="s">
        <v>182</v>
      </c>
      <c r="F49" s="7">
        <v>5.7600000000000001E-4</v>
      </c>
      <c r="G49" s="199">
        <v>5763</v>
      </c>
      <c r="H49" s="199">
        <f t="shared" si="1"/>
        <v>3.32</v>
      </c>
    </row>
    <row r="50" spans="1:8" x14ac:dyDescent="0.25">
      <c r="A50" s="7">
        <v>36</v>
      </c>
      <c r="B50" s="197"/>
      <c r="C50" s="25" t="s">
        <v>216</v>
      </c>
      <c r="D50" s="25" t="s">
        <v>217</v>
      </c>
      <c r="E50" s="7" t="s">
        <v>194</v>
      </c>
      <c r="F50" s="7">
        <v>9.0991000000000002E-2</v>
      </c>
      <c r="G50" s="199">
        <v>9.42</v>
      </c>
      <c r="H50" s="199">
        <f t="shared" si="1"/>
        <v>0.86</v>
      </c>
    </row>
    <row r="53" spans="1:8" s="184" customFormat="1" ht="15" x14ac:dyDescent="0.25">
      <c r="B53" s="203" t="s">
        <v>430</v>
      </c>
      <c r="C53" s="191"/>
    </row>
    <row r="54" spans="1:8" s="184" customFormat="1" ht="15" x14ac:dyDescent="0.25">
      <c r="B54" s="179" t="s">
        <v>75</v>
      </c>
      <c r="C54" s="191"/>
    </row>
    <row r="55" spans="1:8" s="184" customFormat="1" ht="15" x14ac:dyDescent="0.25">
      <c r="B55" s="203"/>
      <c r="C55" s="191"/>
    </row>
    <row r="56" spans="1:8" s="184" customFormat="1" ht="15" x14ac:dyDescent="0.25">
      <c r="B56" s="203" t="s">
        <v>264</v>
      </c>
      <c r="C56" s="191"/>
    </row>
    <row r="57" spans="1:8" s="184" customFormat="1" ht="15" x14ac:dyDescent="0.25">
      <c r="B57" s="179" t="s">
        <v>76</v>
      </c>
      <c r="C57" s="191"/>
    </row>
  </sheetData>
  <mergeCells count="15">
    <mergeCell ref="A16:E16"/>
    <mergeCell ref="A32:E32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30:E30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218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1" t="s">
        <v>77</v>
      </c>
      <c r="C5" s="211"/>
      <c r="D5" s="211"/>
      <c r="E5" s="211"/>
    </row>
    <row r="6" spans="2:5" x14ac:dyDescent="0.25">
      <c r="B6" s="154"/>
      <c r="C6" s="4"/>
      <c r="D6" s="4"/>
      <c r="E6" s="4"/>
    </row>
    <row r="7" spans="2:5" ht="25.5" customHeight="1" x14ac:dyDescent="0.25">
      <c r="B7" s="224" t="s">
        <v>47</v>
      </c>
      <c r="C7" s="224"/>
      <c r="D7" s="224"/>
      <c r="E7" s="224"/>
    </row>
    <row r="8" spans="2:5" x14ac:dyDescent="0.25">
      <c r="B8" s="234" t="s">
        <v>49</v>
      </c>
      <c r="C8" s="234"/>
      <c r="D8" s="234"/>
      <c r="E8" s="234"/>
    </row>
    <row r="9" spans="2:5" x14ac:dyDescent="0.25">
      <c r="B9" s="154"/>
      <c r="C9" s="4"/>
      <c r="D9" s="4"/>
      <c r="E9" s="4"/>
    </row>
    <row r="10" spans="2:5" ht="51" customHeight="1" x14ac:dyDescent="0.25">
      <c r="B10" s="2" t="s">
        <v>78</v>
      </c>
      <c r="C10" s="2" t="s">
        <v>219</v>
      </c>
      <c r="D10" s="2" t="s">
        <v>220</v>
      </c>
      <c r="E10" s="2" t="s">
        <v>221</v>
      </c>
    </row>
    <row r="11" spans="2:5" x14ac:dyDescent="0.25">
      <c r="B11" s="25" t="s">
        <v>82</v>
      </c>
      <c r="C11" s="151">
        <f>'Прил.5 Расчет СМР и ОБ'!J15</f>
        <v>109678.97</v>
      </c>
      <c r="D11" s="27">
        <f t="shared" ref="D11:D18" si="0">C11/$C$24</f>
        <v>0.14548399729313</v>
      </c>
      <c r="E11" s="27">
        <f t="shared" ref="E11:E18" si="1">C11/$C$40</f>
        <v>8.4379349360482997E-2</v>
      </c>
    </row>
    <row r="12" spans="2:5" x14ac:dyDescent="0.25">
      <c r="B12" s="25" t="s">
        <v>83</v>
      </c>
      <c r="C12" s="151">
        <f>'Прил.5 Расчет СМР и ОБ'!J22</f>
        <v>73084.649999999994</v>
      </c>
      <c r="D12" s="27">
        <f t="shared" si="0"/>
        <v>9.694335224674E-2</v>
      </c>
      <c r="E12" s="27">
        <f t="shared" si="1"/>
        <v>5.6226232022772001E-2</v>
      </c>
    </row>
    <row r="13" spans="2:5" x14ac:dyDescent="0.25">
      <c r="B13" s="25" t="s">
        <v>84</v>
      </c>
      <c r="C13" s="151">
        <f>'Прил.5 Расчет СМР и ОБ'!J32</f>
        <v>8659.56</v>
      </c>
      <c r="D13" s="27">
        <f t="shared" si="0"/>
        <v>1.1486499222228001E-2</v>
      </c>
      <c r="E13" s="27">
        <f t="shared" si="1"/>
        <v>6.6620614557929003E-3</v>
      </c>
    </row>
    <row r="14" spans="2:5" x14ac:dyDescent="0.25">
      <c r="B14" s="25" t="s">
        <v>85</v>
      </c>
      <c r="C14" s="151">
        <f>C13+C12</f>
        <v>81744.210000000006</v>
      </c>
      <c r="D14" s="27">
        <f t="shared" si="0"/>
        <v>0.10842985146897</v>
      </c>
      <c r="E14" s="27">
        <f t="shared" si="1"/>
        <v>6.2888293478564006E-2</v>
      </c>
    </row>
    <row r="15" spans="2:5" x14ac:dyDescent="0.25">
      <c r="B15" s="25" t="s">
        <v>86</v>
      </c>
      <c r="C15" s="151">
        <f>'Прил.5 Расчет СМР и ОБ'!J17</f>
        <v>70661.759999999995</v>
      </c>
      <c r="D15" s="27">
        <f t="shared" si="0"/>
        <v>9.3729502570711998E-2</v>
      </c>
      <c r="E15" s="27">
        <f t="shared" si="1"/>
        <v>5.4362229454438998E-2</v>
      </c>
    </row>
    <row r="16" spans="2:5" x14ac:dyDescent="0.25">
      <c r="B16" s="25" t="s">
        <v>87</v>
      </c>
      <c r="C16" s="151">
        <f>'Прил.5 Расчет СМР и ОБ'!J45</f>
        <v>267996.48</v>
      </c>
      <c r="D16" s="27">
        <f t="shared" si="0"/>
        <v>0.35548473121957003</v>
      </c>
      <c r="E16" s="27">
        <f t="shared" si="1"/>
        <v>0.20617779883691001</v>
      </c>
    </row>
    <row r="17" spans="2:7" x14ac:dyDescent="0.25">
      <c r="B17" s="25" t="s">
        <v>88</v>
      </c>
      <c r="C17" s="151">
        <f>'Прил.5 Расчет СМР и ОБ'!J62</f>
        <v>27566.33</v>
      </c>
      <c r="D17" s="27">
        <f t="shared" si="0"/>
        <v>3.6565440750415998E-2</v>
      </c>
      <c r="E17" s="27">
        <f t="shared" si="1"/>
        <v>2.1207611538077001E-2</v>
      </c>
      <c r="G17" s="153"/>
    </row>
    <row r="18" spans="2:7" x14ac:dyDescent="0.25">
      <c r="B18" s="25" t="s">
        <v>89</v>
      </c>
      <c r="C18" s="151">
        <f>C17+C16</f>
        <v>295562.81</v>
      </c>
      <c r="D18" s="27">
        <f t="shared" si="0"/>
        <v>0.39205017196998998</v>
      </c>
      <c r="E18" s="27">
        <f t="shared" si="1"/>
        <v>0.22738541037498999</v>
      </c>
    </row>
    <row r="19" spans="2:7" x14ac:dyDescent="0.25">
      <c r="B19" s="25" t="s">
        <v>90</v>
      </c>
      <c r="C19" s="151">
        <f>C18+C14+C11</f>
        <v>486985.99</v>
      </c>
      <c r="D19" s="27"/>
      <c r="E19" s="25"/>
    </row>
    <row r="20" spans="2:7" x14ac:dyDescent="0.25">
      <c r="B20" s="25" t="s">
        <v>91</v>
      </c>
      <c r="C20" s="151">
        <f>ROUND(C21*(C11+C15),2)</f>
        <v>93777.18</v>
      </c>
      <c r="D20" s="27">
        <f>C20/$C$24</f>
        <v>0.12439102045978</v>
      </c>
      <c r="E20" s="27">
        <f>C20/$C$40</f>
        <v>7.2145621291492004E-2</v>
      </c>
    </row>
    <row r="21" spans="2:7" x14ac:dyDescent="0.25">
      <c r="B21" s="25" t="s">
        <v>92</v>
      </c>
      <c r="C21" s="29">
        <f>'Прил.5 Расчет СМР и ОБ'!D66</f>
        <v>0.52</v>
      </c>
      <c r="D21" s="27"/>
      <c r="E21" s="25"/>
    </row>
    <row r="22" spans="2:7" x14ac:dyDescent="0.25">
      <c r="B22" s="25" t="s">
        <v>93</v>
      </c>
      <c r="C22" s="151">
        <f>ROUND(C23*(C11+C15),2)</f>
        <v>173127.1</v>
      </c>
      <c r="D22" s="27">
        <f>C22/$C$24</f>
        <v>0.22964495880812999</v>
      </c>
      <c r="E22" s="27">
        <f>C22/$C$40</f>
        <v>0.13319191504686001</v>
      </c>
    </row>
    <row r="23" spans="2:7" x14ac:dyDescent="0.25">
      <c r="B23" s="25" t="s">
        <v>94</v>
      </c>
      <c r="C23" s="29">
        <f>'Прил.5 Расчет СМР и ОБ'!D65</f>
        <v>0.96</v>
      </c>
      <c r="D23" s="27"/>
      <c r="E23" s="25"/>
    </row>
    <row r="24" spans="2:7" x14ac:dyDescent="0.25">
      <c r="B24" s="25" t="s">
        <v>95</v>
      </c>
      <c r="C24" s="151">
        <f>C19+C20+C22</f>
        <v>753890.27</v>
      </c>
      <c r="D24" s="27">
        <f>C24/$C$24</f>
        <v>1</v>
      </c>
      <c r="E24" s="27">
        <f>C24/$C$40</f>
        <v>0.57999058955239002</v>
      </c>
    </row>
    <row r="25" spans="2:7" ht="25.5" customHeight="1" x14ac:dyDescent="0.25">
      <c r="B25" s="25" t="s">
        <v>96</v>
      </c>
      <c r="C25" s="151">
        <f>'Прил.5 Расчет СМР и ОБ'!J39</f>
        <v>307530</v>
      </c>
      <c r="D25" s="27"/>
      <c r="E25" s="27">
        <f>C25/$C$40</f>
        <v>0.23659213164410001</v>
      </c>
    </row>
    <row r="26" spans="2:7" ht="25.5" customHeight="1" x14ac:dyDescent="0.25">
      <c r="B26" s="25" t="s">
        <v>97</v>
      </c>
      <c r="C26" s="151">
        <f>'Прил.5 Расчет СМР и ОБ'!J40</f>
        <v>307530</v>
      </c>
      <c r="D26" s="27"/>
      <c r="E26" s="27">
        <f>C26/$C$40</f>
        <v>0.23659213164410001</v>
      </c>
    </row>
    <row r="27" spans="2:7" x14ac:dyDescent="0.25">
      <c r="B27" s="25" t="s">
        <v>98</v>
      </c>
      <c r="C27" s="26">
        <f>C24+C25</f>
        <v>1061420.27</v>
      </c>
      <c r="D27" s="27"/>
      <c r="E27" s="27">
        <f>C27/$C$40</f>
        <v>0.81658272119649</v>
      </c>
    </row>
    <row r="28" spans="2:7" ht="33" customHeight="1" x14ac:dyDescent="0.25">
      <c r="B28" s="25" t="s">
        <v>99</v>
      </c>
      <c r="C28" s="25"/>
      <c r="D28" s="25"/>
      <c r="E28" s="25"/>
      <c r="F28" s="152"/>
    </row>
    <row r="29" spans="2:7" ht="25.5" customHeight="1" x14ac:dyDescent="0.25">
      <c r="B29" s="25" t="s">
        <v>222</v>
      </c>
      <c r="C29" s="26">
        <f>ROUND(C24*3.9%,2)</f>
        <v>29401.72</v>
      </c>
      <c r="D29" s="25"/>
      <c r="E29" s="27">
        <f t="shared" ref="E29:E38" si="2">C29/$C$40</f>
        <v>2.2619632584797999E-2</v>
      </c>
    </row>
    <row r="30" spans="2:7" ht="38.25" customHeight="1" x14ac:dyDescent="0.25">
      <c r="B30" s="25" t="s">
        <v>223</v>
      </c>
      <c r="C30" s="26">
        <f>ROUND((C24+C29)*2.1%,2)</f>
        <v>16449.13</v>
      </c>
      <c r="D30" s="25"/>
      <c r="E30" s="27">
        <f t="shared" si="2"/>
        <v>1.265481328778E-2</v>
      </c>
      <c r="F30" s="152"/>
    </row>
    <row r="31" spans="2:7" x14ac:dyDescent="0.25">
      <c r="B31" s="25" t="s">
        <v>224</v>
      </c>
      <c r="C31" s="26">
        <v>125846.64</v>
      </c>
      <c r="D31" s="25"/>
      <c r="E31" s="27">
        <f t="shared" si="2"/>
        <v>9.6817626956224007E-2</v>
      </c>
    </row>
    <row r="32" spans="2:7" ht="25.5" customHeight="1" x14ac:dyDescent="0.25">
      <c r="B32" s="25" t="s">
        <v>225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226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227</v>
      </c>
      <c r="C34" s="26">
        <f>ROUND(C27*0,2)</f>
        <v>0</v>
      </c>
      <c r="D34" s="25"/>
      <c r="E34" s="27">
        <f t="shared" si="2"/>
        <v>0</v>
      </c>
      <c r="H34" s="157"/>
    </row>
    <row r="35" spans="2:12" ht="76.5" customHeight="1" x14ac:dyDescent="0.25">
      <c r="B35" s="25" t="s">
        <v>228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229</v>
      </c>
      <c r="C36" s="26">
        <f>ROUND((C27+C32+C33+C34+C35+C29+C31+C30)*2.14%,2)</f>
        <v>26388.720000000001</v>
      </c>
      <c r="D36" s="25"/>
      <c r="E36" s="27">
        <f t="shared" si="2"/>
        <v>2.0301640542903999E-2</v>
      </c>
      <c r="G36" s="201"/>
      <c r="L36" s="152"/>
    </row>
    <row r="37" spans="2:12" x14ac:dyDescent="0.25">
      <c r="B37" s="25" t="s">
        <v>230</v>
      </c>
      <c r="C37" s="26">
        <f>ROUND((C27+C32+C33+C34+C35+C29+C31+C30)*0.2%,2)</f>
        <v>2466.2399999999998</v>
      </c>
      <c r="D37" s="25"/>
      <c r="E37" s="27">
        <f t="shared" si="2"/>
        <v>1.8973530346500999E-3</v>
      </c>
      <c r="G37" s="202"/>
      <c r="L37" s="152"/>
    </row>
    <row r="38" spans="2:12" ht="38.25" customHeight="1" x14ac:dyDescent="0.25">
      <c r="B38" s="25" t="s">
        <v>105</v>
      </c>
      <c r="C38" s="151">
        <f>C27+C32+C33+C34+C35+C29+C31+C30+C36+C37</f>
        <v>1261972.72</v>
      </c>
      <c r="D38" s="25"/>
      <c r="E38" s="27">
        <f t="shared" si="2"/>
        <v>0.97087378760284004</v>
      </c>
    </row>
    <row r="39" spans="2:12" ht="13.5" customHeight="1" x14ac:dyDescent="0.25">
      <c r="B39" s="25" t="s">
        <v>106</v>
      </c>
      <c r="C39" s="151">
        <f>ROUND(C38*3%,2)</f>
        <v>37859.18</v>
      </c>
      <c r="D39" s="25"/>
      <c r="E39" s="27">
        <f>C39/$C$38</f>
        <v>2.9999998732144002E-2</v>
      </c>
    </row>
    <row r="40" spans="2:12" x14ac:dyDescent="0.25">
      <c r="B40" s="25" t="s">
        <v>107</v>
      </c>
      <c r="C40" s="151">
        <f>C39+C38</f>
        <v>1299831.8999999999</v>
      </c>
      <c r="D40" s="25"/>
      <c r="E40" s="27">
        <f>C40/$C$40</f>
        <v>1</v>
      </c>
    </row>
    <row r="41" spans="2:12" x14ac:dyDescent="0.25">
      <c r="B41" s="25" t="s">
        <v>108</v>
      </c>
      <c r="C41" s="151">
        <f>C40/'Прил.5 Расчет СМР и ОБ'!E69</f>
        <v>433277.3</v>
      </c>
      <c r="D41" s="25"/>
      <c r="E41" s="25"/>
    </row>
    <row r="42" spans="2:12" x14ac:dyDescent="0.25">
      <c r="B42" s="150"/>
      <c r="C42" s="4"/>
      <c r="D42" s="4"/>
      <c r="E42" s="4"/>
    </row>
    <row r="43" spans="2:12" s="184" customFormat="1" x14ac:dyDescent="0.25">
      <c r="B43" s="203" t="s">
        <v>430</v>
      </c>
      <c r="C43" s="191"/>
    </row>
    <row r="44" spans="2:12" s="184" customFormat="1" x14ac:dyDescent="0.25">
      <c r="B44" s="179" t="s">
        <v>75</v>
      </c>
      <c r="C44" s="191"/>
    </row>
    <row r="45" spans="2:12" s="184" customFormat="1" x14ac:dyDescent="0.25">
      <c r="B45" s="203"/>
      <c r="C45" s="191"/>
    </row>
    <row r="46" spans="2:12" s="184" customFormat="1" x14ac:dyDescent="0.25">
      <c r="B46" s="203" t="s">
        <v>264</v>
      </c>
      <c r="C46" s="191"/>
    </row>
    <row r="47" spans="2:12" s="184" customFormat="1" x14ac:dyDescent="0.25">
      <c r="B47" s="179" t="s">
        <v>76</v>
      </c>
      <c r="C47" s="191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topLeftCell="A49" zoomScale="85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8" t="s">
        <v>231</v>
      </c>
      <c r="I2" s="248"/>
      <c r="J2" s="248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1" t="s">
        <v>232</v>
      </c>
      <c r="B4" s="211"/>
      <c r="C4" s="211"/>
      <c r="D4" s="211"/>
      <c r="E4" s="211"/>
      <c r="F4" s="211"/>
      <c r="G4" s="211"/>
      <c r="H4" s="211"/>
      <c r="I4" s="211"/>
      <c r="J4" s="211"/>
    </row>
    <row r="5" spans="1:14" s="4" customFormat="1" ht="12.75" customHeight="1" x14ac:dyDescent="0.2">
      <c r="A5" s="133"/>
      <c r="B5" s="133"/>
      <c r="C5" s="34"/>
      <c r="D5" s="133"/>
      <c r="E5" s="133"/>
      <c r="F5" s="133"/>
      <c r="G5" s="133"/>
      <c r="H5" s="133"/>
      <c r="I5" s="133"/>
      <c r="J5" s="133"/>
    </row>
    <row r="6" spans="1:14" s="4" customFormat="1" ht="12.75" customHeight="1" x14ac:dyDescent="0.2">
      <c r="A6" s="136" t="s">
        <v>233</v>
      </c>
      <c r="B6" s="135"/>
      <c r="C6" s="135"/>
      <c r="D6" s="214" t="s">
        <v>234</v>
      </c>
      <c r="E6" s="214"/>
      <c r="F6" s="214"/>
      <c r="G6" s="214"/>
      <c r="H6" s="214"/>
      <c r="I6" s="214"/>
      <c r="J6" s="214"/>
    </row>
    <row r="7" spans="1:14" s="4" customFormat="1" ht="12.75" customHeight="1" x14ac:dyDescent="0.2">
      <c r="A7" s="214" t="s">
        <v>49</v>
      </c>
      <c r="B7" s="224"/>
      <c r="C7" s="224"/>
      <c r="D7" s="224"/>
      <c r="E7" s="224"/>
      <c r="F7" s="224"/>
      <c r="G7" s="224"/>
      <c r="H7" s="224"/>
      <c r="I7" s="48"/>
      <c r="J7" s="48"/>
    </row>
    <row r="8" spans="1:14" s="4" customFormat="1" ht="13.5" customHeight="1" x14ac:dyDescent="0.2">
      <c r="A8" s="214"/>
      <c r="B8" s="224"/>
      <c r="C8" s="224"/>
      <c r="D8" s="224"/>
      <c r="E8" s="224"/>
      <c r="F8" s="224"/>
      <c r="G8" s="224"/>
      <c r="H8" s="224"/>
    </row>
    <row r="9" spans="1:14" s="4" customFormat="1" ht="13.15" customHeight="1" x14ac:dyDescent="0.2"/>
    <row r="10" spans="1:14" ht="27" customHeight="1" x14ac:dyDescent="0.25">
      <c r="A10" s="232" t="s">
        <v>13</v>
      </c>
      <c r="B10" s="232" t="s">
        <v>132</v>
      </c>
      <c r="C10" s="232" t="s">
        <v>78</v>
      </c>
      <c r="D10" s="232" t="s">
        <v>134</v>
      </c>
      <c r="E10" s="236" t="s">
        <v>235</v>
      </c>
      <c r="F10" s="249" t="s">
        <v>79</v>
      </c>
      <c r="G10" s="250"/>
      <c r="H10" s="236" t="s">
        <v>236</v>
      </c>
      <c r="I10" s="249" t="s">
        <v>237</v>
      </c>
      <c r="J10" s="250"/>
      <c r="M10" s="12"/>
      <c r="N10" s="12"/>
    </row>
    <row r="11" spans="1:14" ht="28.5" customHeight="1" x14ac:dyDescent="0.25">
      <c r="A11" s="232"/>
      <c r="B11" s="232"/>
      <c r="C11" s="232"/>
      <c r="D11" s="232"/>
      <c r="E11" s="251"/>
      <c r="F11" s="2" t="s">
        <v>238</v>
      </c>
      <c r="G11" s="2" t="s">
        <v>137</v>
      </c>
      <c r="H11" s="251"/>
      <c r="I11" s="2" t="s">
        <v>238</v>
      </c>
      <c r="J11" s="2" t="s">
        <v>137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59">
        <v>9</v>
      </c>
      <c r="J12" s="159">
        <v>10</v>
      </c>
      <c r="M12" s="12"/>
      <c r="N12" s="12"/>
    </row>
    <row r="13" spans="1:14" x14ac:dyDescent="0.25">
      <c r="A13" s="2"/>
      <c r="B13" s="233" t="s">
        <v>239</v>
      </c>
      <c r="C13" s="240"/>
      <c r="D13" s="232"/>
      <c r="E13" s="241"/>
      <c r="F13" s="242"/>
      <c r="G13" s="242"/>
      <c r="H13" s="243"/>
      <c r="I13" s="160"/>
      <c r="J13" s="160"/>
    </row>
    <row r="14" spans="1:14" ht="25.5" customHeight="1" x14ac:dyDescent="0.25">
      <c r="A14" s="2">
        <v>1</v>
      </c>
      <c r="B14" s="161" t="s">
        <v>240</v>
      </c>
      <c r="C14" s="8" t="s">
        <v>241</v>
      </c>
      <c r="D14" s="2" t="s">
        <v>242</v>
      </c>
      <c r="E14" s="162">
        <f>G14/F14</f>
        <v>226.36285714286001</v>
      </c>
      <c r="F14" s="32">
        <v>10.5</v>
      </c>
      <c r="G14" s="32">
        <f>'Прил. 3'!H10</f>
        <v>2376.81</v>
      </c>
      <c r="H14" s="163">
        <f>G14/G15</f>
        <v>1</v>
      </c>
      <c r="I14" s="32">
        <f>ФОТр.тек.!E13</f>
        <v>484.52724250740999</v>
      </c>
      <c r="J14" s="32">
        <f>ROUND(I14*E14,2)</f>
        <v>109678.97</v>
      </c>
    </row>
    <row r="15" spans="1:14" s="12" customFormat="1" ht="25.5" customHeight="1" x14ac:dyDescent="0.2">
      <c r="A15" s="2"/>
      <c r="B15" s="2"/>
      <c r="C15" s="103" t="s">
        <v>243</v>
      </c>
      <c r="D15" s="2" t="s">
        <v>242</v>
      </c>
      <c r="E15" s="162">
        <f>SUM(E14:E14)</f>
        <v>226.36285714286001</v>
      </c>
      <c r="F15" s="32"/>
      <c r="G15" s="32">
        <f>SUM(G14:G14)</f>
        <v>2376.81</v>
      </c>
      <c r="H15" s="164">
        <v>1</v>
      </c>
      <c r="I15" s="160"/>
      <c r="J15" s="32">
        <f>SUM(J14:J14)</f>
        <v>109678.97</v>
      </c>
    </row>
    <row r="16" spans="1:14" s="12" customFormat="1" ht="14.25" customHeight="1" x14ac:dyDescent="0.2">
      <c r="A16" s="2"/>
      <c r="B16" s="240" t="s">
        <v>151</v>
      </c>
      <c r="C16" s="240"/>
      <c r="D16" s="232"/>
      <c r="E16" s="241"/>
      <c r="F16" s="242"/>
      <c r="G16" s="242"/>
      <c r="H16" s="243"/>
      <c r="I16" s="160"/>
      <c r="J16" s="160"/>
    </row>
    <row r="17" spans="1:10" s="12" customFormat="1" ht="14.25" customHeight="1" x14ac:dyDescent="0.2">
      <c r="A17" s="2">
        <v>2</v>
      </c>
      <c r="B17" s="2">
        <v>2</v>
      </c>
      <c r="C17" s="8" t="s">
        <v>151</v>
      </c>
      <c r="D17" s="2" t="s">
        <v>242</v>
      </c>
      <c r="E17" s="162">
        <v>127.64046039999999</v>
      </c>
      <c r="F17" s="32">
        <f>G17/E17</f>
        <v>12.499328151906001</v>
      </c>
      <c r="G17" s="32">
        <f>'Прил. 3'!H16</f>
        <v>1595.42</v>
      </c>
      <c r="H17" s="164">
        <v>1</v>
      </c>
      <c r="I17" s="32">
        <f>ROUND(F17*'Прил. 10'!D11,2)</f>
        <v>553.6</v>
      </c>
      <c r="J17" s="32">
        <f>ROUND(I17*E17,2)</f>
        <v>70661.759999999995</v>
      </c>
    </row>
    <row r="18" spans="1:10" s="12" customFormat="1" ht="14.25" customHeight="1" x14ac:dyDescent="0.2">
      <c r="A18" s="2"/>
      <c r="B18" s="233" t="s">
        <v>152</v>
      </c>
      <c r="C18" s="240"/>
      <c r="D18" s="232"/>
      <c r="E18" s="241"/>
      <c r="F18" s="242"/>
      <c r="G18" s="242"/>
      <c r="H18" s="243"/>
      <c r="I18" s="160"/>
      <c r="J18" s="160"/>
    </row>
    <row r="19" spans="1:10" s="12" customFormat="1" ht="14.25" customHeight="1" x14ac:dyDescent="0.2">
      <c r="A19" s="2"/>
      <c r="B19" s="240" t="s">
        <v>244</v>
      </c>
      <c r="C19" s="240"/>
      <c r="D19" s="232"/>
      <c r="E19" s="241"/>
      <c r="F19" s="242"/>
      <c r="G19" s="242"/>
      <c r="H19" s="243"/>
      <c r="I19" s="160"/>
      <c r="J19" s="160"/>
    </row>
    <row r="20" spans="1:10" s="12" customFormat="1" ht="14.25" customHeight="1" x14ac:dyDescent="0.2">
      <c r="A20" s="2">
        <v>3</v>
      </c>
      <c r="B20" s="161" t="s">
        <v>153</v>
      </c>
      <c r="C20" s="8" t="s">
        <v>154</v>
      </c>
      <c r="D20" s="2" t="s">
        <v>155</v>
      </c>
      <c r="E20" s="162">
        <v>51.771251999999997</v>
      </c>
      <c r="F20" s="102">
        <v>74.239999999999995</v>
      </c>
      <c r="G20" s="32">
        <f>ROUND(E20*F20,2)</f>
        <v>3843.5</v>
      </c>
      <c r="H20" s="163">
        <f>G20/$G$33</f>
        <v>0.63333899084306999</v>
      </c>
      <c r="I20" s="32">
        <f>ROUND(F20*'Прил. 10'!$D$12,2)</f>
        <v>1000.01</v>
      </c>
      <c r="J20" s="32">
        <f>ROUND(I20*E20,2)</f>
        <v>51771.77</v>
      </c>
    </row>
    <row r="21" spans="1:10" s="12" customFormat="1" ht="25.5" customHeight="1" x14ac:dyDescent="0.2">
      <c r="A21" s="2">
        <v>4</v>
      </c>
      <c r="B21" s="161" t="s">
        <v>156</v>
      </c>
      <c r="C21" s="8" t="s">
        <v>157</v>
      </c>
      <c r="D21" s="2" t="s">
        <v>155</v>
      </c>
      <c r="E21" s="162">
        <v>13.710967999999999</v>
      </c>
      <c r="F21" s="102">
        <v>115.4</v>
      </c>
      <c r="G21" s="32">
        <f>ROUND(E21*F21,2)</f>
        <v>1582.25</v>
      </c>
      <c r="H21" s="163">
        <f>G21/$G$33</f>
        <v>0.26072606173057</v>
      </c>
      <c r="I21" s="32">
        <f>ROUND(F21*'Прил. 10'!$D$12,2)</f>
        <v>1554.44</v>
      </c>
      <c r="J21" s="32">
        <f>ROUND(I21*E21,2)</f>
        <v>21312.880000000001</v>
      </c>
    </row>
    <row r="22" spans="1:10" s="12" customFormat="1" ht="14.25" customHeight="1" x14ac:dyDescent="0.2">
      <c r="A22" s="2"/>
      <c r="B22" s="2"/>
      <c r="C22" s="8" t="s">
        <v>245</v>
      </c>
      <c r="D22" s="2"/>
      <c r="E22" s="162"/>
      <c r="F22" s="32"/>
      <c r="G22" s="32">
        <f>SUM(G20:G21)</f>
        <v>5425.75</v>
      </c>
      <c r="H22" s="164">
        <f>G22/G33</f>
        <v>0.89406505257364999</v>
      </c>
      <c r="I22" s="165"/>
      <c r="J22" s="32">
        <f>SUM(J20:J21)</f>
        <v>73084.649999999994</v>
      </c>
    </row>
    <row r="23" spans="1:10" s="12" customFormat="1" ht="25.5" customHeight="1" outlineLevel="1" x14ac:dyDescent="0.2">
      <c r="A23" s="2">
        <v>5</v>
      </c>
      <c r="B23" s="161" t="s">
        <v>158</v>
      </c>
      <c r="C23" s="8" t="s">
        <v>159</v>
      </c>
      <c r="D23" s="2" t="s">
        <v>155</v>
      </c>
      <c r="E23" s="162">
        <v>4.0880511999999998</v>
      </c>
      <c r="F23" s="102">
        <v>65.709999999999994</v>
      </c>
      <c r="G23" s="32">
        <f t="shared" ref="G23:G31" si="0">ROUND(E23*F23,2)</f>
        <v>268.63</v>
      </c>
      <c r="H23" s="163">
        <f t="shared" ref="H23:H31" si="1">G23/$G$33</f>
        <v>4.4265344896624002E-2</v>
      </c>
      <c r="I23" s="32">
        <f>ROUND(F23*'Прил. 10'!$D$12,2)</f>
        <v>885.11</v>
      </c>
      <c r="J23" s="32">
        <f t="shared" ref="J23:J31" si="2">ROUND(I23*E23,2)</f>
        <v>3618.37</v>
      </c>
    </row>
    <row r="24" spans="1:10" s="12" customFormat="1" ht="25.5" customHeight="1" outlineLevel="1" x14ac:dyDescent="0.2">
      <c r="A24" s="2">
        <v>6</v>
      </c>
      <c r="B24" s="161" t="s">
        <v>160</v>
      </c>
      <c r="C24" s="8" t="s">
        <v>161</v>
      </c>
      <c r="D24" s="2" t="s">
        <v>155</v>
      </c>
      <c r="E24" s="162">
        <v>5.7</v>
      </c>
      <c r="F24" s="102">
        <v>29.6</v>
      </c>
      <c r="G24" s="32">
        <f t="shared" si="0"/>
        <v>168.72</v>
      </c>
      <c r="H24" s="163">
        <f t="shared" si="1"/>
        <v>2.7801991553283001E-2</v>
      </c>
      <c r="I24" s="32">
        <f>ROUND(F24*'Прил. 10'!$D$12,2)</f>
        <v>398.71</v>
      </c>
      <c r="J24" s="32">
        <f t="shared" si="2"/>
        <v>2272.65</v>
      </c>
    </row>
    <row r="25" spans="1:10" s="12" customFormat="1" ht="38.25" customHeight="1" outlineLevel="1" x14ac:dyDescent="0.2">
      <c r="A25" s="2">
        <v>7</v>
      </c>
      <c r="B25" s="161" t="s">
        <v>162</v>
      </c>
      <c r="C25" s="8" t="s">
        <v>163</v>
      </c>
      <c r="D25" s="2" t="s">
        <v>155</v>
      </c>
      <c r="E25" s="162">
        <v>9.7131659999999993</v>
      </c>
      <c r="F25" s="102">
        <v>14</v>
      </c>
      <c r="G25" s="32">
        <f t="shared" si="0"/>
        <v>135.97999999999999</v>
      </c>
      <c r="H25" s="163">
        <f t="shared" si="1"/>
        <v>2.2407034207061999E-2</v>
      </c>
      <c r="I25" s="32">
        <f>ROUND(F25*'Прил. 10'!$D$12,2)</f>
        <v>188.58</v>
      </c>
      <c r="J25" s="32">
        <f t="shared" si="2"/>
        <v>1831.71</v>
      </c>
    </row>
    <row r="26" spans="1:10" s="12" customFormat="1" ht="14.25" customHeight="1" outlineLevel="1" x14ac:dyDescent="0.2">
      <c r="A26" s="2">
        <v>8</v>
      </c>
      <c r="B26" s="161" t="s">
        <v>164</v>
      </c>
      <c r="C26" s="8" t="s">
        <v>165</v>
      </c>
      <c r="D26" s="2" t="s">
        <v>155</v>
      </c>
      <c r="E26" s="162">
        <v>0.55104540000000002</v>
      </c>
      <c r="F26" s="102">
        <v>89.99</v>
      </c>
      <c r="G26" s="32">
        <f t="shared" si="0"/>
        <v>49.59</v>
      </c>
      <c r="H26" s="163">
        <f t="shared" si="1"/>
        <v>8.1715313011339E-3</v>
      </c>
      <c r="I26" s="32">
        <f>ROUND(F26*'Прил. 10'!$D$12,2)</f>
        <v>1212.17</v>
      </c>
      <c r="J26" s="32">
        <f t="shared" si="2"/>
        <v>667.96</v>
      </c>
    </row>
    <row r="27" spans="1:10" s="12" customFormat="1" ht="25.5" customHeight="1" outlineLevel="1" x14ac:dyDescent="0.2">
      <c r="A27" s="2">
        <v>9</v>
      </c>
      <c r="B27" s="161" t="s">
        <v>166</v>
      </c>
      <c r="C27" s="8" t="s">
        <v>167</v>
      </c>
      <c r="D27" s="2" t="s">
        <v>155</v>
      </c>
      <c r="E27" s="162">
        <v>1.4976</v>
      </c>
      <c r="F27" s="102">
        <v>8.1</v>
      </c>
      <c r="G27" s="32">
        <f t="shared" si="0"/>
        <v>12.13</v>
      </c>
      <c r="H27" s="163">
        <f t="shared" si="1"/>
        <v>1.9988036838626999E-3</v>
      </c>
      <c r="I27" s="32">
        <f>ROUND(F27*'Прил. 10'!$D$12,2)</f>
        <v>109.11</v>
      </c>
      <c r="J27" s="32">
        <f t="shared" si="2"/>
        <v>163.4</v>
      </c>
    </row>
    <row r="28" spans="1:10" s="12" customFormat="1" ht="25.5" customHeight="1" outlineLevel="1" x14ac:dyDescent="0.2">
      <c r="A28" s="2">
        <v>10</v>
      </c>
      <c r="B28" s="161" t="s">
        <v>168</v>
      </c>
      <c r="C28" s="8" t="s">
        <v>169</v>
      </c>
      <c r="D28" s="2" t="s">
        <v>155</v>
      </c>
      <c r="E28" s="162">
        <v>4.7891999999999997E-2</v>
      </c>
      <c r="F28" s="102">
        <v>85.84</v>
      </c>
      <c r="G28" s="32">
        <f t="shared" si="0"/>
        <v>4.1100000000000003</v>
      </c>
      <c r="H28" s="163">
        <f t="shared" si="1"/>
        <v>6.7725335042669998E-4</v>
      </c>
      <c r="I28" s="32">
        <f>ROUND(F28*'Прил. 10'!$D$12,2)</f>
        <v>1156.26</v>
      </c>
      <c r="J28" s="32">
        <f t="shared" si="2"/>
        <v>55.38</v>
      </c>
    </row>
    <row r="29" spans="1:10" s="12" customFormat="1" ht="25.5" customHeight="1" outlineLevel="1" x14ac:dyDescent="0.2">
      <c r="A29" s="2">
        <v>11</v>
      </c>
      <c r="B29" s="161" t="s">
        <v>170</v>
      </c>
      <c r="C29" s="8" t="s">
        <v>171</v>
      </c>
      <c r="D29" s="2" t="s">
        <v>155</v>
      </c>
      <c r="E29" s="162">
        <v>3.78</v>
      </c>
      <c r="F29" s="102">
        <v>0.9</v>
      </c>
      <c r="G29" s="32">
        <f t="shared" si="0"/>
        <v>3.4</v>
      </c>
      <c r="H29" s="163">
        <f t="shared" si="1"/>
        <v>5.6025824609507997E-4</v>
      </c>
      <c r="I29" s="32">
        <f>ROUND(F29*'Прил. 10'!$D$12,2)</f>
        <v>12.12</v>
      </c>
      <c r="J29" s="32">
        <f t="shared" si="2"/>
        <v>45.81</v>
      </c>
    </row>
    <row r="30" spans="1:10" s="12" customFormat="1" ht="38.25" customHeight="1" outlineLevel="1" x14ac:dyDescent="0.2">
      <c r="A30" s="2">
        <v>12</v>
      </c>
      <c r="B30" s="161" t="s">
        <v>172</v>
      </c>
      <c r="C30" s="8" t="s">
        <v>173</v>
      </c>
      <c r="D30" s="2" t="s">
        <v>155</v>
      </c>
      <c r="E30" s="162">
        <v>4.6453300000000003E-2</v>
      </c>
      <c r="F30" s="102">
        <v>6.82</v>
      </c>
      <c r="G30" s="32">
        <f t="shared" si="0"/>
        <v>0.32</v>
      </c>
      <c r="H30" s="163">
        <f t="shared" si="1"/>
        <v>5.2730187867772003E-5</v>
      </c>
      <c r="I30" s="32">
        <f>ROUND(F30*'Прил. 10'!$D$12,2)</f>
        <v>91.87</v>
      </c>
      <c r="J30" s="32">
        <f t="shared" si="2"/>
        <v>4.2699999999999996</v>
      </c>
    </row>
    <row r="31" spans="1:10" s="12" customFormat="1" ht="25.5" customHeight="1" outlineLevel="1" x14ac:dyDescent="0.2">
      <c r="A31" s="2">
        <v>13</v>
      </c>
      <c r="B31" s="161" t="s">
        <v>174</v>
      </c>
      <c r="C31" s="8" t="s">
        <v>175</v>
      </c>
      <c r="D31" s="2" t="s">
        <v>155</v>
      </c>
      <c r="E31" s="162">
        <v>2.8739999999999999E-4</v>
      </c>
      <c r="F31" s="102">
        <v>1.7</v>
      </c>
      <c r="G31" s="32">
        <f t="shared" si="0"/>
        <v>0</v>
      </c>
      <c r="H31" s="163">
        <f t="shared" si="1"/>
        <v>0</v>
      </c>
      <c r="I31" s="32">
        <f>ROUND(F31*'Прил. 10'!$D$12,2)</f>
        <v>22.9</v>
      </c>
      <c r="J31" s="32">
        <f t="shared" si="2"/>
        <v>0.01</v>
      </c>
    </row>
    <row r="32" spans="1:10" s="12" customFormat="1" ht="14.25" customHeight="1" x14ac:dyDescent="0.2">
      <c r="A32" s="2"/>
      <c r="B32" s="2"/>
      <c r="C32" s="8" t="s">
        <v>246</v>
      </c>
      <c r="D32" s="2"/>
      <c r="E32" s="158"/>
      <c r="F32" s="32"/>
      <c r="G32" s="165">
        <f>SUM(G23:G31)</f>
        <v>642.88</v>
      </c>
      <c r="H32" s="163">
        <f>G32/G33</f>
        <v>0.10593494742635</v>
      </c>
      <c r="I32" s="32"/>
      <c r="J32" s="32">
        <f>SUM(J23:J31)</f>
        <v>8659.56</v>
      </c>
    </row>
    <row r="33" spans="1:10" s="12" customFormat="1" ht="25.5" customHeight="1" x14ac:dyDescent="0.2">
      <c r="A33" s="2"/>
      <c r="B33" s="2"/>
      <c r="C33" s="103" t="s">
        <v>247</v>
      </c>
      <c r="D33" s="2"/>
      <c r="E33" s="158"/>
      <c r="F33" s="32"/>
      <c r="G33" s="32">
        <f>G32+G22</f>
        <v>6068.63</v>
      </c>
      <c r="H33" s="166">
        <v>1</v>
      </c>
      <c r="I33" s="167"/>
      <c r="J33" s="168">
        <f>J32+J22</f>
        <v>81744.210000000006</v>
      </c>
    </row>
    <row r="34" spans="1:10" s="12" customFormat="1" ht="14.25" customHeight="1" x14ac:dyDescent="0.2">
      <c r="A34" s="2"/>
      <c r="B34" s="233" t="s">
        <v>43</v>
      </c>
      <c r="C34" s="233"/>
      <c r="D34" s="244"/>
      <c r="E34" s="245"/>
      <c r="F34" s="246"/>
      <c r="G34" s="246"/>
      <c r="H34" s="247"/>
      <c r="I34" s="160"/>
      <c r="J34" s="160"/>
    </row>
    <row r="35" spans="1:10" x14ac:dyDescent="0.25">
      <c r="A35" s="2"/>
      <c r="B35" s="240" t="s">
        <v>248</v>
      </c>
      <c r="C35" s="240"/>
      <c r="D35" s="232"/>
      <c r="E35" s="241"/>
      <c r="F35" s="242"/>
      <c r="G35" s="242"/>
      <c r="H35" s="243"/>
      <c r="I35" s="160"/>
      <c r="J35" s="160"/>
    </row>
    <row r="36" spans="1:10" s="12" customFormat="1" ht="14.25" customHeight="1" x14ac:dyDescent="0.2">
      <c r="A36" s="2">
        <v>14</v>
      </c>
      <c r="B36" s="2" t="s">
        <v>249</v>
      </c>
      <c r="C36" s="8" t="s">
        <v>177</v>
      </c>
      <c r="D36" s="2" t="s">
        <v>178</v>
      </c>
      <c r="E36" s="158">
        <v>9</v>
      </c>
      <c r="F36" s="102">
        <f>ROUND(I36/'Прил. 10'!D14,2)</f>
        <v>5458.47</v>
      </c>
      <c r="G36" s="32">
        <f>ROUND(E36*F36,2)</f>
        <v>49126.23</v>
      </c>
      <c r="H36" s="163">
        <f>G36/$G$39</f>
        <v>1</v>
      </c>
      <c r="I36" s="32">
        <v>34170</v>
      </c>
      <c r="J36" s="32">
        <f>ROUND(I36*E36,2)</f>
        <v>307530</v>
      </c>
    </row>
    <row r="37" spans="1:10" x14ac:dyDescent="0.25">
      <c r="A37" s="2"/>
      <c r="B37" s="2"/>
      <c r="C37" s="8" t="s">
        <v>250</v>
      </c>
      <c r="D37" s="2"/>
      <c r="E37" s="162"/>
      <c r="F37" s="102"/>
      <c r="G37" s="32">
        <f>G36</f>
        <v>49126.23</v>
      </c>
      <c r="H37" s="163">
        <f>G37/$G$39</f>
        <v>1</v>
      </c>
      <c r="I37" s="165"/>
      <c r="J37" s="32">
        <f>J36</f>
        <v>307530</v>
      </c>
    </row>
    <row r="38" spans="1:10" x14ac:dyDescent="0.25">
      <c r="A38" s="2"/>
      <c r="B38" s="2"/>
      <c r="C38" s="8" t="s">
        <v>251</v>
      </c>
      <c r="D38" s="2"/>
      <c r="E38" s="162"/>
      <c r="F38" s="102"/>
      <c r="G38" s="32">
        <v>0</v>
      </c>
      <c r="H38" s="163">
        <f>G38/$G$39</f>
        <v>0</v>
      </c>
      <c r="I38" s="165"/>
      <c r="J38" s="32">
        <v>0</v>
      </c>
    </row>
    <row r="39" spans="1:10" x14ac:dyDescent="0.25">
      <c r="A39" s="2"/>
      <c r="B39" s="2"/>
      <c r="C39" s="103" t="s">
        <v>252</v>
      </c>
      <c r="D39" s="2"/>
      <c r="E39" s="158"/>
      <c r="F39" s="102"/>
      <c r="G39" s="32">
        <f>G37+G38</f>
        <v>49126.23</v>
      </c>
      <c r="H39" s="163">
        <f>G39/$G$39</f>
        <v>1</v>
      </c>
      <c r="I39" s="165"/>
      <c r="J39" s="32">
        <f>J38+J37</f>
        <v>307530</v>
      </c>
    </row>
    <row r="40" spans="1:10" ht="25.5" customHeight="1" x14ac:dyDescent="0.25">
      <c r="A40" s="2"/>
      <c r="B40" s="2"/>
      <c r="C40" s="8" t="s">
        <v>253</v>
      </c>
      <c r="D40" s="2"/>
      <c r="E40" s="169"/>
      <c r="F40" s="102"/>
      <c r="G40" s="32">
        <f>G39</f>
        <v>49126.23</v>
      </c>
      <c r="H40" s="164"/>
      <c r="I40" s="165"/>
      <c r="J40" s="32">
        <f>J39</f>
        <v>307530</v>
      </c>
    </row>
    <row r="41" spans="1:10" s="12" customFormat="1" ht="14.25" customHeight="1" x14ac:dyDescent="0.2">
      <c r="A41" s="2"/>
      <c r="B41" s="233" t="s">
        <v>179</v>
      </c>
      <c r="C41" s="233"/>
      <c r="D41" s="244"/>
      <c r="E41" s="245"/>
      <c r="F41" s="246"/>
      <c r="G41" s="246"/>
      <c r="H41" s="247"/>
      <c r="I41" s="160"/>
      <c r="J41" s="160"/>
    </row>
    <row r="42" spans="1:10" s="12" customFormat="1" ht="14.25" customHeight="1" x14ac:dyDescent="0.2">
      <c r="A42" s="159"/>
      <c r="B42" s="235" t="s">
        <v>254</v>
      </c>
      <c r="C42" s="235"/>
      <c r="D42" s="236"/>
      <c r="E42" s="237"/>
      <c r="F42" s="238"/>
      <c r="G42" s="238"/>
      <c r="H42" s="239"/>
      <c r="I42" s="170"/>
      <c r="J42" s="170"/>
    </row>
    <row r="43" spans="1:10" s="12" customFormat="1" ht="14.25" customHeight="1" x14ac:dyDescent="0.2">
      <c r="A43" s="2">
        <v>15</v>
      </c>
      <c r="B43" s="2" t="s">
        <v>180</v>
      </c>
      <c r="C43" s="8" t="s">
        <v>181</v>
      </c>
      <c r="D43" s="2" t="s">
        <v>182</v>
      </c>
      <c r="E43" s="158">
        <v>2.4664380000000001</v>
      </c>
      <c r="F43" s="32">
        <v>12500</v>
      </c>
      <c r="G43" s="32">
        <f>ROUND(E43*F43,2)</f>
        <v>30830.48</v>
      </c>
      <c r="H43" s="163">
        <f t="shared" ref="H43:H63" si="3">G43/$G$63</f>
        <v>0.83866127479969999</v>
      </c>
      <c r="I43" s="32">
        <f>ROUND(F43*'Прил. 10'!$D$13,2)</f>
        <v>100500</v>
      </c>
      <c r="J43" s="32">
        <f>ROUND(I43*E43,2)</f>
        <v>247877.02</v>
      </c>
    </row>
    <row r="44" spans="1:10" s="12" customFormat="1" ht="25.5" customHeight="1" x14ac:dyDescent="0.2">
      <c r="A44" s="2">
        <v>16</v>
      </c>
      <c r="B44" s="2" t="s">
        <v>183</v>
      </c>
      <c r="C44" s="8" t="s">
        <v>184</v>
      </c>
      <c r="D44" s="2" t="s">
        <v>182</v>
      </c>
      <c r="E44" s="158">
        <v>8.3164500000000002E-2</v>
      </c>
      <c r="F44" s="32">
        <v>30090</v>
      </c>
      <c r="G44" s="32">
        <f>ROUND(E44*F44,2)</f>
        <v>2502.42</v>
      </c>
      <c r="H44" s="163">
        <f t="shared" si="3"/>
        <v>6.8071685789007005E-2</v>
      </c>
      <c r="I44" s="32">
        <f>ROUND(F44*'Прил. 10'!$D$13,2)</f>
        <v>241923.6</v>
      </c>
      <c r="J44" s="32">
        <f>ROUND(I44*E44,2)</f>
        <v>20119.46</v>
      </c>
    </row>
    <row r="45" spans="1:10" s="12" customFormat="1" ht="14.25" customHeight="1" x14ac:dyDescent="0.2">
      <c r="A45" s="171"/>
      <c r="B45" s="172"/>
      <c r="C45" s="173" t="s">
        <v>255</v>
      </c>
      <c r="D45" s="171"/>
      <c r="E45" s="174"/>
      <c r="F45" s="168"/>
      <c r="G45" s="168">
        <f>SUM(G43:G44)</f>
        <v>33332.9</v>
      </c>
      <c r="H45" s="163">
        <f t="shared" si="3"/>
        <v>0.90673296058870001</v>
      </c>
      <c r="I45" s="32"/>
      <c r="J45" s="168">
        <f>SUM(J43:J44)</f>
        <v>267996.48</v>
      </c>
    </row>
    <row r="46" spans="1:10" s="12" customFormat="1" ht="25.5" customHeight="1" outlineLevel="1" x14ac:dyDescent="0.2">
      <c r="A46" s="2">
        <v>17</v>
      </c>
      <c r="B46" s="2" t="s">
        <v>185</v>
      </c>
      <c r="C46" s="8" t="s">
        <v>186</v>
      </c>
      <c r="D46" s="2" t="s">
        <v>187</v>
      </c>
      <c r="E46" s="158">
        <v>0.18</v>
      </c>
      <c r="F46" s="32">
        <v>6080</v>
      </c>
      <c r="G46" s="32">
        <f t="shared" ref="G46:G61" si="4">ROUND(E46*F46,2)</f>
        <v>1094.4000000000001</v>
      </c>
      <c r="H46" s="163">
        <f t="shared" si="3"/>
        <v>2.9770243575214999E-2</v>
      </c>
      <c r="I46" s="32">
        <f>ROUND(F46*'Прил. 10'!$D$13,2)</f>
        <v>48883.199999999997</v>
      </c>
      <c r="J46" s="32">
        <f t="shared" ref="J46:J61" si="5">ROUND(I46*E46,2)</f>
        <v>8798.98</v>
      </c>
    </row>
    <row r="47" spans="1:10" s="12" customFormat="1" ht="25.5" customHeight="1" outlineLevel="1" x14ac:dyDescent="0.2">
      <c r="A47" s="2">
        <v>18</v>
      </c>
      <c r="B47" s="2" t="s">
        <v>188</v>
      </c>
      <c r="C47" s="8" t="s">
        <v>189</v>
      </c>
      <c r="D47" s="2" t="s">
        <v>182</v>
      </c>
      <c r="E47" s="158">
        <v>3.1175000000000001E-2</v>
      </c>
      <c r="F47" s="32">
        <v>32758.86</v>
      </c>
      <c r="G47" s="32">
        <f t="shared" si="4"/>
        <v>1021.26</v>
      </c>
      <c r="H47" s="163">
        <f t="shared" si="3"/>
        <v>2.7780664248559999E-2</v>
      </c>
      <c r="I47" s="32">
        <f>ROUND(F47*'Прил. 10'!$D$13,2)</f>
        <v>263381.23</v>
      </c>
      <c r="J47" s="32">
        <f t="shared" si="5"/>
        <v>8210.91</v>
      </c>
    </row>
    <row r="48" spans="1:10" s="12" customFormat="1" ht="14.25" customHeight="1" outlineLevel="1" x14ac:dyDescent="0.2">
      <c r="A48" s="2">
        <v>19</v>
      </c>
      <c r="B48" s="2" t="s">
        <v>190</v>
      </c>
      <c r="C48" s="8" t="s">
        <v>191</v>
      </c>
      <c r="D48" s="2" t="s">
        <v>182</v>
      </c>
      <c r="E48" s="158">
        <v>2.76688E-2</v>
      </c>
      <c r="F48" s="32">
        <v>10315.01</v>
      </c>
      <c r="G48" s="32">
        <f t="shared" si="4"/>
        <v>285.39999999999998</v>
      </c>
      <c r="H48" s="163">
        <f t="shared" si="3"/>
        <v>7.7635485346914E-3</v>
      </c>
      <c r="I48" s="32">
        <f>ROUND(F48*'Прил. 10'!$D$13,2)</f>
        <v>82932.679999999993</v>
      </c>
      <c r="J48" s="32">
        <f t="shared" si="5"/>
        <v>2294.65</v>
      </c>
    </row>
    <row r="49" spans="1:10" s="12" customFormat="1" ht="14.25" customHeight="1" outlineLevel="1" x14ac:dyDescent="0.2">
      <c r="A49" s="2">
        <v>20</v>
      </c>
      <c r="B49" s="2" t="s">
        <v>192</v>
      </c>
      <c r="C49" s="8" t="s">
        <v>193</v>
      </c>
      <c r="D49" s="2" t="s">
        <v>194</v>
      </c>
      <c r="E49" s="158">
        <v>7.2</v>
      </c>
      <c r="F49" s="32">
        <v>28.6</v>
      </c>
      <c r="G49" s="32">
        <f t="shared" si="4"/>
        <v>205.92</v>
      </c>
      <c r="H49" s="163">
        <f t="shared" si="3"/>
        <v>5.6015063569154E-3</v>
      </c>
      <c r="I49" s="32">
        <f>ROUND(F49*'Прил. 10'!$D$13,2)</f>
        <v>229.94</v>
      </c>
      <c r="J49" s="32">
        <f t="shared" si="5"/>
        <v>1655.57</v>
      </c>
    </row>
    <row r="50" spans="1:10" s="12" customFormat="1" ht="25.5" customHeight="1" outlineLevel="1" x14ac:dyDescent="0.2">
      <c r="A50" s="2">
        <v>21</v>
      </c>
      <c r="B50" s="2" t="s">
        <v>195</v>
      </c>
      <c r="C50" s="8" t="s">
        <v>196</v>
      </c>
      <c r="D50" s="2" t="s">
        <v>194</v>
      </c>
      <c r="E50" s="158">
        <v>0.78542900000000004</v>
      </c>
      <c r="F50" s="32">
        <v>238.48</v>
      </c>
      <c r="G50" s="32">
        <f t="shared" si="4"/>
        <v>187.31</v>
      </c>
      <c r="H50" s="163">
        <f t="shared" si="3"/>
        <v>5.0952707639559999E-3</v>
      </c>
      <c r="I50" s="32">
        <f>ROUND(F50*'Прил. 10'!$D$13,2)</f>
        <v>1917.38</v>
      </c>
      <c r="J50" s="32">
        <f t="shared" si="5"/>
        <v>1505.97</v>
      </c>
    </row>
    <row r="51" spans="1:10" s="12" customFormat="1" ht="14.25" customHeight="1" outlineLevel="1" x14ac:dyDescent="0.2">
      <c r="A51" s="2">
        <v>22</v>
      </c>
      <c r="B51" s="2" t="s">
        <v>197</v>
      </c>
      <c r="C51" s="8" t="s">
        <v>198</v>
      </c>
      <c r="D51" s="2" t="s">
        <v>194</v>
      </c>
      <c r="E51" s="158">
        <v>27.5379</v>
      </c>
      <c r="F51" s="32">
        <v>6.67</v>
      </c>
      <c r="G51" s="32">
        <f t="shared" si="4"/>
        <v>183.68</v>
      </c>
      <c r="H51" s="163">
        <f t="shared" si="3"/>
        <v>4.9965262608694001E-3</v>
      </c>
      <c r="I51" s="32">
        <f>ROUND(F51*'Прил. 10'!$D$13,2)</f>
        <v>53.63</v>
      </c>
      <c r="J51" s="32">
        <f t="shared" si="5"/>
        <v>1476.86</v>
      </c>
    </row>
    <row r="52" spans="1:10" s="12" customFormat="1" ht="38.25" customHeight="1" outlineLevel="1" x14ac:dyDescent="0.2">
      <c r="A52" s="2">
        <v>23</v>
      </c>
      <c r="B52" s="2" t="s">
        <v>199</v>
      </c>
      <c r="C52" s="8" t="s">
        <v>200</v>
      </c>
      <c r="D52" s="2" t="s">
        <v>182</v>
      </c>
      <c r="E52" s="158">
        <v>2.7E-2</v>
      </c>
      <c r="F52" s="32">
        <v>5000</v>
      </c>
      <c r="G52" s="32">
        <f t="shared" si="4"/>
        <v>135</v>
      </c>
      <c r="H52" s="163">
        <f t="shared" si="3"/>
        <v>3.6723162304951999E-3</v>
      </c>
      <c r="I52" s="32">
        <f>ROUND(F52*'Прил. 10'!$D$13,2)</f>
        <v>40200</v>
      </c>
      <c r="J52" s="32">
        <f t="shared" si="5"/>
        <v>1085.4000000000001</v>
      </c>
    </row>
    <row r="53" spans="1:10" s="12" customFormat="1" ht="14.25" customHeight="1" outlineLevel="1" x14ac:dyDescent="0.2">
      <c r="A53" s="2">
        <v>24</v>
      </c>
      <c r="B53" s="2" t="s">
        <v>201</v>
      </c>
      <c r="C53" s="8" t="s">
        <v>202</v>
      </c>
      <c r="D53" s="2" t="s">
        <v>182</v>
      </c>
      <c r="E53" s="158">
        <v>1.8144E-2</v>
      </c>
      <c r="F53" s="32">
        <v>6200</v>
      </c>
      <c r="G53" s="32">
        <f t="shared" si="4"/>
        <v>112.49</v>
      </c>
      <c r="H53" s="163">
        <f t="shared" si="3"/>
        <v>3.0599915019881999E-3</v>
      </c>
      <c r="I53" s="32">
        <f>ROUND(F53*'Прил. 10'!$D$13,2)</f>
        <v>49848</v>
      </c>
      <c r="J53" s="32">
        <f t="shared" si="5"/>
        <v>904.44</v>
      </c>
    </row>
    <row r="54" spans="1:10" s="12" customFormat="1" ht="25.5" customHeight="1" outlineLevel="1" x14ac:dyDescent="0.2">
      <c r="A54" s="2">
        <v>25</v>
      </c>
      <c r="B54" s="2" t="s">
        <v>195</v>
      </c>
      <c r="C54" s="8" t="s">
        <v>196</v>
      </c>
      <c r="D54" s="2" t="s">
        <v>194</v>
      </c>
      <c r="E54" s="158">
        <v>0.33119999999999999</v>
      </c>
      <c r="F54" s="32">
        <v>238.48</v>
      </c>
      <c r="G54" s="32">
        <f t="shared" si="4"/>
        <v>78.98</v>
      </c>
      <c r="H54" s="163">
        <f t="shared" si="3"/>
        <v>2.1484410065519999E-3</v>
      </c>
      <c r="I54" s="32">
        <f>ROUND(F54*'Прил. 10'!$D$13,2)</f>
        <v>1917.38</v>
      </c>
      <c r="J54" s="32">
        <f t="shared" si="5"/>
        <v>635.04</v>
      </c>
    </row>
    <row r="55" spans="1:10" s="12" customFormat="1" ht="14.25" customHeight="1" outlineLevel="1" x14ac:dyDescent="0.2">
      <c r="A55" s="2">
        <v>26</v>
      </c>
      <c r="B55" s="2" t="s">
        <v>203</v>
      </c>
      <c r="C55" s="8" t="s">
        <v>204</v>
      </c>
      <c r="D55" s="2" t="s">
        <v>194</v>
      </c>
      <c r="E55" s="158">
        <v>8.73</v>
      </c>
      <c r="F55" s="32">
        <v>9.0399999999999991</v>
      </c>
      <c r="G55" s="32">
        <f t="shared" si="4"/>
        <v>78.92</v>
      </c>
      <c r="H55" s="163">
        <f t="shared" si="3"/>
        <v>2.1468088660051001E-3</v>
      </c>
      <c r="I55" s="32">
        <f>ROUND(F55*'Прил. 10'!$D$13,2)</f>
        <v>72.680000000000007</v>
      </c>
      <c r="J55" s="32">
        <f t="shared" si="5"/>
        <v>634.5</v>
      </c>
    </row>
    <row r="56" spans="1:10" s="12" customFormat="1" ht="25.5" customHeight="1" outlineLevel="1" x14ac:dyDescent="0.2">
      <c r="A56" s="2">
        <v>27</v>
      </c>
      <c r="B56" s="2" t="s">
        <v>205</v>
      </c>
      <c r="C56" s="8" t="s">
        <v>206</v>
      </c>
      <c r="D56" s="2" t="s">
        <v>194</v>
      </c>
      <c r="E56" s="158">
        <v>0.373558</v>
      </c>
      <c r="F56" s="32">
        <v>54.99</v>
      </c>
      <c r="G56" s="32">
        <f t="shared" si="4"/>
        <v>20.54</v>
      </c>
      <c r="H56" s="163">
        <f t="shared" si="3"/>
        <v>5.5873611388424004E-4</v>
      </c>
      <c r="I56" s="32">
        <f>ROUND(F56*'Прил. 10'!$D$13,2)</f>
        <v>442.12</v>
      </c>
      <c r="J56" s="32">
        <f t="shared" si="5"/>
        <v>165.16</v>
      </c>
    </row>
    <row r="57" spans="1:10" s="12" customFormat="1" ht="25.5" customHeight="1" outlineLevel="1" x14ac:dyDescent="0.2">
      <c r="A57" s="2">
        <v>28</v>
      </c>
      <c r="B57" s="2" t="s">
        <v>207</v>
      </c>
      <c r="C57" s="8" t="s">
        <v>208</v>
      </c>
      <c r="D57" s="2" t="s">
        <v>182</v>
      </c>
      <c r="E57" s="158">
        <v>4.2000000000000002E-4</v>
      </c>
      <c r="F57" s="32">
        <v>17500</v>
      </c>
      <c r="G57" s="32">
        <f t="shared" si="4"/>
        <v>7.35</v>
      </c>
      <c r="H57" s="163">
        <f t="shared" si="3"/>
        <v>1.9993721699363001E-4</v>
      </c>
      <c r="I57" s="32">
        <f>ROUND(F57*'Прил. 10'!$D$13,2)</f>
        <v>140700</v>
      </c>
      <c r="J57" s="32">
        <f t="shared" si="5"/>
        <v>59.09</v>
      </c>
    </row>
    <row r="58" spans="1:10" s="12" customFormat="1" ht="25.5" customHeight="1" outlineLevel="1" x14ac:dyDescent="0.2">
      <c r="A58" s="2">
        <v>29</v>
      </c>
      <c r="B58" s="2" t="s">
        <v>209</v>
      </c>
      <c r="C58" s="8" t="s">
        <v>210</v>
      </c>
      <c r="D58" s="2" t="s">
        <v>194</v>
      </c>
      <c r="E58" s="158">
        <v>0.63719999999999999</v>
      </c>
      <c r="F58" s="32">
        <v>10.57</v>
      </c>
      <c r="G58" s="32">
        <f t="shared" si="4"/>
        <v>6.74</v>
      </c>
      <c r="H58" s="163">
        <f t="shared" si="3"/>
        <v>1.8334378810028001E-4</v>
      </c>
      <c r="I58" s="32">
        <f>ROUND(F58*'Прил. 10'!$D$13,2)</f>
        <v>84.98</v>
      </c>
      <c r="J58" s="32">
        <f t="shared" si="5"/>
        <v>54.15</v>
      </c>
    </row>
    <row r="59" spans="1:10" s="12" customFormat="1" ht="25.5" customHeight="1" outlineLevel="1" x14ac:dyDescent="0.2">
      <c r="A59" s="2">
        <v>30</v>
      </c>
      <c r="B59" s="2" t="s">
        <v>211</v>
      </c>
      <c r="C59" s="8" t="s">
        <v>212</v>
      </c>
      <c r="D59" s="2" t="s">
        <v>213</v>
      </c>
      <c r="E59" s="158">
        <v>6.47112</v>
      </c>
      <c r="F59" s="32">
        <v>1</v>
      </c>
      <c r="G59" s="32">
        <f t="shared" si="4"/>
        <v>6.47</v>
      </c>
      <c r="H59" s="163">
        <f t="shared" si="3"/>
        <v>1.7599915563929001E-4</v>
      </c>
      <c r="I59" s="32">
        <f>ROUND(F59*'Прил. 10'!$D$13,2)</f>
        <v>8.0399999999999991</v>
      </c>
      <c r="J59" s="32">
        <f t="shared" si="5"/>
        <v>52.03</v>
      </c>
    </row>
    <row r="60" spans="1:10" s="12" customFormat="1" ht="38.25" customHeight="1" outlineLevel="1" x14ac:dyDescent="0.2">
      <c r="A60" s="2">
        <v>31</v>
      </c>
      <c r="B60" s="2" t="s">
        <v>214</v>
      </c>
      <c r="C60" s="8" t="s">
        <v>215</v>
      </c>
      <c r="D60" s="2" t="s">
        <v>182</v>
      </c>
      <c r="E60" s="158">
        <v>5.7600000000000001E-4</v>
      </c>
      <c r="F60" s="32">
        <v>5763</v>
      </c>
      <c r="G60" s="32">
        <f t="shared" si="4"/>
        <v>3.32</v>
      </c>
      <c r="H60" s="163">
        <f t="shared" si="3"/>
        <v>9.0311776927735007E-5</v>
      </c>
      <c r="I60" s="32">
        <f>ROUND(F60*'Прил. 10'!$D$13,2)</f>
        <v>46334.52</v>
      </c>
      <c r="J60" s="32">
        <f t="shared" si="5"/>
        <v>26.69</v>
      </c>
    </row>
    <row r="61" spans="1:10" s="12" customFormat="1" ht="14.25" customHeight="1" outlineLevel="1" x14ac:dyDescent="0.2">
      <c r="A61" s="2">
        <v>32</v>
      </c>
      <c r="B61" s="2" t="s">
        <v>216</v>
      </c>
      <c r="C61" s="8" t="s">
        <v>217</v>
      </c>
      <c r="D61" s="2" t="s">
        <v>194</v>
      </c>
      <c r="E61" s="158">
        <v>9.0991000000000002E-2</v>
      </c>
      <c r="F61" s="32">
        <v>9.42</v>
      </c>
      <c r="G61" s="32">
        <f t="shared" si="4"/>
        <v>0.86</v>
      </c>
      <c r="H61" s="163">
        <f t="shared" si="3"/>
        <v>2.3394014505376999E-5</v>
      </c>
      <c r="I61" s="32">
        <f>ROUND(F61*'Прил. 10'!$D$13,2)</f>
        <v>75.739999999999995</v>
      </c>
      <c r="J61" s="32">
        <f t="shared" si="5"/>
        <v>6.89</v>
      </c>
    </row>
    <row r="62" spans="1:10" s="12" customFormat="1" ht="14.25" customHeight="1" x14ac:dyDescent="0.2">
      <c r="A62" s="2"/>
      <c r="B62" s="2"/>
      <c r="C62" s="8" t="s">
        <v>256</v>
      </c>
      <c r="D62" s="2"/>
      <c r="E62" s="158"/>
      <c r="F62" s="102"/>
      <c r="G62" s="32">
        <f>SUM(G46:G61)</f>
        <v>3428.64</v>
      </c>
      <c r="H62" s="163">
        <f t="shared" si="3"/>
        <v>9.3267039411298006E-2</v>
      </c>
      <c r="I62" s="32"/>
      <c r="J62" s="32">
        <f>SUM(J46:J61)</f>
        <v>27566.33</v>
      </c>
    </row>
    <row r="63" spans="1:10" s="12" customFormat="1" ht="14.25" customHeight="1" x14ac:dyDescent="0.2">
      <c r="A63" s="2"/>
      <c r="B63" s="2"/>
      <c r="C63" s="103" t="s">
        <v>257</v>
      </c>
      <c r="D63" s="2"/>
      <c r="E63" s="158"/>
      <c r="F63" s="102"/>
      <c r="G63" s="32">
        <f>G45+G62</f>
        <v>36761.54</v>
      </c>
      <c r="H63" s="164">
        <f t="shared" si="3"/>
        <v>1</v>
      </c>
      <c r="I63" s="32"/>
      <c r="J63" s="32">
        <f>J45+J62</f>
        <v>295562.81</v>
      </c>
    </row>
    <row r="64" spans="1:10" s="12" customFormat="1" ht="14.25" customHeight="1" x14ac:dyDescent="0.2">
      <c r="A64" s="2"/>
      <c r="B64" s="2"/>
      <c r="C64" s="8" t="s">
        <v>258</v>
      </c>
      <c r="D64" s="2"/>
      <c r="E64" s="158"/>
      <c r="F64" s="102"/>
      <c r="G64" s="32">
        <f>G15+G33+G63</f>
        <v>45206.98</v>
      </c>
      <c r="H64" s="164"/>
      <c r="I64" s="32"/>
      <c r="J64" s="32">
        <f>J15+J33+J63</f>
        <v>486985.99</v>
      </c>
    </row>
    <row r="65" spans="1:10" s="12" customFormat="1" ht="14.25" customHeight="1" x14ac:dyDescent="0.2">
      <c r="A65" s="2"/>
      <c r="B65" s="2"/>
      <c r="C65" s="8" t="s">
        <v>259</v>
      </c>
      <c r="D65" s="175">
        <f>ROUND(G65/(G$17+$G$15),2)</f>
        <v>0.96</v>
      </c>
      <c r="E65" s="158"/>
      <c r="F65" s="102"/>
      <c r="G65" s="32">
        <v>3793.97</v>
      </c>
      <c r="H65" s="164"/>
      <c r="I65" s="32"/>
      <c r="J65" s="32">
        <f>ROUND(D65*(J15+J17),2)</f>
        <v>173127.1</v>
      </c>
    </row>
    <row r="66" spans="1:10" s="12" customFormat="1" ht="14.25" customHeight="1" x14ac:dyDescent="0.2">
      <c r="A66" s="2"/>
      <c r="B66" s="2"/>
      <c r="C66" s="8" t="s">
        <v>260</v>
      </c>
      <c r="D66" s="175">
        <f>ROUND(G66/(G$15+G$17),2)</f>
        <v>0.52</v>
      </c>
      <c r="E66" s="158"/>
      <c r="F66" s="102"/>
      <c r="G66" s="32">
        <v>2072.7600000000002</v>
      </c>
      <c r="H66" s="164"/>
      <c r="I66" s="32"/>
      <c r="J66" s="32">
        <f>ROUND(D66*(J15+J17),2)</f>
        <v>93777.18</v>
      </c>
    </row>
    <row r="67" spans="1:10" s="12" customFormat="1" ht="14.25" customHeight="1" x14ac:dyDescent="0.2">
      <c r="A67" s="2"/>
      <c r="B67" s="2"/>
      <c r="C67" s="8" t="s">
        <v>261</v>
      </c>
      <c r="D67" s="2"/>
      <c r="E67" s="158"/>
      <c r="F67" s="102"/>
      <c r="G67" s="32">
        <f>G15+G33+G63+G65+G66</f>
        <v>51073.71</v>
      </c>
      <c r="H67" s="164"/>
      <c r="I67" s="32"/>
      <c r="J67" s="32">
        <f>J15+J33+J63+J65+J66</f>
        <v>753890.27</v>
      </c>
    </row>
    <row r="68" spans="1:10" s="12" customFormat="1" ht="14.25" customHeight="1" x14ac:dyDescent="0.2">
      <c r="A68" s="2"/>
      <c r="B68" s="2"/>
      <c r="C68" s="8" t="s">
        <v>262</v>
      </c>
      <c r="D68" s="2"/>
      <c r="E68" s="158"/>
      <c r="F68" s="102"/>
      <c r="G68" s="32">
        <f>G67+G39</f>
        <v>100199.94</v>
      </c>
      <c r="H68" s="164"/>
      <c r="I68" s="32"/>
      <c r="J68" s="32">
        <f>J67+J39</f>
        <v>1061420.27</v>
      </c>
    </row>
    <row r="69" spans="1:10" s="12" customFormat="1" ht="34.5" customHeight="1" x14ac:dyDescent="0.2">
      <c r="A69" s="2"/>
      <c r="B69" s="2"/>
      <c r="C69" s="8" t="s">
        <v>108</v>
      </c>
      <c r="D69" s="2" t="s">
        <v>263</v>
      </c>
      <c r="E69" s="158">
        <v>3</v>
      </c>
      <c r="F69" s="102"/>
      <c r="G69" s="32">
        <f>G68/E69</f>
        <v>33399.980000000003</v>
      </c>
      <c r="H69" s="164"/>
      <c r="I69" s="32"/>
      <c r="J69" s="32">
        <f>J68/E69</f>
        <v>353806.75666666997</v>
      </c>
    </row>
    <row r="71" spans="1:10" s="184" customFormat="1" x14ac:dyDescent="0.25">
      <c r="B71" s="203" t="s">
        <v>430</v>
      </c>
      <c r="C71" s="191"/>
    </row>
    <row r="72" spans="1:10" s="184" customFormat="1" x14ac:dyDescent="0.25">
      <c r="B72" s="179" t="s">
        <v>75</v>
      </c>
      <c r="C72" s="191"/>
    </row>
    <row r="73" spans="1:10" s="184" customFormat="1" x14ac:dyDescent="0.25">
      <c r="B73" s="203"/>
      <c r="C73" s="191"/>
    </row>
    <row r="74" spans="1:10" s="184" customFormat="1" x14ac:dyDescent="0.25">
      <c r="B74" s="203" t="s">
        <v>264</v>
      </c>
      <c r="C74" s="191"/>
    </row>
    <row r="75" spans="1:10" s="184" customFormat="1" x14ac:dyDescent="0.25">
      <c r="B75" s="179" t="s">
        <v>76</v>
      </c>
      <c r="C75" s="191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2:H42"/>
    <mergeCell ref="B13:H13"/>
    <mergeCell ref="B16:H16"/>
    <mergeCell ref="B18:H18"/>
    <mergeCell ref="B19:H19"/>
    <mergeCell ref="B35:H35"/>
    <mergeCell ref="B34:H34"/>
    <mergeCell ref="B41:H41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2023-11-30T07:56:19Z</cp:lastPrinted>
  <dcterms:created xsi:type="dcterms:W3CDTF">2020-09-30T08:50:27Z</dcterms:created>
  <dcterms:modified xsi:type="dcterms:W3CDTF">2023-11-30T07:56:38Z</dcterms:modified>
  <cp:category/>
</cp:coreProperties>
</file>