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3'!$A$1:$H$61</definedName>
    <definedName name="_xlnm.Print_Area" localSheetId="5">'Прил.2 Расч стоим'!$A$1:$J$28</definedName>
    <definedName name="_xlnm.Print_Area" localSheetId="7">'Прил.4 РМ'!$A$1:$E$48</definedName>
    <definedName name="_xlnm.Print_Area" localSheetId="8">'Прил.5 Расчет СМР и ОБ'!$A$1:$J$76</definedName>
    <definedName name="_xlnm.Print_Area" localSheetId="10">'Прил.7 Расчет пок.'!$A$1:$D$17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E12" i="10"/>
  <c r="D12" i="10"/>
  <c r="J61" i="9"/>
  <c r="I61" i="9"/>
  <c r="G61" i="9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J62" i="9" s="1"/>
  <c r="C17" i="8" s="1"/>
  <c r="I44" i="9"/>
  <c r="G44" i="9"/>
  <c r="G62" i="9" s="1"/>
  <c r="I42" i="9"/>
  <c r="J42" i="9" s="1"/>
  <c r="G42" i="9"/>
  <c r="I41" i="9"/>
  <c r="J41" i="9" s="1"/>
  <c r="G41" i="9"/>
  <c r="G43" i="9" s="1"/>
  <c r="J35" i="9"/>
  <c r="J37" i="9" s="1"/>
  <c r="J34" i="9"/>
  <c r="F34" i="9"/>
  <c r="G34" i="9" s="1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0" i="9" s="1"/>
  <c r="I22" i="9"/>
  <c r="G22" i="9"/>
  <c r="G30" i="9" s="1"/>
  <c r="I20" i="9"/>
  <c r="J20" i="9" s="1"/>
  <c r="G20" i="9"/>
  <c r="I19" i="9"/>
  <c r="J19" i="9" s="1"/>
  <c r="G19" i="9"/>
  <c r="G21" i="9" s="1"/>
  <c r="G16" i="9"/>
  <c r="F16" i="9"/>
  <c r="I16" i="9" s="1"/>
  <c r="J16" i="9" s="1"/>
  <c r="C15" i="8" s="1"/>
  <c r="E16" i="9"/>
  <c r="G14" i="9"/>
  <c r="I13" i="9"/>
  <c r="J13" i="9" s="1"/>
  <c r="J14" i="9" s="1"/>
  <c r="H13" i="9"/>
  <c r="E13" i="9"/>
  <c r="E14" i="9" s="1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6" i="6"/>
  <c r="B32" i="5"/>
  <c r="B30" i="5"/>
  <c r="B28" i="5"/>
  <c r="B27" i="5"/>
  <c r="B26" i="5"/>
  <c r="B19" i="5"/>
  <c r="B17" i="5"/>
  <c r="B12" i="5"/>
  <c r="B8" i="5"/>
  <c r="A4" i="5"/>
  <c r="A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J38" i="9" l="1"/>
  <c r="C26" i="8" s="1"/>
  <c r="C25" i="8"/>
  <c r="G63" i="9"/>
  <c r="H43" i="9" s="1"/>
  <c r="B13" i="5"/>
  <c r="H62" i="9"/>
  <c r="B14" i="5"/>
  <c r="B9" i="5"/>
  <c r="G35" i="9"/>
  <c r="G37" i="9" s="1"/>
  <c r="G38" i="9" s="1"/>
  <c r="H34" i="9" s="1"/>
  <c r="H35" i="9" s="1"/>
  <c r="H37" i="9" s="1"/>
  <c r="J43" i="9"/>
  <c r="J31" i="9"/>
  <c r="C13" i="8"/>
  <c r="C11" i="8"/>
  <c r="B10" i="5"/>
  <c r="H30" i="9"/>
  <c r="G31" i="9"/>
  <c r="G67" i="9" s="1"/>
  <c r="G68" i="9" s="1"/>
  <c r="J21" i="9"/>
  <c r="C12" i="8" s="1"/>
  <c r="H42" i="9"/>
  <c r="F12" i="10"/>
  <c r="G12" i="10" s="1"/>
  <c r="G13" i="10" s="1"/>
  <c r="H19" i="9"/>
  <c r="H41" i="9"/>
  <c r="D65" i="9"/>
  <c r="J65" i="9" s="1"/>
  <c r="B18" i="5"/>
  <c r="B20" i="5"/>
  <c r="D66" i="9"/>
  <c r="G69" i="9" l="1"/>
  <c r="B24" i="5"/>
  <c r="G14" i="10"/>
  <c r="B22" i="5" s="1"/>
  <c r="B23" i="5"/>
  <c r="H21" i="9"/>
  <c r="C23" i="8"/>
  <c r="C22" i="8" s="1"/>
  <c r="G64" i="9"/>
  <c r="J63" i="9"/>
  <c r="J64" i="9" s="1"/>
  <c r="C16" i="8"/>
  <c r="C18" i="8" s="1"/>
  <c r="C19" i="8" s="1"/>
  <c r="B11" i="5"/>
  <c r="B15" i="5"/>
  <c r="H29" i="9"/>
  <c r="H27" i="9"/>
  <c r="H24" i="9"/>
  <c r="H25" i="9"/>
  <c r="H22" i="9"/>
  <c r="H28" i="9"/>
  <c r="H26" i="9"/>
  <c r="H23" i="9"/>
  <c r="C14" i="8"/>
  <c r="H63" i="9"/>
  <c r="H60" i="9"/>
  <c r="H58" i="9"/>
  <c r="H56" i="9"/>
  <c r="H55" i="9"/>
  <c r="H53" i="9"/>
  <c r="H51" i="9"/>
  <c r="H48" i="9"/>
  <c r="H45" i="9"/>
  <c r="H47" i="9"/>
  <c r="H61" i="9"/>
  <c r="H59" i="9"/>
  <c r="H57" i="9"/>
  <c r="H54" i="9"/>
  <c r="H52" i="9"/>
  <c r="H50" i="9"/>
  <c r="H49" i="9"/>
  <c r="H46" i="9"/>
  <c r="H44" i="9"/>
  <c r="H20" i="9"/>
  <c r="J66" i="9"/>
  <c r="C21" i="8"/>
  <c r="C20" i="8" s="1"/>
  <c r="C12" i="2" l="1"/>
  <c r="D18" i="2" s="1"/>
  <c r="J67" i="9"/>
  <c r="J68" i="9" s="1"/>
  <c r="J69" i="9" s="1"/>
  <c r="B33" i="5"/>
  <c r="C15" i="5"/>
  <c r="C11" i="5"/>
  <c r="B16" i="5"/>
  <c r="B21" i="5" s="1"/>
  <c r="C24" i="8"/>
  <c r="D20" i="8" s="1"/>
  <c r="C21" i="5" l="1"/>
  <c r="C8" i="5"/>
  <c r="C19" i="5"/>
  <c r="C12" i="5"/>
  <c r="C17" i="5"/>
  <c r="C14" i="5"/>
  <c r="C9" i="5"/>
  <c r="C13" i="5"/>
  <c r="C10" i="5"/>
  <c r="B34" i="5"/>
  <c r="D17" i="8"/>
  <c r="D13" i="8"/>
  <c r="C29" i="8"/>
  <c r="D24" i="8"/>
  <c r="D18" i="8"/>
  <c r="D14" i="8"/>
  <c r="D11" i="8"/>
  <c r="C27" i="8"/>
  <c r="D12" i="8"/>
  <c r="D16" i="8"/>
  <c r="D15" i="8"/>
  <c r="D22" i="8"/>
  <c r="D34" i="5" l="1"/>
  <c r="B35" i="5"/>
  <c r="C35" i="8"/>
  <c r="C33" i="8"/>
  <c r="C30" i="8"/>
  <c r="B36" i="5" l="1"/>
  <c r="D28" i="5"/>
  <c r="D35" i="5"/>
  <c r="D30" i="5"/>
  <c r="D27" i="5"/>
  <c r="D26" i="5"/>
  <c r="D32" i="5"/>
  <c r="D12" i="5"/>
  <c r="D19" i="5"/>
  <c r="D17" i="5"/>
  <c r="D8" i="5"/>
  <c r="D10" i="5"/>
  <c r="D9" i="5"/>
  <c r="D13" i="5"/>
  <c r="D14" i="5"/>
  <c r="D24" i="5"/>
  <c r="D23" i="5"/>
  <c r="D11" i="5"/>
  <c r="D22" i="5"/>
  <c r="D15" i="5"/>
  <c r="D21" i="5"/>
  <c r="D33" i="5"/>
  <c r="C37" i="8"/>
  <c r="C36" i="8"/>
  <c r="C38" i="8" s="1"/>
  <c r="C10" i="1" l="1"/>
  <c r="C13" i="2"/>
  <c r="C9" i="2"/>
  <c r="B18" i="2" s="1"/>
  <c r="C39" i="8"/>
  <c r="C40" i="8" l="1"/>
  <c r="E39" i="8"/>
  <c r="C41" i="8" l="1"/>
  <c r="D11" i="11" s="1"/>
  <c r="E32" i="8"/>
  <c r="E26" i="8"/>
  <c r="E18" i="8"/>
  <c r="E14" i="8"/>
  <c r="E40" i="8"/>
  <c r="E34" i="8"/>
  <c r="E31" i="8"/>
  <c r="E11" i="8"/>
  <c r="E25" i="8"/>
  <c r="E16" i="8"/>
  <c r="E12" i="8"/>
  <c r="E17" i="8"/>
  <c r="E13" i="8"/>
  <c r="E15" i="8"/>
  <c r="E22" i="8"/>
  <c r="E20" i="8"/>
  <c r="E24" i="8"/>
  <c r="E29" i="8"/>
  <c r="E27" i="8"/>
  <c r="E30" i="8"/>
  <c r="E33" i="8"/>
  <c r="E35" i="8"/>
  <c r="E36" i="8"/>
  <c r="E37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<sst xmlns="http://schemas.openxmlformats.org/spreadsheetml/2006/main" count="734" uniqueCount="436">
  <si>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</si>
  <si>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</si>
  <si>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</si>
  <si>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</si>
  <si>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</si>
  <si>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</si>
  <si>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</si>
  <si>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</si>
  <si>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</si>
  <si>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</si>
  <si>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</si>
  <si>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</si>
  <si>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</si>
  <si>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</si>
  <si>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</si>
  <si>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</si>
  <si>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</si>
  <si>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</si>
  <si>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</si>
  <si>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</si>
  <si>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</si>
  <si>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</si>
  <si>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</si>
  <si>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</si>
  <si>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</si>
  <si>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</si>
  <si>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</si>
  <si>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</si>
  <si>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</si>
  <si>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</si>
  <si>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</si>
  <si>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</si>
  <si>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</si>
  <si>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</si>
  <si>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</si>
  <si>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</si>
  <si>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</si>
  <si>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</si>
  <si>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</si>
  <si>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</si>
  <si>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</si>
  <si>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</si>
  <si>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</si>
  <si>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</si>
  <si>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</si>
  <si>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</si>
  <si>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</si>
  <si>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</si>
  <si>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ОПН на три фазы без устройства фундамента напряжение 330 кВ</t>
  </si>
  <si>
    <t>Сопоставимый уровень цен: 1 квартал 2013 года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</si>
  <si>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</si>
  <si>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</si>
  <si>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</si>
  <si>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</si>
  <si>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330кВ Гудермес с заходами ВЛ 330 кВ</t>
  </si>
  <si>
    <t>Наименование субъекта Российской Федерации</t>
  </si>
  <si>
    <t xml:space="preserve">Чеченская республика 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</si>
  <si>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</si>
  <si>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</si>
  <si>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</si>
  <si>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</si>
  <si>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ОПН-330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</si>
  <si>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</si>
  <si>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</si>
  <si>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</si>
  <si>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</si>
  <si>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</si>
  <si>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</si>
  <si>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</si>
  <si>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</si>
  <si>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</si>
  <si>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</si>
  <si>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2013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</si>
  <si>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</si>
  <si>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</si>
  <si>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</si>
  <si>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</si>
  <si>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</si>
  <si>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</si>
  <si>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</si>
  <si>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</si>
  <si>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</si>
  <si>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</si>
  <si>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</si>
  <si>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</si>
  <si>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</si>
  <si>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</si>
  <si>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</si>
  <si>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</si>
  <si>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</si>
  <si>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</si>
  <si>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</si>
  <si>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</si>
  <si>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</si>
  <si>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</si>
  <si>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</si>
  <si>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</si>
  <si>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</si>
  <si>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</si>
  <si>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</si>
  <si>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</si>
  <si>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</si>
  <si>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</si>
  <si>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</si>
  <si>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</si>
  <si>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</si>
  <si>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</si>
  <si>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</si>
  <si>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</si>
  <si>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</si>
  <si>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</si>
  <si>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</si>
  <si>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</si>
  <si>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</si>
  <si>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</si>
  <si>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</si>
  <si>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</si>
  <si>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</si>
  <si>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</si>
  <si>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</si>
  <si>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2013 г., тыс. руб.</t>
  </si>
  <si>
    <t>Строительные работы</t>
  </si>
  <si>
    <t>Монтажные работы</t>
  </si>
  <si>
    <t>Прочее</t>
  </si>
  <si>
    <t>Всего</t>
  </si>
  <si>
    <t>02-04-01</t>
  </si>
  <si>
    <t>ОРУ 330кВ.Строительные работы -1 очередь</t>
  </si>
  <si>
    <t>Всего по объекту:</t>
  </si>
  <si>
    <t>Всего по объекту в сопоставимом уровне цен 1 кв. 2013г:</t>
  </si>
  <si>
    <t xml:space="preserve">Приложение № 3 </t>
  </si>
  <si>
    <t>Объектная ресурсная ведомость</t>
  </si>
  <si>
    <t>Наименование разрабатываемого показателя УНЦ -  ОПН на три фазы без устройства фундамента напряжение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</si>
  <si>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</si>
  <si>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</si>
  <si>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</si>
  <si>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</si>
  <si>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</si>
  <si>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</si>
  <si>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</si>
  <si>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</si>
  <si>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</si>
  <si>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</si>
  <si>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</si>
  <si>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</si>
  <si>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</si>
  <si>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</si>
  <si>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</si>
  <si>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</si>
  <si>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</si>
  <si>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</si>
  <si>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</si>
  <si>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</si>
  <si>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</si>
  <si>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</si>
  <si>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</si>
  <si>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</si>
  <si>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</si>
  <si>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</si>
  <si>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</si>
  <si>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</si>
  <si>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</si>
  <si>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</si>
  <si>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91.06.06-042</t>
  </si>
  <si>
    <t>Подъемники гидравлические, высота подъема 10 м</t>
  </si>
  <si>
    <t>91.17.04-036</t>
  </si>
  <si>
    <t>Агрегаты сварочные передвижные с дизельным двигателем, номинальный сварочный ток 250-400 А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</si>
  <si>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</si>
  <si>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</si>
  <si>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</si>
  <si>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</si>
  <si>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</si>
  <si>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</si>
  <si>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</si>
  <si>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</si>
  <si>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</si>
  <si>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</si>
  <si>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</si>
  <si>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ОПН 330кВ</t>
  </si>
  <si>
    <t>шт</t>
  </si>
  <si>
    <t>Материалы</t>
  </si>
  <si>
    <t>07.2.07.04-0004</t>
  </si>
  <si>
    <t>Конструкции стальные индивидуальные решетчатые сварные, масса 0,5-1 т</t>
  </si>
  <si>
    <t>т</t>
  </si>
  <si>
    <t>10.1.02.03-0001</t>
  </si>
  <si>
    <t>Проволока алюминиевая, марка АМЦ, диаметр 1,4-1,8 мм</t>
  </si>
  <si>
    <t>21.2.01.02-0094</t>
  </si>
  <si>
    <t>Провод неизолированный для воздушных линий электропередачи АС 300/39</t>
  </si>
  <si>
    <t>08.3.07.01-0076</t>
  </si>
  <si>
    <t>Прокат полосовой, горячекатаный, марка стали Ст3сп, ширина 50-200 мм, толщина 4-5 мм</t>
  </si>
  <si>
    <t>01.7.11.07-0032</t>
  </si>
  <si>
    <t>Электроды сварочные Э42, диаметр 4 мм</t>
  </si>
  <si>
    <t>20.1.01.02-0066</t>
  </si>
  <si>
    <t>Зажим аппаратный прессуемый: А4А-300-2</t>
  </si>
  <si>
    <t>100 шт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</si>
  <si>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</si>
  <si>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</si>
  <si>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</si>
  <si>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</si>
  <si>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</si>
  <si>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</si>
  <si>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</si>
  <si>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</si>
  <si>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</si>
  <si>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01.7.11.07-0034</t>
  </si>
  <si>
    <t>Электроды сварочные Э42А, диаметр 4 мм</t>
  </si>
  <si>
    <t>01.7.17.11-0003</t>
  </si>
  <si>
    <t>Бумага шлифовальная</t>
  </si>
  <si>
    <t>10 листов</t>
  </si>
  <si>
    <t>01.7.20.08-0031</t>
  </si>
  <si>
    <t>Бязь суровая</t>
  </si>
  <si>
    <t>10 м2</t>
  </si>
  <si>
    <t>14.2.01.05-0001</t>
  </si>
  <si>
    <t>Композиция на основе термопластичных полимеров</t>
  </si>
  <si>
    <t>14.4.02.09-0001</t>
  </si>
  <si>
    <t>Краска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</si>
  <si>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</si>
  <si>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</si>
  <si>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</si>
  <si>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</si>
  <si>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</si>
  <si>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14.5.09.07-0030</t>
  </si>
  <si>
    <t>Растворитель Р-4</t>
  </si>
  <si>
    <t>08.3.05.02-0101</t>
  </si>
  <si>
    <t>Прокат толстолистовой горячекатаный в листах, марка стали ВСт3пс5, толщина 4-6 мм</t>
  </si>
  <si>
    <t>Приложение № 4</t>
  </si>
  <si>
    <t>Наименование разрабатываемого показателя УНЦ — ОПН на три фазы без устройства фундамента напряжение 330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</si>
  <si>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</si>
  <si>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</si>
  <si>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</si>
  <si>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</si>
  <si>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</si>
  <si>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</si>
  <si>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</si>
  <si>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</si>
  <si>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</si>
  <si>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</si>
  <si>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</si>
  <si>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</si>
  <si>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</si>
  <si>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</si>
  <si>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</si>
  <si>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ОПН на три фазы без устройства фундамента напряжение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</si>
  <si>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</si>
  <si>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</si>
  <si>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</si>
  <si>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</si>
  <si>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</si>
  <si>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</si>
  <si>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</si>
  <si>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</si>
  <si>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</si>
  <si>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</si>
  <si>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</si>
  <si>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</si>
  <si>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</si>
  <si>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</si>
  <si>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БЦ.60.61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</si>
  <si>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</si>
  <si>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</si>
  <si>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</si>
  <si>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</si>
  <si>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</si>
  <si>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</si>
  <si>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</si>
  <si>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</si>
  <si>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</si>
  <si>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</si>
  <si>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</si>
  <si>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</si>
  <si>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</si>
  <si>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</si>
  <si>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</si>
  <si>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</si>
  <si>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</si>
  <si>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</si>
  <si>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</si>
  <si>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</si>
  <si>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</si>
  <si>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</si>
  <si>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</si>
  <si>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</si>
  <si>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</si>
  <si>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</si>
  <si>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</si>
  <si>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И10-04-5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</si>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</sst>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0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0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2" fontId="16" fillId="0" borderId="0" xfId="0" applyNumberFormat="1" applyFont="1"/>
    <xf numFmtId="10" fontId="0" fillId="0" borderId="0" xfId="0" applyNumberFormat="1"/>
    <xf numFmtId="0" fontId="1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16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" fontId="18" fillId="0" borderId="1" xfId="0" applyNumberFormat="1" applyFont="1" applyBorder="1" applyAlignment="1">
      <alignment vertical="center"/>
    </xf>
    <xf numFmtId="2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226333</xdr:colOff>
      <xdr:row>26</xdr:row>
      <xdr:rowOff>216913</xdr:rowOff>
    </xdr:from>
    <xdr:to>
      <xdr:col>2</xdr:col>
      <xdr:colOff>1129527</xdr:colOff>
      <xdr:row>27</xdr:row>
      <xdr:rowOff>77251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9973234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487270</xdr:colOff>
      <xdr:row>15</xdr:row>
      <xdr:rowOff>168648</xdr:rowOff>
    </xdr:from>
    <xdr:to>
      <xdr:col>2</xdr:col>
      <xdr:colOff>1390464</xdr:colOff>
      <xdr:row>17</xdr:row>
      <xdr:rowOff>124236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3978648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808879</xdr:colOff>
      <xdr:row>56</xdr:row>
      <xdr:rowOff>93570</xdr:rowOff>
    </xdr:from>
    <xdr:to>
      <xdr:col>2</xdr:col>
      <xdr:colOff>909171</xdr:colOff>
      <xdr:row>59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79" y="13190445"/>
          <a:ext cx="938492" cy="508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155576</xdr:colOff>
      <xdr:row>53</xdr:row>
      <xdr:rowOff>162485</xdr:rowOff>
    </xdr:from>
    <xdr:to>
      <xdr:col>2</xdr:col>
      <xdr:colOff>1058770</xdr:colOff>
      <xdr:row>55</xdr:row>
      <xdr:rowOff>89498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376" y="12668810"/>
          <a:ext cx="903194" cy="32706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894604</xdr:colOff>
      <xdr:row>43</xdr:row>
      <xdr:rowOff>93570</xdr:rowOff>
    </xdr:from>
    <xdr:to>
      <xdr:col>1</xdr:col>
      <xdr:colOff>1833096</xdr:colOff>
      <xdr:row>46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829" y="118759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860426</xdr:colOff>
      <xdr:row>41</xdr:row>
      <xdr:rowOff>19610</xdr:rowOff>
    </xdr:from>
    <xdr:to>
      <xdr:col>1</xdr:col>
      <xdr:colOff>1763620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1" y="11421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1189879</xdr:colOff>
      <xdr:row>71</xdr:row>
      <xdr:rowOff>86766</xdr:rowOff>
    </xdr:from>
    <xdr:to>
      <xdr:col>2</xdr:col>
      <xdr:colOff>617978</xdr:colOff>
      <xdr:row>74</xdr:row>
      <xdr:rowOff>70891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879" y="17966552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1165226</xdr:colOff>
      <xdr:row>69</xdr:row>
      <xdr:rowOff>68596</xdr:rowOff>
    </xdr:from>
    <xdr:to>
      <xdr:col>2</xdr:col>
      <xdr:colOff>558027</xdr:colOff>
      <xdr:row>71</xdr:row>
      <xdr:rowOff>33709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26" y="17567382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885079</xdr:colOff>
      <xdr:row>16</xdr:row>
      <xdr:rowOff>74520</xdr:rowOff>
    </xdr:from>
    <xdr:to>
      <xdr:col>2</xdr:col>
      <xdr:colOff>651996</xdr:colOff>
      <xdr:row>19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079" y="42083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14</xdr:row>
      <xdr:rowOff>10085</xdr:rowOff>
    </xdr:from>
    <xdr:to>
      <xdr:col>2</xdr:col>
      <xdr:colOff>725395</xdr:colOff>
      <xdr:row>15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3762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13</xdr:row>
      <xdr:rowOff>93570</xdr:rowOff>
    </xdr:from>
    <xdr:to>
      <xdr:col>1</xdr:col>
      <xdr:colOff>1890246</xdr:colOff>
      <xdr:row>16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79" y="36082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10085</xdr:rowOff>
    </xdr:from>
    <xdr:to>
      <xdr:col>1</xdr:col>
      <xdr:colOff>1877920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143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971364</xdr:colOff>
      <xdr:row>27</xdr:row>
      <xdr:rowOff>90768</xdr:rowOff>
    </xdr:from>
    <xdr:to>
      <xdr:col>1</xdr:col>
      <xdr:colOff>1909856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482" y="925718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991534</xdr:colOff>
      <xdr:row>24</xdr:row>
      <xdr:rowOff>123825</xdr:rowOff>
    </xdr:from>
    <xdr:to>
      <xdr:col>1</xdr:col>
      <xdr:colOff>1894728</xdr:colOff>
      <xdr:row>26</xdr:row>
      <xdr:rowOff>79413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652" y="8718737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2" t="s">
        <v>0</v>
      </c>
      <c r="B2" s="222"/>
      <c r="C2" s="222"/>
    </row>
    <row r="3" spans="1:3" x14ac:dyDescent="0.25">
      <c r="A3" s="1"/>
      <c r="B3" s="1"/>
      <c r="C3" s="1"/>
    </row>
    <row r="4" spans="1:3" x14ac:dyDescent="0.25">
      <c r="A4" s="223" t="s">
        <v>1</v>
      </c>
      <c r="B4" s="223"/>
      <c r="C4" s="22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24" t="s">
        <v>3</v>
      </c>
      <c r="C6" s="224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787.84661439860577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7" t="s">
        <v>272</v>
      </c>
      <c r="B1" s="267"/>
      <c r="C1" s="267"/>
      <c r="D1" s="267"/>
      <c r="E1" s="267"/>
      <c r="F1" s="267"/>
      <c r="G1" s="267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22" t="s">
        <v>273</v>
      </c>
      <c r="B3" s="222"/>
      <c r="C3" s="222"/>
      <c r="D3" s="222"/>
      <c r="E3" s="222"/>
      <c r="F3" s="222"/>
      <c r="G3" s="222"/>
    </row>
    <row r="4" spans="1:7" ht="25.5" customHeight="1" x14ac:dyDescent="0.25">
      <c r="A4" s="225" t="s">
        <v>225</v>
      </c>
      <c r="B4" s="225"/>
      <c r="C4" s="225"/>
      <c r="D4" s="225"/>
      <c r="E4" s="225"/>
      <c r="F4" s="225"/>
      <c r="G4" s="22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2" t="s">
        <v>13</v>
      </c>
      <c r="B6" s="252" t="s">
        <v>134</v>
      </c>
      <c r="C6" s="252" t="s">
        <v>79</v>
      </c>
      <c r="D6" s="252" t="s">
        <v>136</v>
      </c>
      <c r="E6" s="253" t="s">
        <v>242</v>
      </c>
      <c r="F6" s="272" t="s">
        <v>80</v>
      </c>
      <c r="G6" s="272"/>
    </row>
    <row r="7" spans="1:7" x14ac:dyDescent="0.25">
      <c r="A7" s="252"/>
      <c r="B7" s="252"/>
      <c r="C7" s="252"/>
      <c r="D7" s="252"/>
      <c r="E7" s="254"/>
      <c r="F7" s="2" t="s">
        <v>245</v>
      </c>
      <c r="G7" s="2" t="s">
        <v>139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8" t="s">
        <v>274</v>
      </c>
      <c r="C9" s="269"/>
      <c r="D9" s="269"/>
      <c r="E9" s="269"/>
      <c r="F9" s="269"/>
      <c r="G9" s="270"/>
    </row>
    <row r="10" spans="1:7" ht="27" customHeight="1" x14ac:dyDescent="0.25">
      <c r="A10" s="2"/>
      <c r="B10" s="103"/>
      <c r="C10" s="8" t="s">
        <v>275</v>
      </c>
      <c r="D10" s="103"/>
      <c r="E10" s="104"/>
      <c r="F10" s="102"/>
      <c r="G10" s="102">
        <v>0</v>
      </c>
    </row>
    <row r="11" spans="1:7" x14ac:dyDescent="0.25">
      <c r="A11" s="2"/>
      <c r="B11" s="259" t="s">
        <v>276</v>
      </c>
      <c r="C11" s="259"/>
      <c r="D11" s="259"/>
      <c r="E11" s="271"/>
      <c r="F11" s="261"/>
      <c r="G11" s="261"/>
    </row>
    <row r="12" spans="1:7" ht="41.25" customHeight="1" x14ac:dyDescent="0.25">
      <c r="A12" s="2">
        <v>1</v>
      </c>
      <c r="B12" s="167" t="s">
        <v>256</v>
      </c>
      <c r="C12" s="8" t="s">
        <v>177</v>
      </c>
      <c r="D12" s="2" t="str">
        <f>'Прил.5 Расчет СМР и ОБ'!D34</f>
        <v>шт</v>
      </c>
      <c r="E12" s="211">
        <f>'Прил.5 Расчет СМР и ОБ'!E34</f>
        <v>9</v>
      </c>
      <c r="F12" s="32">
        <f>'Прил.5 Расчет СМР и ОБ'!F34</f>
        <v>63670.93</v>
      </c>
      <c r="G12" s="32">
        <f>ROUND(E12*F12,2)</f>
        <v>573038.37</v>
      </c>
    </row>
    <row r="13" spans="1:7" ht="25.5" customHeight="1" x14ac:dyDescent="0.25">
      <c r="A13" s="2"/>
      <c r="B13" s="8"/>
      <c r="C13" s="8" t="s">
        <v>277</v>
      </c>
      <c r="D13" s="8"/>
      <c r="E13" s="46"/>
      <c r="F13" s="32"/>
      <c r="G13" s="32">
        <f>SUM(G12:G12)</f>
        <v>573038.37</v>
      </c>
    </row>
    <row r="14" spans="1:7" ht="19.5" customHeight="1" x14ac:dyDescent="0.25">
      <c r="A14" s="2"/>
      <c r="B14" s="8"/>
      <c r="C14" s="8" t="s">
        <v>278</v>
      </c>
      <c r="D14" s="8"/>
      <c r="E14" s="46"/>
      <c r="F14" s="32"/>
      <c r="G14" s="32">
        <f>G10+G13</f>
        <v>573038.37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s="192" customFormat="1" x14ac:dyDescent="0.25">
      <c r="B16" s="193" t="s">
        <v>435</v>
      </c>
      <c r="C16" s="199"/>
    </row>
    <row r="17" spans="2:3" s="192" customFormat="1" x14ac:dyDescent="0.25">
      <c r="B17" s="185" t="s">
        <v>76</v>
      </c>
      <c r="C17" s="199"/>
    </row>
    <row r="18" spans="2:3" s="192" customFormat="1" x14ac:dyDescent="0.25">
      <c r="B18" s="193"/>
      <c r="C18" s="199"/>
    </row>
    <row r="19" spans="2:3" s="192" customFormat="1" x14ac:dyDescent="0.25">
      <c r="B19" s="193" t="s">
        <v>271</v>
      </c>
      <c r="C19" s="199"/>
    </row>
    <row r="20" spans="2:3" s="192" customFormat="1" x14ac:dyDescent="0.25">
      <c r="B20" s="185" t="s">
        <v>77</v>
      </c>
      <c r="C20" s="19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182"/>
      <c r="C1" s="182"/>
      <c r="D1" s="183" t="s">
        <v>279</v>
      </c>
    </row>
    <row r="2" spans="1:6" x14ac:dyDescent="0.25">
      <c r="A2" s="183"/>
      <c r="B2" s="183"/>
      <c r="C2" s="183"/>
      <c r="D2" s="183"/>
    </row>
    <row r="3" spans="1:6" ht="24.75" customHeight="1" x14ac:dyDescent="0.25">
      <c r="A3" s="222" t="s">
        <v>280</v>
      </c>
      <c r="B3" s="222"/>
      <c r="C3" s="222"/>
      <c r="D3" s="222"/>
    </row>
    <row r="4" spans="1:6" ht="24.75" customHeight="1" x14ac:dyDescent="0.25">
      <c r="A4" s="184"/>
      <c r="B4" s="184"/>
      <c r="C4" s="184"/>
      <c r="D4" s="184"/>
    </row>
    <row r="5" spans="1:6" ht="47.25" customHeight="1" x14ac:dyDescent="0.25">
      <c r="A5" s="225" t="s">
        <v>281</v>
      </c>
      <c r="B5" s="225"/>
      <c r="C5" s="225"/>
      <c r="D5" s="191" t="str">
        <f>'Прил.5 Расчет СМР и ОБ'!D6:J6</f>
        <v>ОПН на три фазы без устройства фундамента напряжение 330 кВ</v>
      </c>
      <c r="E5" s="192"/>
      <c r="F5" s="192"/>
    </row>
    <row r="6" spans="1:6" ht="19.899999999999999" customHeight="1" x14ac:dyDescent="0.25">
      <c r="A6" s="225" t="s">
        <v>50</v>
      </c>
      <c r="B6" s="225"/>
      <c r="C6" s="225"/>
      <c r="D6" s="191"/>
      <c r="E6" s="192"/>
      <c r="F6" s="192"/>
    </row>
    <row r="7" spans="1:6" x14ac:dyDescent="0.25">
      <c r="A7" s="193"/>
      <c r="B7" s="193"/>
      <c r="C7" s="193"/>
      <c r="D7" s="193"/>
      <c r="E7" s="192"/>
      <c r="F7" s="192"/>
    </row>
    <row r="8" spans="1:6" ht="14.45" customHeight="1" x14ac:dyDescent="0.25">
      <c r="A8" s="238" t="s">
        <v>5</v>
      </c>
      <c r="B8" s="238" t="s">
        <v>6</v>
      </c>
      <c r="C8" s="238" t="s">
        <v>282</v>
      </c>
      <c r="D8" s="238" t="s">
        <v>283</v>
      </c>
      <c r="E8" s="192"/>
      <c r="F8" s="192"/>
    </row>
    <row r="9" spans="1:6" ht="15" customHeight="1" x14ac:dyDescent="0.25">
      <c r="A9" s="238"/>
      <c r="B9" s="238"/>
      <c r="C9" s="238"/>
      <c r="D9" s="238"/>
      <c r="E9" s="192"/>
      <c r="F9" s="192"/>
    </row>
    <row r="10" spans="1:6" x14ac:dyDescent="0.25">
      <c r="A10" s="194">
        <v>1</v>
      </c>
      <c r="B10" s="194">
        <v>2</v>
      </c>
      <c r="C10" s="194">
        <v>3</v>
      </c>
      <c r="D10" s="194">
        <v>4</v>
      </c>
      <c r="E10" s="192"/>
      <c r="F10" s="192"/>
    </row>
    <row r="11" spans="1:6" ht="41.45" customHeight="1" x14ac:dyDescent="0.25">
      <c r="A11" s="194" t="s">
        <v>284</v>
      </c>
      <c r="B11" s="194" t="s">
        <v>285</v>
      </c>
      <c r="C11" s="200" t="str">
        <f>D5</f>
        <v>ОПН на три фазы без устройства фундамента напряжение 330 кВ</v>
      </c>
      <c r="D11" s="195">
        <f>'Прил.4 РМ'!C41/1000</f>
        <v>2413.1482166666669</v>
      </c>
      <c r="E11" s="196"/>
      <c r="F11" s="192"/>
    </row>
    <row r="12" spans="1:6" x14ac:dyDescent="0.25">
      <c r="A12" s="197"/>
      <c r="B12" s="198"/>
      <c r="C12" s="197"/>
      <c r="D12" s="225"/>
      <c r="E12" s="225"/>
      <c r="F12" s="225"/>
    </row>
    <row r="13" spans="1:6" s="192" customFormat="1" x14ac:dyDescent="0.25">
      <c r="B13" s="193" t="s">
        <v>435</v>
      </c>
      <c r="C13" s="199"/>
    </row>
    <row r="14" spans="1:6" s="192" customFormat="1" x14ac:dyDescent="0.25">
      <c r="B14" s="185" t="s">
        <v>76</v>
      </c>
      <c r="C14" s="199"/>
    </row>
    <row r="15" spans="1:6" s="192" customFormat="1" x14ac:dyDescent="0.25">
      <c r="B15" s="193"/>
      <c r="C15" s="199"/>
    </row>
    <row r="16" spans="1:6" s="192" customFormat="1" x14ac:dyDescent="0.25">
      <c r="B16" s="193" t="s">
        <v>271</v>
      </c>
      <c r="C16" s="199"/>
    </row>
    <row r="17" spans="2:3" s="192" customFormat="1" x14ac:dyDescent="0.25">
      <c r="B17" s="185" t="s">
        <v>77</v>
      </c>
      <c r="C17" s="199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7.85546875" customWidth="1"/>
    <col min="4" max="4" width="32" customWidth="1"/>
    <col min="5" max="5" width="9.140625" customWidth="1"/>
  </cols>
  <sheetData>
    <row r="4" spans="2:5" ht="15.75" customHeight="1" x14ac:dyDescent="0.25">
      <c r="B4" s="229" t="s">
        <v>286</v>
      </c>
      <c r="C4" s="229"/>
      <c r="D4" s="229"/>
    </row>
    <row r="5" spans="2:5" ht="18.75" customHeight="1" x14ac:dyDescent="0.25">
      <c r="B5" s="131"/>
    </row>
    <row r="6" spans="2:5" ht="15.75" customHeight="1" x14ac:dyDescent="0.25">
      <c r="B6" s="230" t="s">
        <v>287</v>
      </c>
      <c r="C6" s="230"/>
      <c r="D6" s="230"/>
    </row>
    <row r="7" spans="2:5" x14ac:dyDescent="0.25">
      <c r="B7" s="273"/>
      <c r="C7" s="273"/>
      <c r="D7" s="273"/>
      <c r="E7" s="273"/>
    </row>
    <row r="8" spans="2:5" x14ac:dyDescent="0.25">
      <c r="B8" s="135"/>
      <c r="C8" s="135"/>
      <c r="D8" s="135"/>
      <c r="E8" s="135"/>
    </row>
    <row r="9" spans="2:5" ht="47.25" customHeight="1" x14ac:dyDescent="0.25">
      <c r="B9" s="121" t="s">
        <v>288</v>
      </c>
      <c r="C9" s="121" t="s">
        <v>289</v>
      </c>
      <c r="D9" s="121" t="s">
        <v>290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291</v>
      </c>
      <c r="C11" s="121" t="s">
        <v>292</v>
      </c>
      <c r="D11" s="121">
        <v>44.29</v>
      </c>
    </row>
    <row r="12" spans="2:5" ht="31.5" customHeight="1" x14ac:dyDescent="0.25">
      <c r="B12" s="121" t="s">
        <v>293</v>
      </c>
      <c r="C12" s="121" t="s">
        <v>292</v>
      </c>
      <c r="D12" s="121">
        <v>13.47</v>
      </c>
    </row>
    <row r="13" spans="2:5" ht="31.5" customHeight="1" x14ac:dyDescent="0.25">
      <c r="B13" s="121" t="s">
        <v>294</v>
      </c>
      <c r="C13" s="121" t="s">
        <v>292</v>
      </c>
      <c r="D13" s="121">
        <v>8.0399999999999991</v>
      </c>
    </row>
    <row r="14" spans="2:5" ht="31.5" customHeight="1" x14ac:dyDescent="0.25">
      <c r="B14" s="121" t="s">
        <v>295</v>
      </c>
      <c r="C14" s="186" t="s">
        <v>296</v>
      </c>
      <c r="D14" s="121">
        <v>6.26</v>
      </c>
    </row>
    <row r="15" spans="2:5" ht="89.25" customHeight="1" x14ac:dyDescent="0.25">
      <c r="B15" s="121" t="s">
        <v>297</v>
      </c>
      <c r="C15" s="121" t="s">
        <v>298</v>
      </c>
      <c r="D15" s="133">
        <v>3.9E-2</v>
      </c>
    </row>
    <row r="16" spans="2:5" ht="94.5" customHeight="1" x14ac:dyDescent="0.25">
      <c r="B16" s="121" t="s">
        <v>299</v>
      </c>
      <c r="C16" s="121" t="s">
        <v>300</v>
      </c>
      <c r="D16" s="133">
        <v>2.1000000000000001E-2</v>
      </c>
    </row>
    <row r="17" spans="2:4" ht="15.75" customHeight="1" x14ac:dyDescent="0.25">
      <c r="B17" s="121" t="s">
        <v>231</v>
      </c>
      <c r="C17" s="121"/>
      <c r="D17" s="121" t="s">
        <v>301</v>
      </c>
    </row>
    <row r="18" spans="2:4" ht="31.5" customHeight="1" x14ac:dyDescent="0.25">
      <c r="B18" s="121" t="s">
        <v>104</v>
      </c>
      <c r="C18" s="121" t="s">
        <v>302</v>
      </c>
      <c r="D18" s="133">
        <v>2.1399999999999999E-2</v>
      </c>
    </row>
    <row r="19" spans="2:4" ht="31.5" customHeight="1" x14ac:dyDescent="0.25">
      <c r="B19" s="121" t="s">
        <v>237</v>
      </c>
      <c r="C19" s="121" t="s">
        <v>303</v>
      </c>
      <c r="D19" s="133">
        <v>2E-3</v>
      </c>
    </row>
    <row r="20" spans="2:4" ht="24" customHeight="1" x14ac:dyDescent="0.25">
      <c r="B20" s="121" t="s">
        <v>107</v>
      </c>
      <c r="C20" s="121" t="s">
        <v>304</v>
      </c>
      <c r="D20" s="133">
        <v>0.03</v>
      </c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4" spans="2:4" ht="18.75" customHeight="1" x14ac:dyDescent="0.25">
      <c r="B24" s="132"/>
    </row>
    <row r="27" spans="2:4" s="192" customFormat="1" x14ac:dyDescent="0.25">
      <c r="B27" s="193" t="s">
        <v>435</v>
      </c>
      <c r="C27" s="199"/>
    </row>
    <row r="28" spans="2:4" s="192" customFormat="1" x14ac:dyDescent="0.25">
      <c r="B28" s="185" t="s">
        <v>76</v>
      </c>
      <c r="C28" s="199"/>
    </row>
    <row r="29" spans="2:4" s="192" customFormat="1" x14ac:dyDescent="0.25">
      <c r="B29" s="193"/>
      <c r="C29" s="199"/>
    </row>
    <row r="30" spans="2:4" s="192" customFormat="1" x14ac:dyDescent="0.25">
      <c r="B30" s="193" t="s">
        <v>271</v>
      </c>
      <c r="C30" s="199"/>
    </row>
    <row r="31" spans="2:4" s="192" customFormat="1" x14ac:dyDescent="0.25">
      <c r="B31" s="185" t="s">
        <v>77</v>
      </c>
      <c r="C31" s="199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0" t="s">
        <v>305</v>
      </c>
      <c r="B2" s="230"/>
      <c r="C2" s="230"/>
      <c r="D2" s="230"/>
      <c r="E2" s="230"/>
      <c r="F2" s="230"/>
    </row>
    <row r="4" spans="1:7" ht="18" customHeight="1" x14ac:dyDescent="0.25">
      <c r="A4" s="116" t="s">
        <v>306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307</v>
      </c>
      <c r="C5" s="118" t="s">
        <v>308</v>
      </c>
      <c r="D5" s="118" t="s">
        <v>309</v>
      </c>
      <c r="E5" s="118" t="s">
        <v>310</v>
      </c>
      <c r="F5" s="118" t="s">
        <v>311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312</v>
      </c>
      <c r="B7" s="120" t="s">
        <v>313</v>
      </c>
      <c r="C7" s="121" t="s">
        <v>314</v>
      </c>
      <c r="D7" s="121" t="s">
        <v>315</v>
      </c>
      <c r="E7" s="60">
        <v>47872.94</v>
      </c>
      <c r="F7" s="120" t="s">
        <v>316</v>
      </c>
      <c r="G7" s="117"/>
    </row>
    <row r="8" spans="1:7" ht="31.5" customHeight="1" x14ac:dyDescent="0.25">
      <c r="A8" s="119" t="s">
        <v>317</v>
      </c>
      <c r="B8" s="120" t="s">
        <v>318</v>
      </c>
      <c r="C8" s="121" t="s">
        <v>319</v>
      </c>
      <c r="D8" s="121" t="s">
        <v>320</v>
      </c>
      <c r="E8" s="122">
        <f>1973/12</f>
        <v>164.41666666667001</v>
      </c>
      <c r="F8" s="120" t="s">
        <v>321</v>
      </c>
      <c r="G8" s="123"/>
    </row>
    <row r="9" spans="1:7" ht="15.75" customHeight="1" x14ac:dyDescent="0.25">
      <c r="A9" s="119" t="s">
        <v>322</v>
      </c>
      <c r="B9" s="120" t="s">
        <v>323</v>
      </c>
      <c r="C9" s="121" t="s">
        <v>324</v>
      </c>
      <c r="D9" s="121" t="s">
        <v>315</v>
      </c>
      <c r="E9" s="122">
        <v>1</v>
      </c>
      <c r="F9" s="120"/>
      <c r="G9" s="123"/>
    </row>
    <row r="10" spans="1:7" ht="15.75" customHeight="1" x14ac:dyDescent="0.25">
      <c r="A10" s="119" t="s">
        <v>325</v>
      </c>
      <c r="B10" s="120" t="s">
        <v>326</v>
      </c>
      <c r="C10" s="121"/>
      <c r="D10" s="121"/>
      <c r="E10" s="124">
        <v>4.5999999999999996</v>
      </c>
      <c r="F10" s="120" t="s">
        <v>327</v>
      </c>
      <c r="G10" s="123"/>
    </row>
    <row r="11" spans="1:7" ht="78.75" customHeight="1" x14ac:dyDescent="0.25">
      <c r="A11" s="119" t="s">
        <v>328</v>
      </c>
      <c r="B11" s="120" t="s">
        <v>329</v>
      </c>
      <c r="C11" s="121" t="s">
        <v>330</v>
      </c>
      <c r="D11" s="121" t="s">
        <v>315</v>
      </c>
      <c r="E11" s="125">
        <v>1.4610000000000001</v>
      </c>
      <c r="F11" s="120" t="s">
        <v>331</v>
      </c>
      <c r="G11" s="117"/>
    </row>
    <row r="12" spans="1:7" ht="78.75" customHeight="1" x14ac:dyDescent="0.25">
      <c r="A12" s="119" t="s">
        <v>332</v>
      </c>
      <c r="B12" s="126" t="s">
        <v>333</v>
      </c>
      <c r="C12" s="121" t="s">
        <v>334</v>
      </c>
      <c r="D12" s="121" t="s">
        <v>315</v>
      </c>
      <c r="E12" s="127">
        <v>1.139</v>
      </c>
      <c r="F12" s="128" t="s">
        <v>335</v>
      </c>
      <c r="G12" s="123" t="s">
        <v>336</v>
      </c>
    </row>
    <row r="13" spans="1:7" ht="63" customHeight="1" x14ac:dyDescent="0.25">
      <c r="A13" s="119" t="s">
        <v>337</v>
      </c>
      <c r="B13" s="129" t="s">
        <v>338</v>
      </c>
      <c r="C13" s="121" t="s">
        <v>339</v>
      </c>
      <c r="D13" s="121" t="s">
        <v>340</v>
      </c>
      <c r="E13" s="130">
        <f>((E7*E9/E8)*E11)*E12</f>
        <v>484.52724250740999</v>
      </c>
      <c r="F13" s="120" t="s">
        <v>341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74" t="s">
        <v>342</v>
      </c>
      <c r="B1" s="274"/>
      <c r="C1" s="274"/>
      <c r="D1" s="274"/>
      <c r="E1" s="274"/>
      <c r="F1" s="274"/>
      <c r="G1" s="274"/>
      <c r="H1" s="274"/>
      <c r="I1" s="274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25" t="e">
        <f>#REF!</f>
        <v>#REF!</v>
      </c>
      <c r="B3" s="225"/>
      <c r="C3" s="225"/>
      <c r="D3" s="225"/>
      <c r="E3" s="225"/>
      <c r="F3" s="225"/>
      <c r="G3" s="225"/>
      <c r="H3" s="225"/>
      <c r="I3" s="225"/>
    </row>
    <row r="4" spans="1:13" s="4" customFormat="1" ht="15.75" customHeight="1" x14ac:dyDescent="0.2">
      <c r="A4" s="233"/>
      <c r="B4" s="233"/>
      <c r="C4" s="233"/>
      <c r="D4" s="233"/>
      <c r="E4" s="233"/>
      <c r="F4" s="233"/>
      <c r="G4" s="233"/>
      <c r="H4" s="233"/>
      <c r="I4" s="233"/>
    </row>
    <row r="5" spans="1:13" s="35" customFormat="1" ht="36.6" customHeight="1" x14ac:dyDescent="0.35">
      <c r="A5" s="275" t="s">
        <v>13</v>
      </c>
      <c r="B5" s="275" t="s">
        <v>343</v>
      </c>
      <c r="C5" s="275" t="s">
        <v>344</v>
      </c>
      <c r="D5" s="275" t="s">
        <v>345</v>
      </c>
      <c r="E5" s="272" t="s">
        <v>346</v>
      </c>
      <c r="F5" s="272"/>
      <c r="G5" s="272"/>
      <c r="H5" s="272"/>
      <c r="I5" s="272"/>
    </row>
    <row r="6" spans="1:13" s="30" customFormat="1" ht="31.5" customHeight="1" x14ac:dyDescent="0.2">
      <c r="A6" s="275"/>
      <c r="B6" s="275"/>
      <c r="C6" s="275"/>
      <c r="D6" s="275"/>
      <c r="E6" s="36" t="s">
        <v>121</v>
      </c>
      <c r="F6" s="36" t="s">
        <v>122</v>
      </c>
      <c r="G6" s="36" t="s">
        <v>43</v>
      </c>
      <c r="H6" s="36" t="s">
        <v>347</v>
      </c>
      <c r="I6" s="36" t="s">
        <v>348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99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349</v>
      </c>
      <c r="C9" s="8" t="s">
        <v>350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351</v>
      </c>
      <c r="C11" s="8" t="s">
        <v>299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352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353</v>
      </c>
      <c r="C12" s="8" t="s">
        <v>354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355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302</v>
      </c>
      <c r="C14" s="8" t="s">
        <v>356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357</v>
      </c>
      <c r="C16" s="8" t="s">
        <v>358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359</v>
      </c>
    </row>
    <row r="17" spans="1:10" s="30" customFormat="1" ht="81.75" customHeight="1" x14ac:dyDescent="0.2">
      <c r="A17" s="37">
        <v>7</v>
      </c>
      <c r="B17" s="8" t="s">
        <v>357</v>
      </c>
      <c r="C17" s="8" t="s">
        <v>360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361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362</v>
      </c>
      <c r="C20" s="8" t="s">
        <v>107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363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110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111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112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113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0" t="s">
        <v>364</v>
      </c>
      <c r="O2" s="280"/>
    </row>
    <row r="3" spans="1:16" x14ac:dyDescent="0.25">
      <c r="A3" s="281" t="s">
        <v>365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5" spans="1:16" ht="37.5" customHeight="1" x14ac:dyDescent="0.25">
      <c r="A5" s="282" t="s">
        <v>366</v>
      </c>
      <c r="B5" s="285" t="s">
        <v>367</v>
      </c>
      <c r="C5" s="288" t="s">
        <v>368</v>
      </c>
      <c r="D5" s="291" t="s">
        <v>369</v>
      </c>
      <c r="E5" s="292"/>
      <c r="F5" s="292"/>
      <c r="G5" s="292"/>
      <c r="H5" s="292"/>
      <c r="I5" s="291" t="s">
        <v>370</v>
      </c>
      <c r="J5" s="292"/>
      <c r="K5" s="292"/>
      <c r="L5" s="292"/>
      <c r="M5" s="292"/>
      <c r="N5" s="292"/>
      <c r="O5" s="53" t="s">
        <v>371</v>
      </c>
    </row>
    <row r="6" spans="1:16" s="56" customFormat="1" ht="150" customHeight="1" x14ac:dyDescent="0.25">
      <c r="A6" s="283"/>
      <c r="B6" s="286"/>
      <c r="C6" s="289"/>
      <c r="D6" s="288" t="s">
        <v>372</v>
      </c>
      <c r="E6" s="293" t="s">
        <v>373</v>
      </c>
      <c r="F6" s="294"/>
      <c r="G6" s="295"/>
      <c r="H6" s="54" t="s">
        <v>374</v>
      </c>
      <c r="I6" s="296" t="s">
        <v>375</v>
      </c>
      <c r="J6" s="296" t="s">
        <v>372</v>
      </c>
      <c r="K6" s="297" t="s">
        <v>373</v>
      </c>
      <c r="L6" s="297"/>
      <c r="M6" s="297"/>
      <c r="N6" s="54" t="s">
        <v>374</v>
      </c>
      <c r="O6" s="55" t="s">
        <v>376</v>
      </c>
    </row>
    <row r="7" spans="1:16" s="56" customFormat="1" ht="30.75" customHeight="1" x14ac:dyDescent="0.25">
      <c r="A7" s="284"/>
      <c r="B7" s="287"/>
      <c r="C7" s="290"/>
      <c r="D7" s="290"/>
      <c r="E7" s="53" t="s">
        <v>121</v>
      </c>
      <c r="F7" s="53" t="s">
        <v>122</v>
      </c>
      <c r="G7" s="53" t="s">
        <v>43</v>
      </c>
      <c r="H7" s="57" t="s">
        <v>377</v>
      </c>
      <c r="I7" s="296"/>
      <c r="J7" s="296"/>
      <c r="K7" s="53" t="s">
        <v>121</v>
      </c>
      <c r="L7" s="53" t="s">
        <v>122</v>
      </c>
      <c r="M7" s="53" t="s">
        <v>43</v>
      </c>
      <c r="N7" s="57" t="s">
        <v>377</v>
      </c>
      <c r="O7" s="53" t="s">
        <v>378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82" t="s">
        <v>379</v>
      </c>
      <c r="C9" s="59" t="s">
        <v>380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84"/>
      <c r="C10" s="62" t="s">
        <v>381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82" t="s">
        <v>382</v>
      </c>
      <c r="C11" s="62" t="s">
        <v>383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84"/>
      <c r="C12" s="62" t="s">
        <v>384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82" t="s">
        <v>385</v>
      </c>
      <c r="C13" s="59" t="s">
        <v>386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84"/>
      <c r="C14" s="62" t="s">
        <v>387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388</v>
      </c>
      <c r="C15" s="62" t="s">
        <v>389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390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391</v>
      </c>
    </row>
    <row r="19" spans="1:15" ht="30.75" customHeight="1" x14ac:dyDescent="0.25">
      <c r="L19" s="74"/>
    </row>
    <row r="20" spans="1:15" ht="15" customHeight="1" outlineLevel="1" x14ac:dyDescent="0.25">
      <c r="G20" s="279" t="s">
        <v>392</v>
      </c>
      <c r="H20" s="279"/>
      <c r="I20" s="279"/>
      <c r="J20" s="279"/>
      <c r="K20" s="279"/>
      <c r="L20" s="279"/>
      <c r="M20" s="279"/>
      <c r="N20" s="279"/>
    </row>
    <row r="21" spans="1:15" ht="15.75" customHeight="1" outlineLevel="1" x14ac:dyDescent="0.25">
      <c r="G21" s="75"/>
      <c r="H21" s="75" t="s">
        <v>393</v>
      </c>
      <c r="I21" s="75" t="s">
        <v>394</v>
      </c>
      <c r="J21" s="75" t="s">
        <v>395</v>
      </c>
      <c r="K21" s="76" t="s">
        <v>396</v>
      </c>
      <c r="L21" s="75" t="s">
        <v>397</v>
      </c>
      <c r="M21" s="75" t="s">
        <v>398</v>
      </c>
      <c r="N21" s="75" t="s">
        <v>399</v>
      </c>
      <c r="O21" s="69"/>
    </row>
    <row r="22" spans="1:15" ht="15.75" customHeight="1" outlineLevel="1" x14ac:dyDescent="0.25">
      <c r="G22" s="277" t="s">
        <v>400</v>
      </c>
      <c r="H22" s="276">
        <v>6.09</v>
      </c>
      <c r="I22" s="278">
        <v>6.44</v>
      </c>
      <c r="J22" s="276">
        <v>5.77</v>
      </c>
      <c r="K22" s="278">
        <v>5.77</v>
      </c>
      <c r="L22" s="276">
        <v>5.23</v>
      </c>
      <c r="M22" s="276">
        <v>5.77</v>
      </c>
      <c r="N22" s="77">
        <v>6.29</v>
      </c>
      <c r="O22" t="s">
        <v>401</v>
      </c>
    </row>
    <row r="23" spans="1:15" ht="15.75" customHeight="1" outlineLevel="1" x14ac:dyDescent="0.25">
      <c r="G23" s="277"/>
      <c r="H23" s="276"/>
      <c r="I23" s="278"/>
      <c r="J23" s="276"/>
      <c r="K23" s="278"/>
      <c r="L23" s="276"/>
      <c r="M23" s="276"/>
      <c r="N23" s="77">
        <v>6.56</v>
      </c>
      <c r="O23" t="s">
        <v>402</v>
      </c>
    </row>
    <row r="24" spans="1:15" ht="15.75" customHeight="1" outlineLevel="1" x14ac:dyDescent="0.25">
      <c r="G24" s="78" t="s">
        <v>403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377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404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405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347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98" t="s">
        <v>406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82" t="s">
        <v>366</v>
      </c>
      <c r="B4" s="285" t="s">
        <v>367</v>
      </c>
      <c r="C4" s="288" t="s">
        <v>407</v>
      </c>
      <c r="D4" s="288" t="s">
        <v>408</v>
      </c>
      <c r="E4" s="291" t="s">
        <v>409</v>
      </c>
      <c r="F4" s="292"/>
      <c r="G4" s="292"/>
      <c r="H4" s="292"/>
      <c r="I4" s="292"/>
      <c r="J4" s="292"/>
      <c r="K4" s="292"/>
      <c r="L4" s="292"/>
      <c r="M4" s="292"/>
      <c r="N4" s="299" t="s">
        <v>410</v>
      </c>
      <c r="O4" s="300"/>
      <c r="P4" s="300"/>
      <c r="Q4" s="300"/>
      <c r="R4" s="301"/>
    </row>
    <row r="5" spans="1:18" ht="60" customHeight="1" x14ac:dyDescent="0.25">
      <c r="A5" s="283"/>
      <c r="B5" s="286"/>
      <c r="C5" s="289"/>
      <c r="D5" s="289"/>
      <c r="E5" s="296" t="s">
        <v>411</v>
      </c>
      <c r="F5" s="296" t="s">
        <v>412</v>
      </c>
      <c r="G5" s="293" t="s">
        <v>373</v>
      </c>
      <c r="H5" s="294"/>
      <c r="I5" s="294"/>
      <c r="J5" s="295"/>
      <c r="K5" s="296" t="s">
        <v>413</v>
      </c>
      <c r="L5" s="296"/>
      <c r="M5" s="296"/>
      <c r="N5" s="80" t="s">
        <v>414</v>
      </c>
      <c r="O5" s="80" t="s">
        <v>415</v>
      </c>
      <c r="P5" s="80" t="s">
        <v>416</v>
      </c>
      <c r="Q5" s="81" t="s">
        <v>417</v>
      </c>
      <c r="R5" s="80" t="s">
        <v>418</v>
      </c>
    </row>
    <row r="6" spans="1:18" ht="49.5" customHeight="1" x14ac:dyDescent="0.25">
      <c r="A6" s="284"/>
      <c r="B6" s="287"/>
      <c r="C6" s="290"/>
      <c r="D6" s="290"/>
      <c r="E6" s="296"/>
      <c r="F6" s="296"/>
      <c r="G6" s="53" t="s">
        <v>121</v>
      </c>
      <c r="H6" s="53" t="s">
        <v>122</v>
      </c>
      <c r="I6" s="53" t="s">
        <v>43</v>
      </c>
      <c r="J6" s="53" t="s">
        <v>347</v>
      </c>
      <c r="K6" s="53" t="s">
        <v>414</v>
      </c>
      <c r="L6" s="53" t="s">
        <v>415</v>
      </c>
      <c r="M6" s="53" t="s">
        <v>416</v>
      </c>
      <c r="N6" s="53" t="s">
        <v>419</v>
      </c>
      <c r="O6" s="53" t="s">
        <v>420</v>
      </c>
      <c r="P6" s="53" t="s">
        <v>421</v>
      </c>
      <c r="Q6" s="54" t="s">
        <v>422</v>
      </c>
      <c r="R6" s="53" t="s">
        <v>423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82">
        <v>1</v>
      </c>
      <c r="B9" s="282" t="s">
        <v>424</v>
      </c>
      <c r="C9" s="302" t="s">
        <v>380</v>
      </c>
      <c r="D9" s="59" t="s">
        <v>425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84"/>
      <c r="B10" s="283"/>
      <c r="C10" s="303"/>
      <c r="D10" s="59" t="s">
        <v>426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82">
        <v>2</v>
      </c>
      <c r="B11" s="283"/>
      <c r="C11" s="302" t="s">
        <v>427</v>
      </c>
      <c r="D11" s="59" t="s">
        <v>425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84"/>
      <c r="B12" s="284"/>
      <c r="C12" s="303"/>
      <c r="D12" s="59" t="s">
        <v>426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82">
        <v>3</v>
      </c>
      <c r="B13" s="282" t="s">
        <v>382</v>
      </c>
      <c r="C13" s="304" t="s">
        <v>383</v>
      </c>
      <c r="D13" s="59" t="s">
        <v>428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84"/>
      <c r="B14" s="283"/>
      <c r="C14" s="305"/>
      <c r="D14" s="59" t="s">
        <v>426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82">
        <v>4</v>
      </c>
      <c r="B15" s="283"/>
      <c r="C15" s="306" t="s">
        <v>384</v>
      </c>
      <c r="D15" s="62" t="s">
        <v>428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84"/>
      <c r="B16" s="284"/>
      <c r="C16" s="307"/>
      <c r="D16" s="62" t="s">
        <v>426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82">
        <v>5</v>
      </c>
      <c r="B17" s="297" t="s">
        <v>385</v>
      </c>
      <c r="C17" s="302" t="s">
        <v>429</v>
      </c>
      <c r="D17" s="59" t="s">
        <v>430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84"/>
      <c r="B18" s="297"/>
      <c r="C18" s="303"/>
      <c r="D18" s="59" t="s">
        <v>426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82">
        <v>6</v>
      </c>
      <c r="B19" s="297"/>
      <c r="C19" s="302" t="s">
        <v>387</v>
      </c>
      <c r="D19" s="62" t="s">
        <v>428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84"/>
      <c r="B20" s="297"/>
      <c r="C20" s="303"/>
      <c r="D20" s="62" t="s">
        <v>426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82">
        <v>7</v>
      </c>
      <c r="B21" s="282" t="s">
        <v>388</v>
      </c>
      <c r="C21" s="302" t="s">
        <v>389</v>
      </c>
      <c r="D21" s="62" t="s">
        <v>431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84"/>
      <c r="B22" s="284"/>
      <c r="C22" s="303"/>
      <c r="D22" s="85" t="s">
        <v>426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432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8" t="s">
        <v>433</v>
      </c>
      <c r="E26" s="308"/>
      <c r="F26" s="308"/>
      <c r="G26" s="308"/>
      <c r="H26" s="308"/>
      <c r="I26" s="308"/>
      <c r="J26" s="308"/>
      <c r="K26" s="308"/>
      <c r="L26" s="74"/>
      <c r="R26" s="92"/>
    </row>
    <row r="27" spans="1:18" outlineLevel="1" x14ac:dyDescent="0.25">
      <c r="D27" s="93"/>
      <c r="E27" s="93" t="s">
        <v>393</v>
      </c>
      <c r="F27" s="93" t="s">
        <v>394</v>
      </c>
      <c r="G27" s="93" t="s">
        <v>395</v>
      </c>
      <c r="H27" s="94" t="s">
        <v>396</v>
      </c>
      <c r="I27" s="94" t="s">
        <v>397</v>
      </c>
      <c r="J27" s="94" t="s">
        <v>398</v>
      </c>
      <c r="K27" s="65" t="s">
        <v>399</v>
      </c>
    </row>
    <row r="28" spans="1:18" outlineLevel="1" x14ac:dyDescent="0.25">
      <c r="D28" s="309" t="s">
        <v>400</v>
      </c>
      <c r="E28" s="311">
        <v>6.09</v>
      </c>
      <c r="F28" s="313">
        <v>6.63</v>
      </c>
      <c r="G28" s="311">
        <v>5.77</v>
      </c>
      <c r="H28" s="315">
        <v>5.77</v>
      </c>
      <c r="I28" s="315">
        <v>6.35</v>
      </c>
      <c r="J28" s="311">
        <v>5.77</v>
      </c>
      <c r="K28" s="95">
        <v>6.29</v>
      </c>
      <c r="L28" t="s">
        <v>401</v>
      </c>
    </row>
    <row r="29" spans="1:18" outlineLevel="1" x14ac:dyDescent="0.25">
      <c r="D29" s="310"/>
      <c r="E29" s="312"/>
      <c r="F29" s="314"/>
      <c r="G29" s="312"/>
      <c r="H29" s="316"/>
      <c r="I29" s="316"/>
      <c r="J29" s="312"/>
      <c r="K29" s="95">
        <v>6.56</v>
      </c>
      <c r="L29" t="s">
        <v>402</v>
      </c>
    </row>
    <row r="30" spans="1:18" outlineLevel="1" x14ac:dyDescent="0.25">
      <c r="D30" s="96" t="s">
        <v>403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09" t="s">
        <v>377</v>
      </c>
      <c r="E31" s="311">
        <v>11.37</v>
      </c>
      <c r="F31" s="313">
        <v>13.56</v>
      </c>
      <c r="G31" s="311">
        <v>15.91</v>
      </c>
      <c r="H31" s="315">
        <v>15.91</v>
      </c>
      <c r="I31" s="315">
        <v>14.03</v>
      </c>
      <c r="J31" s="311">
        <v>15.91</v>
      </c>
      <c r="K31" s="95">
        <v>8.2899999999999991</v>
      </c>
      <c r="L31" t="s">
        <v>401</v>
      </c>
    </row>
    <row r="32" spans="1:18" outlineLevel="1" x14ac:dyDescent="0.25">
      <c r="D32" s="310"/>
      <c r="E32" s="312"/>
      <c r="F32" s="314"/>
      <c r="G32" s="312"/>
      <c r="H32" s="316"/>
      <c r="I32" s="316"/>
      <c r="J32" s="312"/>
      <c r="K32" s="95">
        <v>11.84</v>
      </c>
      <c r="L32" t="s">
        <v>402</v>
      </c>
    </row>
    <row r="33" spans="4:12" ht="15" customHeight="1" outlineLevel="1" x14ac:dyDescent="0.25">
      <c r="D33" s="97" t="s">
        <v>404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434</v>
      </c>
    </row>
    <row r="34" spans="4:12" outlineLevel="1" x14ac:dyDescent="0.25">
      <c r="D34" s="97" t="s">
        <v>405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434</v>
      </c>
    </row>
    <row r="35" spans="4:12" outlineLevel="1" x14ac:dyDescent="0.25">
      <c r="D35" s="96" t="s">
        <v>347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2" t="s">
        <v>10</v>
      </c>
      <c r="B2" s="222"/>
      <c r="C2" s="222"/>
      <c r="D2" s="22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5"/>
    </row>
    <row r="5" spans="1:4" x14ac:dyDescent="0.25">
      <c r="A5" s="5"/>
      <c r="B5" s="1"/>
      <c r="C5" s="1"/>
    </row>
    <row r="6" spans="1:4" x14ac:dyDescent="0.25">
      <c r="A6" s="222" t="s">
        <v>12</v>
      </c>
      <c r="B6" s="222"/>
      <c r="C6" s="222"/>
      <c r="D6" s="22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787.84661439860577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573.03836999999999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787.84661439860577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6" t="s">
        <v>5</v>
      </c>
      <c r="B15" s="227" t="s">
        <v>15</v>
      </c>
      <c r="C15" s="227"/>
      <c r="D15" s="227"/>
    </row>
    <row r="16" spans="1:4" x14ac:dyDescent="0.25">
      <c r="A16" s="226"/>
      <c r="B16" s="226" t="s">
        <v>17</v>
      </c>
      <c r="C16" s="227" t="s">
        <v>28</v>
      </c>
      <c r="D16" s="227"/>
    </row>
    <row r="17" spans="1:4" ht="39" customHeight="1" x14ac:dyDescent="0.25">
      <c r="A17" s="226"/>
      <c r="B17" s="22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787.84661439860577</v>
      </c>
      <c r="C18" s="3">
        <f>C11</f>
        <v>0</v>
      </c>
      <c r="D18" s="3">
        <f>C12</f>
        <v>573.03836999999999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8" t="s">
        <v>29</v>
      </c>
      <c r="B2" s="228"/>
      <c r="C2" s="228"/>
      <c r="D2" s="228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topLeftCell="A16" zoomScale="70" zoomScaleNormal="70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46" style="117" customWidth="1"/>
    <col min="4" max="4" width="47" style="117" customWidth="1"/>
    <col min="5" max="5" width="37.42578125" style="117" customWidth="1"/>
    <col min="6" max="6" width="9.140625" style="117"/>
  </cols>
  <sheetData>
    <row r="3" spans="2:5" x14ac:dyDescent="0.25">
      <c r="B3" s="229" t="s">
        <v>45</v>
      </c>
      <c r="C3" s="229"/>
      <c r="D3" s="229"/>
    </row>
    <row r="4" spans="2:5" x14ac:dyDescent="0.25">
      <c r="B4" s="230" t="s">
        <v>46</v>
      </c>
      <c r="C4" s="230"/>
      <c r="D4" s="230"/>
    </row>
    <row r="5" spans="2:5" ht="84" customHeight="1" x14ac:dyDescent="0.25">
      <c r="B5" s="232" t="s">
        <v>47</v>
      </c>
      <c r="C5" s="232"/>
      <c r="D5" s="232"/>
    </row>
    <row r="6" spans="2:5" ht="18.75" customHeight="1" x14ac:dyDescent="0.25">
      <c r="B6" s="159"/>
      <c r="C6" s="159"/>
      <c r="D6" s="159"/>
    </row>
    <row r="7" spans="2:5" ht="42" customHeight="1" x14ac:dyDescent="0.25">
      <c r="B7" s="231" t="s">
        <v>48</v>
      </c>
      <c r="C7" s="231"/>
      <c r="D7" s="231"/>
    </row>
    <row r="8" spans="2:5" x14ac:dyDescent="0.25">
      <c r="B8" s="231" t="s">
        <v>49</v>
      </c>
      <c r="C8" s="231"/>
      <c r="D8" s="231"/>
    </row>
    <row r="9" spans="2:5" ht="15.75" customHeight="1" x14ac:dyDescent="0.25">
      <c r="B9" s="231" t="s">
        <v>50</v>
      </c>
      <c r="C9" s="231"/>
      <c r="D9" s="231"/>
    </row>
    <row r="10" spans="2:5" x14ac:dyDescent="0.25">
      <c r="B10" s="139"/>
    </row>
    <row r="11" spans="2:5" x14ac:dyDescent="0.25">
      <c r="B11" s="121" t="s">
        <v>33</v>
      </c>
      <c r="C11" s="121" t="s">
        <v>51</v>
      </c>
      <c r="D11" s="121" t="s">
        <v>52</v>
      </c>
      <c r="E11" s="147"/>
    </row>
    <row r="12" spans="2:5" x14ac:dyDescent="0.25">
      <c r="B12" s="121">
        <v>1</v>
      </c>
      <c r="C12" s="126" t="s">
        <v>53</v>
      </c>
      <c r="D12" s="121" t="s">
        <v>54</v>
      </c>
    </row>
    <row r="13" spans="2:5" ht="31.5" customHeight="1" x14ac:dyDescent="0.25">
      <c r="B13" s="121">
        <v>2</v>
      </c>
      <c r="C13" s="126" t="s">
        <v>55</v>
      </c>
      <c r="D13" s="121" t="s">
        <v>56</v>
      </c>
    </row>
    <row r="14" spans="2:5" x14ac:dyDescent="0.25">
      <c r="B14" s="121">
        <v>3</v>
      </c>
      <c r="C14" s="126" t="s">
        <v>57</v>
      </c>
      <c r="D14" s="164" t="s">
        <v>58</v>
      </c>
    </row>
    <row r="15" spans="2:5" x14ac:dyDescent="0.25">
      <c r="B15" s="121">
        <v>4</v>
      </c>
      <c r="C15" s="126" t="s">
        <v>59</v>
      </c>
      <c r="D15" s="121">
        <v>9</v>
      </c>
    </row>
    <row r="16" spans="2:5" ht="63" customHeight="1" x14ac:dyDescent="0.25">
      <c r="B16" s="121">
        <v>5</v>
      </c>
      <c r="C16" s="115" t="s">
        <v>60</v>
      </c>
      <c r="D16" s="121" t="s">
        <v>61</v>
      </c>
    </row>
    <row r="17" spans="2:5" ht="79.5" customHeight="1" x14ac:dyDescent="0.25">
      <c r="B17" s="121">
        <v>6</v>
      </c>
      <c r="C17" s="115" t="s">
        <v>62</v>
      </c>
      <c r="D17" s="216">
        <f>SUM(D18:D21)</f>
        <v>1056.5</v>
      </c>
      <c r="E17" s="158"/>
    </row>
    <row r="18" spans="2:5" x14ac:dyDescent="0.25">
      <c r="B18" s="146" t="s">
        <v>63</v>
      </c>
      <c r="C18" s="126" t="s">
        <v>64</v>
      </c>
      <c r="D18" s="216">
        <v>14.13</v>
      </c>
    </row>
    <row r="19" spans="2:5" ht="15.75" customHeight="1" x14ac:dyDescent="0.25">
      <c r="B19" s="146" t="s">
        <v>65</v>
      </c>
      <c r="C19" s="126" t="s">
        <v>66</v>
      </c>
      <c r="D19" s="216">
        <v>853.31</v>
      </c>
    </row>
    <row r="20" spans="2:5" ht="16.5" customHeight="1" x14ac:dyDescent="0.25">
      <c r="B20" s="146" t="s">
        <v>67</v>
      </c>
      <c r="C20" s="126" t="s">
        <v>68</v>
      </c>
      <c r="D20" s="216"/>
    </row>
    <row r="21" spans="2:5" ht="35.25" customHeight="1" x14ac:dyDescent="0.25">
      <c r="B21" s="146" t="s">
        <v>69</v>
      </c>
      <c r="C21" s="145" t="s">
        <v>70</v>
      </c>
      <c r="D21" s="216">
        <v>189.06</v>
      </c>
    </row>
    <row r="22" spans="2:5" x14ac:dyDescent="0.25">
      <c r="B22" s="121">
        <v>7</v>
      </c>
      <c r="C22" s="145" t="s">
        <v>71</v>
      </c>
      <c r="D22" s="217" t="s">
        <v>72</v>
      </c>
      <c r="E22" s="143"/>
    </row>
    <row r="23" spans="2:5" ht="94.5" customHeight="1" x14ac:dyDescent="0.25">
      <c r="B23" s="121">
        <v>8</v>
      </c>
      <c r="C23" s="144" t="s">
        <v>73</v>
      </c>
      <c r="D23" s="216">
        <f>D17</f>
        <v>1056.5</v>
      </c>
      <c r="E23" s="158"/>
    </row>
    <row r="24" spans="2:5" ht="47.25" customHeight="1" x14ac:dyDescent="0.25">
      <c r="B24" s="121">
        <v>9</v>
      </c>
      <c r="C24" s="115" t="s">
        <v>74</v>
      </c>
      <c r="D24" s="216">
        <f>D23/D15</f>
        <v>117.38888888888999</v>
      </c>
      <c r="E24" s="143"/>
    </row>
    <row r="25" spans="2:5" x14ac:dyDescent="0.25">
      <c r="B25" s="121">
        <v>10</v>
      </c>
      <c r="C25" s="126" t="s">
        <v>75</v>
      </c>
      <c r="D25" s="121"/>
    </row>
    <row r="26" spans="2:5" x14ac:dyDescent="0.25">
      <c r="B26" s="142"/>
      <c r="C26" s="141"/>
      <c r="D26" s="141"/>
    </row>
    <row r="27" spans="2:5" ht="37.5" customHeight="1" x14ac:dyDescent="0.25">
      <c r="B27" s="140"/>
    </row>
    <row r="28" spans="2:5" s="192" customFormat="1" ht="15" x14ac:dyDescent="0.25">
      <c r="B28" s="193" t="s">
        <v>435</v>
      </c>
      <c r="C28" s="199"/>
    </row>
    <row r="29" spans="2:5" s="192" customFormat="1" ht="15" x14ac:dyDescent="0.25">
      <c r="B29" s="185" t="s">
        <v>76</v>
      </c>
      <c r="C29" s="199"/>
    </row>
    <row r="30" spans="2:5" s="192" customFormat="1" ht="15" x14ac:dyDescent="0.25">
      <c r="B30" s="193"/>
      <c r="C30" s="199"/>
    </row>
    <row r="31" spans="2:5" s="192" customFormat="1" ht="15" x14ac:dyDescent="0.25">
      <c r="B31" s="193" t="s">
        <v>271</v>
      </c>
      <c r="C31" s="199"/>
    </row>
    <row r="32" spans="2:5" s="192" customFormat="1" ht="15" x14ac:dyDescent="0.25">
      <c r="B32" s="185" t="s">
        <v>77</v>
      </c>
      <c r="C32" s="199"/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8" t="s">
        <v>78</v>
      </c>
      <c r="B1" s="228"/>
      <c r="C1" s="228"/>
      <c r="D1" s="228"/>
    </row>
    <row r="2" spans="1:10" x14ac:dyDescent="0.25">
      <c r="A2" s="233" t="str">
        <f>'4.1 Отдел 1'!A10</f>
        <v>И5-05-02</v>
      </c>
      <c r="B2" s="233"/>
      <c r="C2" s="233"/>
      <c r="D2" s="233"/>
    </row>
    <row r="3" spans="1:10" x14ac:dyDescent="0.25">
      <c r="A3" s="234"/>
      <c r="B3" s="234"/>
      <c r="C3" s="234"/>
      <c r="D3" s="234"/>
    </row>
    <row r="4" spans="1:10" ht="51.75" customHeight="1" x14ac:dyDescent="0.25">
      <c r="A4" s="225" t="e">
        <f>#REF!</f>
        <v>#REF!</v>
      </c>
      <c r="B4" s="225"/>
      <c r="C4" s="225"/>
      <c r="D4" s="225"/>
    </row>
    <row r="5" spans="1:10" ht="15" customHeight="1" x14ac:dyDescent="0.25">
      <c r="A5" s="225"/>
      <c r="B5" s="235"/>
      <c r="C5" s="235"/>
      <c r="D5" s="23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79</v>
      </c>
      <c r="B7" s="2" t="s">
        <v>80</v>
      </c>
      <c r="C7" s="2" t="s">
        <v>81</v>
      </c>
      <c r="D7" s="2" t="s">
        <v>82</v>
      </c>
    </row>
    <row r="8" spans="1:10" x14ac:dyDescent="0.25">
      <c r="A8" s="25" t="s">
        <v>83</v>
      </c>
      <c r="B8" s="26">
        <f>'Прил.5 Расчет СМР и ОБ'!G14</f>
        <v>10109.299999999999</v>
      </c>
      <c r="C8" s="27">
        <f t="shared" ref="C8:C15" si="0">B8/$B$21</f>
        <v>5.5024129833280568E-2</v>
      </c>
      <c r="D8" s="27">
        <f t="shared" ref="D8:D15" si="1">B8/$B$35</f>
        <v>1.2831558599406845E-2</v>
      </c>
      <c r="I8" s="28"/>
      <c r="J8" s="28"/>
    </row>
    <row r="9" spans="1:10" x14ac:dyDescent="0.25">
      <c r="A9" s="25" t="s">
        <v>84</v>
      </c>
      <c r="B9" s="26">
        <f>'Прил.5 Расчет СМР и ОБ'!G21</f>
        <v>25027.03</v>
      </c>
      <c r="C9" s="27">
        <f t="shared" si="0"/>
        <v>0.13622016836590148</v>
      </c>
      <c r="D9" s="27">
        <f t="shared" si="1"/>
        <v>3.1766373736471676E-2</v>
      </c>
      <c r="I9" s="28"/>
      <c r="J9" s="28"/>
    </row>
    <row r="10" spans="1:10" x14ac:dyDescent="0.25">
      <c r="A10" s="25" t="s">
        <v>85</v>
      </c>
      <c r="B10" s="26">
        <f>'Прил.5 Расчет СМР и ОБ'!G30</f>
        <v>3785.8599999999997</v>
      </c>
      <c r="C10" s="27">
        <f t="shared" si="0"/>
        <v>2.060614010570698E-2</v>
      </c>
      <c r="D10" s="27">
        <f t="shared" si="1"/>
        <v>4.8053262282403732E-3</v>
      </c>
      <c r="I10" s="28"/>
      <c r="J10" s="28"/>
    </row>
    <row r="11" spans="1:10" x14ac:dyDescent="0.25">
      <c r="A11" s="25" t="s">
        <v>86</v>
      </c>
      <c r="B11" s="26">
        <f>B9+B10</f>
        <v>28812.89</v>
      </c>
      <c r="C11" s="27">
        <f t="shared" si="0"/>
        <v>0.15682630847160847</v>
      </c>
      <c r="D11" s="27">
        <f t="shared" si="1"/>
        <v>3.6571699964712052E-2</v>
      </c>
      <c r="I11" s="28"/>
      <c r="J11" s="28"/>
    </row>
    <row r="12" spans="1:10" x14ac:dyDescent="0.25">
      <c r="A12" s="25" t="s">
        <v>87</v>
      </c>
      <c r="B12" s="26">
        <f>'Прил.5 Расчет СМР и ОБ'!G16</f>
        <v>6856.52</v>
      </c>
      <c r="C12" s="27">
        <f t="shared" si="0"/>
        <v>3.7319502506057284E-2</v>
      </c>
      <c r="D12" s="27">
        <f t="shared" si="1"/>
        <v>8.7028615401664837E-3</v>
      </c>
      <c r="I12" s="28"/>
      <c r="J12" s="28"/>
    </row>
    <row r="13" spans="1:10" x14ac:dyDescent="0.25">
      <c r="A13" s="25" t="s">
        <v>88</v>
      </c>
      <c r="B13" s="26">
        <f>'Прил.5 Расчет СМР и ОБ'!G43</f>
        <v>110390.81</v>
      </c>
      <c r="C13" s="27">
        <f t="shared" si="0"/>
        <v>0.60084855151603045</v>
      </c>
      <c r="D13" s="27">
        <f t="shared" si="1"/>
        <v>0.14011713445550011</v>
      </c>
      <c r="I13" s="28"/>
      <c r="J13" s="28"/>
    </row>
    <row r="14" spans="1:10" x14ac:dyDescent="0.25">
      <c r="A14" s="25" t="s">
        <v>89</v>
      </c>
      <c r="B14" s="26">
        <f>'Прил.5 Расчет СМР и ОБ'!G62</f>
        <v>9349.2100000000009</v>
      </c>
      <c r="C14" s="27">
        <f t="shared" si="0"/>
        <v>5.0887019366188078E-2</v>
      </c>
      <c r="D14" s="27">
        <f t="shared" si="1"/>
        <v>1.1866789587128734E-2</v>
      </c>
      <c r="I14" s="28"/>
      <c r="J14" s="28"/>
    </row>
    <row r="15" spans="1:10" x14ac:dyDescent="0.25">
      <c r="A15" s="25" t="s">
        <v>90</v>
      </c>
      <c r="B15" s="26">
        <f>B13+B14</f>
        <v>119740.02</v>
      </c>
      <c r="C15" s="27">
        <f t="shared" si="0"/>
        <v>0.65173557088221856</v>
      </c>
      <c r="D15" s="27">
        <f t="shared" si="1"/>
        <v>0.15198392404262887</v>
      </c>
      <c r="I15" s="28"/>
      <c r="J15" s="28"/>
    </row>
    <row r="16" spans="1:10" x14ac:dyDescent="0.25">
      <c r="A16" s="25" t="s">
        <v>91</v>
      </c>
      <c r="B16" s="26">
        <f>B8+B11+B15</f>
        <v>158662.21000000002</v>
      </c>
      <c r="C16" s="27"/>
      <c r="D16" s="27"/>
      <c r="I16" s="28"/>
      <c r="J16" s="28"/>
    </row>
    <row r="17" spans="1:10" x14ac:dyDescent="0.25">
      <c r="A17" s="25" t="s">
        <v>92</v>
      </c>
      <c r="B17" s="26">
        <f>'Прил.5 Расчет СМР и ОБ'!G66</f>
        <v>8835.5400000000009</v>
      </c>
      <c r="C17" s="27">
        <f>B17/$B$21</f>
        <v>4.8091153700765027E-2</v>
      </c>
      <c r="D17" s="27">
        <f>B17/$B$35</f>
        <v>1.1214797193416278E-2</v>
      </c>
      <c r="I17" s="28"/>
      <c r="J17" s="28"/>
    </row>
    <row r="18" spans="1:10" x14ac:dyDescent="0.25">
      <c r="A18" s="25" t="s">
        <v>93</v>
      </c>
      <c r="B18" s="29">
        <f>B17/(B8+B12)</f>
        <v>0.52078473071151299</v>
      </c>
      <c r="C18" s="27"/>
      <c r="D18" s="27"/>
      <c r="I18" s="28"/>
      <c r="J18" s="28"/>
    </row>
    <row r="19" spans="1:10" x14ac:dyDescent="0.25">
      <c r="A19" s="25" t="s">
        <v>94</v>
      </c>
      <c r="B19" s="26">
        <f>'Прил.5 Расчет СМР и ОБ'!G65</f>
        <v>16227.1</v>
      </c>
      <c r="C19" s="27">
        <f>B19/$B$21</f>
        <v>8.832283711212717E-2</v>
      </c>
      <c r="D19" s="27">
        <f>B19/$B$35</f>
        <v>2.0596775696480947E-2</v>
      </c>
      <c r="I19" s="28"/>
      <c r="J19" s="28"/>
    </row>
    <row r="20" spans="1:10" x14ac:dyDescent="0.25">
      <c r="A20" s="25" t="s">
        <v>95</v>
      </c>
      <c r="B20" s="29">
        <f>B19/(B8+B12)</f>
        <v>0.95645833799957802</v>
      </c>
      <c r="C20" s="27"/>
      <c r="D20" s="27"/>
      <c r="J20" s="28"/>
    </row>
    <row r="21" spans="1:10" x14ac:dyDescent="0.25">
      <c r="A21" s="25" t="s">
        <v>96</v>
      </c>
      <c r="B21" s="26">
        <f>B16+B17+B19</f>
        <v>183724.85000000003</v>
      </c>
      <c r="C21" s="27">
        <f>B21/$B$21</f>
        <v>1</v>
      </c>
      <c r="D21" s="27">
        <f>B21/$B$35</f>
        <v>0.23319875549664501</v>
      </c>
      <c r="J21" s="28"/>
    </row>
    <row r="22" spans="1:10" ht="26.45" customHeight="1" x14ac:dyDescent="0.25">
      <c r="A22" s="25" t="s">
        <v>97</v>
      </c>
      <c r="B22" s="26">
        <f>'Прил.6 Расчет ОБ'!G14</f>
        <v>573038.37</v>
      </c>
      <c r="C22" s="27"/>
      <c r="D22" s="27">
        <f>B22/$B$35</f>
        <v>0.72734763280974768</v>
      </c>
      <c r="J22" s="28"/>
    </row>
    <row r="23" spans="1:10" ht="26.45" customHeight="1" x14ac:dyDescent="0.25">
      <c r="A23" s="25" t="s">
        <v>98</v>
      </c>
      <c r="B23" s="26">
        <f>'Прил.6 Расчет ОБ'!G13</f>
        <v>573038.37</v>
      </c>
      <c r="C23" s="27"/>
      <c r="D23" s="27">
        <f>B23/$B$35</f>
        <v>0.72734763280974768</v>
      </c>
      <c r="J23" s="28"/>
    </row>
    <row r="24" spans="1:10" x14ac:dyDescent="0.25">
      <c r="A24" s="25" t="s">
        <v>99</v>
      </c>
      <c r="B24" s="26">
        <f>'Прил.5 Расчет СМР и ОБ'!G68</f>
        <v>756763.22</v>
      </c>
      <c r="C24" s="27"/>
      <c r="D24" s="27">
        <f>B24/$B$35</f>
        <v>0.96054638830639261</v>
      </c>
      <c r="J24" s="28"/>
    </row>
    <row r="25" spans="1:10" ht="26.45" customHeight="1" x14ac:dyDescent="0.25">
      <c r="A25" s="25" t="s">
        <v>100</v>
      </c>
      <c r="B25" s="26"/>
      <c r="C25" s="27"/>
      <c r="D25" s="27"/>
      <c r="J25" s="28"/>
    </row>
    <row r="26" spans="1:10" x14ac:dyDescent="0.25">
      <c r="A26" s="25" t="s">
        <v>101</v>
      </c>
      <c r="B26" s="26">
        <f>'4.7 Прил.6 Расчет Прочие'!I9*1000</f>
        <v>278.41007999999999</v>
      </c>
      <c r="C26" s="27"/>
      <c r="D26" s="27">
        <f>B26/$B$35</f>
        <v>3.5338107051779532E-4</v>
      </c>
      <c r="J26" s="28"/>
    </row>
    <row r="27" spans="1:10" x14ac:dyDescent="0.25">
      <c r="A27" s="25" t="s">
        <v>102</v>
      </c>
      <c r="B27" s="26">
        <f>'4.7 Прил.6 Расчет Прочие'!I11*1000</f>
        <v>86.950678710000005</v>
      </c>
      <c r="C27" s="27"/>
      <c r="D27" s="27">
        <f>B27/$B$35</f>
        <v>1.1036498364135622E-4</v>
      </c>
      <c r="J27" s="28"/>
    </row>
    <row r="28" spans="1:10" x14ac:dyDescent="0.25">
      <c r="A28" s="25" t="s">
        <v>103</v>
      </c>
      <c r="B28" s="26">
        <f>'4.7 Прил.6 Расчет Прочие'!I12*1000</f>
        <v>5470.4031199999999</v>
      </c>
      <c r="C28" s="27"/>
      <c r="D28" s="27">
        <f>B28/$B$35</f>
        <v>6.9434875012768481E-3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104</v>
      </c>
      <c r="B30" s="26">
        <f>'4.7 Прил.6 Расчет Прочие'!I14*1000</f>
        <v>2300.6417510043998</v>
      </c>
      <c r="C30" s="27"/>
      <c r="D30" s="27">
        <f>B30/$B$35</f>
        <v>2.9201645459383868E-3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106</v>
      </c>
      <c r="B33" s="26">
        <f>B24+B26+B27+B28+B30+B32</f>
        <v>764899.62562971434</v>
      </c>
      <c r="C33" s="27"/>
      <c r="D33" s="27">
        <f>B33/$B$35</f>
        <v>0.970873786407767</v>
      </c>
      <c r="J33" s="28"/>
    </row>
    <row r="34" spans="1:10" x14ac:dyDescent="0.25">
      <c r="A34" s="25" t="s">
        <v>107</v>
      </c>
      <c r="B34" s="26">
        <f>B33*3%</f>
        <v>22946.988768891428</v>
      </c>
      <c r="C34" s="27"/>
      <c r="D34" s="27">
        <f>B34/$B$35</f>
        <v>2.9126213592233007E-2</v>
      </c>
      <c r="J34" s="28"/>
    </row>
    <row r="35" spans="1:10" x14ac:dyDescent="0.25">
      <c r="A35" s="25" t="s">
        <v>108</v>
      </c>
      <c r="B35" s="26">
        <f>B33+B34</f>
        <v>787846.61439860577</v>
      </c>
      <c r="C35" s="27"/>
      <c r="D35" s="27">
        <f>B35/$B$35</f>
        <v>1</v>
      </c>
      <c r="J35" s="28"/>
    </row>
    <row r="36" spans="1:10" x14ac:dyDescent="0.25">
      <c r="A36" s="25" t="s">
        <v>109</v>
      </c>
      <c r="B36" s="26">
        <f>B35</f>
        <v>787846.61439860577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110</v>
      </c>
      <c r="B38" s="30"/>
      <c r="C38" s="30"/>
      <c r="D38" s="30"/>
    </row>
    <row r="39" spans="1:10" x14ac:dyDescent="0.25">
      <c r="A39" s="31" t="s">
        <v>111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112</v>
      </c>
      <c r="B41" s="30"/>
      <c r="C41" s="30"/>
      <c r="D41" s="30"/>
    </row>
    <row r="42" spans="1:10" x14ac:dyDescent="0.25">
      <c r="A42" s="31" t="s">
        <v>113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8"/>
  <sheetViews>
    <sheetView view="pageBreakPreview" zoomScale="85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1" x14ac:dyDescent="0.25">
      <c r="B3" s="229" t="s">
        <v>114</v>
      </c>
      <c r="C3" s="229"/>
      <c r="D3" s="229"/>
      <c r="E3" s="229"/>
      <c r="F3" s="229"/>
      <c r="G3" s="229"/>
      <c r="H3" s="229"/>
      <c r="I3" s="229"/>
      <c r="J3" s="229"/>
      <c r="K3" s="140"/>
    </row>
    <row r="4" spans="2:11" x14ac:dyDescent="0.25">
      <c r="B4" s="230" t="s">
        <v>115</v>
      </c>
      <c r="C4" s="230"/>
      <c r="D4" s="230"/>
      <c r="E4" s="230"/>
      <c r="F4" s="230"/>
      <c r="G4" s="230"/>
      <c r="H4" s="230"/>
      <c r="I4" s="230"/>
      <c r="J4" s="230"/>
      <c r="K4" s="230"/>
    </row>
    <row r="5" spans="2:11" x14ac:dyDescent="0.25">
      <c r="B5" s="148"/>
      <c r="C5" s="148"/>
      <c r="D5" s="148"/>
      <c r="E5" s="148"/>
      <c r="F5" s="148"/>
      <c r="G5" s="148"/>
      <c r="H5" s="148"/>
      <c r="I5" s="148"/>
      <c r="J5" s="148"/>
      <c r="K5" s="148"/>
    </row>
    <row r="6" spans="2:11" ht="29.25" customHeight="1" x14ac:dyDescent="0.25">
      <c r="B6" s="231" t="str">
        <f>'Прил.1 Сравнит табл'!B7:D7</f>
        <v>Наименование разрабатываемого показателя УНЦ - ОПН на три фазы без устройства фундамента напряжение 330 кВ</v>
      </c>
      <c r="C6" s="231"/>
      <c r="D6" s="231"/>
      <c r="E6" s="231"/>
      <c r="F6" s="231"/>
      <c r="G6" s="231"/>
      <c r="H6" s="231"/>
      <c r="I6" s="231"/>
      <c r="J6" s="231"/>
      <c r="K6" s="231"/>
    </row>
    <row r="7" spans="2:11" x14ac:dyDescent="0.25">
      <c r="B7" s="231" t="str">
        <f>'Прил.1 Сравнит табл'!B9:D9</f>
        <v>Единица измерения  — 1 ед</v>
      </c>
      <c r="C7" s="231"/>
      <c r="D7" s="231"/>
      <c r="E7" s="231"/>
      <c r="F7" s="231"/>
      <c r="G7" s="231"/>
      <c r="H7" s="231"/>
      <c r="I7" s="231"/>
      <c r="J7" s="231"/>
      <c r="K7" s="231"/>
    </row>
    <row r="8" spans="2:11" ht="18.75" customHeight="1" x14ac:dyDescent="0.25">
      <c r="B8" s="132"/>
    </row>
    <row r="9" spans="2:11" ht="15.75" customHeight="1" x14ac:dyDescent="0.25">
      <c r="B9" s="238" t="s">
        <v>33</v>
      </c>
      <c r="C9" s="238" t="s">
        <v>116</v>
      </c>
      <c r="D9" s="238" t="s">
        <v>117</v>
      </c>
      <c r="E9" s="238"/>
      <c r="F9" s="238"/>
      <c r="G9" s="238"/>
      <c r="H9" s="238"/>
      <c r="I9" s="238"/>
      <c r="J9" s="238"/>
    </row>
    <row r="10" spans="2:11" ht="15.75" customHeight="1" x14ac:dyDescent="0.25">
      <c r="B10" s="238"/>
      <c r="C10" s="238"/>
      <c r="D10" s="238" t="s">
        <v>118</v>
      </c>
      <c r="E10" s="238" t="s">
        <v>119</v>
      </c>
      <c r="F10" s="238" t="s">
        <v>120</v>
      </c>
      <c r="G10" s="238"/>
      <c r="H10" s="238"/>
      <c r="I10" s="238"/>
      <c r="J10" s="238"/>
    </row>
    <row r="11" spans="2:11" ht="31.5" customHeight="1" x14ac:dyDescent="0.25">
      <c r="B11" s="238"/>
      <c r="C11" s="238"/>
      <c r="D11" s="238"/>
      <c r="E11" s="238"/>
      <c r="F11" s="218" t="s">
        <v>121</v>
      </c>
      <c r="G11" s="218" t="s">
        <v>122</v>
      </c>
      <c r="H11" s="218" t="s">
        <v>43</v>
      </c>
      <c r="I11" s="218" t="s">
        <v>123</v>
      </c>
      <c r="J11" s="218" t="s">
        <v>124</v>
      </c>
    </row>
    <row r="12" spans="2:11" ht="47.25" customHeight="1" x14ac:dyDescent="0.25">
      <c r="B12" s="201">
        <v>1</v>
      </c>
      <c r="C12" s="186" t="s">
        <v>61</v>
      </c>
      <c r="D12" s="219" t="s">
        <v>125</v>
      </c>
      <c r="E12" s="220" t="s">
        <v>126</v>
      </c>
      <c r="F12" s="202">
        <f>2134*6.62/1000</f>
        <v>14.127079999999999</v>
      </c>
      <c r="G12" s="202"/>
      <c r="H12" s="202">
        <f>216575*3.94/1000</f>
        <v>853.30550000000005</v>
      </c>
      <c r="I12" s="202">
        <f>24427*7.74/1000</f>
        <v>189.06497999999999</v>
      </c>
      <c r="J12" s="202">
        <f>SUM(F12:I12)</f>
        <v>1056.49756</v>
      </c>
    </row>
    <row r="13" spans="2:11" ht="15" customHeight="1" x14ac:dyDescent="0.25">
      <c r="B13" s="236" t="s">
        <v>127</v>
      </c>
      <c r="C13" s="236"/>
      <c r="D13" s="236"/>
      <c r="E13" s="236"/>
      <c r="F13" s="203">
        <f>SUM(F12)</f>
        <v>14.127079999999999</v>
      </c>
      <c r="G13" s="203"/>
      <c r="H13" s="203">
        <f>SUM(H12)</f>
        <v>853.30550000000005</v>
      </c>
      <c r="I13" s="203">
        <f>SUM(I12)</f>
        <v>189.06497999999999</v>
      </c>
      <c r="J13" s="203">
        <f>SUM(J12)</f>
        <v>1056.49756</v>
      </c>
    </row>
    <row r="14" spans="2:11" ht="15.75" customHeight="1" x14ac:dyDescent="0.25">
      <c r="B14" s="237" t="s">
        <v>128</v>
      </c>
      <c r="C14" s="237"/>
      <c r="D14" s="237"/>
      <c r="E14" s="237"/>
      <c r="F14" s="204">
        <f>F13</f>
        <v>14.127079999999999</v>
      </c>
      <c r="G14" s="204"/>
      <c r="H14" s="204">
        <f>H13</f>
        <v>853.30550000000005</v>
      </c>
      <c r="I14" s="204">
        <f>I13</f>
        <v>189.06497999999999</v>
      </c>
      <c r="J14" s="204">
        <f>J13</f>
        <v>1056.49756</v>
      </c>
    </row>
    <row r="15" spans="2:11" ht="15" customHeight="1" x14ac:dyDescent="0.25"/>
    <row r="16" spans="2:11" ht="15" customHeight="1" x14ac:dyDescent="0.25"/>
    <row r="17" spans="2:3" ht="15" customHeight="1" x14ac:dyDescent="0.25"/>
    <row r="18" spans="2:3" s="192" customFormat="1" ht="15" x14ac:dyDescent="0.25">
      <c r="B18" s="193" t="s">
        <v>435</v>
      </c>
      <c r="C18" s="199"/>
    </row>
    <row r="19" spans="2:3" s="192" customFormat="1" ht="15" x14ac:dyDescent="0.25">
      <c r="B19" s="185" t="s">
        <v>76</v>
      </c>
      <c r="C19" s="199"/>
    </row>
    <row r="20" spans="2:3" s="192" customFormat="1" ht="15" x14ac:dyDescent="0.25">
      <c r="B20" s="193"/>
      <c r="C20" s="199"/>
    </row>
    <row r="21" spans="2:3" s="192" customFormat="1" ht="15" x14ac:dyDescent="0.25">
      <c r="B21" s="193" t="s">
        <v>271</v>
      </c>
      <c r="C21" s="199"/>
    </row>
    <row r="22" spans="2:3" s="192" customFormat="1" ht="15" x14ac:dyDescent="0.25">
      <c r="B22" s="185" t="s">
        <v>77</v>
      </c>
      <c r="C22" s="199"/>
    </row>
    <row r="23" spans="2:3" ht="15" customHeight="1" x14ac:dyDescent="0.25"/>
    <row r="24" spans="2:3" ht="15" customHeight="1" x14ac:dyDescent="0.25"/>
    <row r="25" spans="2:3" ht="15" customHeight="1" x14ac:dyDescent="0.25"/>
    <row r="26" spans="2:3" ht="15" customHeight="1" x14ac:dyDescent="0.25"/>
    <row r="27" spans="2:3" ht="15" customHeight="1" x14ac:dyDescent="0.25"/>
    <row r="28" spans="2:3" ht="15" customHeight="1" x14ac:dyDescent="0.25"/>
  </sheetData>
  <mergeCells count="12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view="pageBreakPreview" zoomScaleSheetLayoutView="100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20" style="117" customWidth="1"/>
    <col min="8" max="8" width="16.7109375" style="117" customWidth="1"/>
    <col min="9" max="10" width="9.140625" style="117"/>
    <col min="11" max="11" width="15" style="117" customWidth="1"/>
    <col min="12" max="12" width="9.140625" style="117"/>
  </cols>
  <sheetData>
    <row r="2" spans="1:12" x14ac:dyDescent="0.25">
      <c r="A2" s="229" t="s">
        <v>129</v>
      </c>
      <c r="B2" s="229"/>
      <c r="C2" s="229"/>
      <c r="D2" s="229"/>
      <c r="E2" s="229"/>
      <c r="F2" s="229"/>
      <c r="G2" s="229"/>
      <c r="H2" s="229"/>
    </row>
    <row r="3" spans="1:12" x14ac:dyDescent="0.25">
      <c r="A3" s="230" t="s">
        <v>130</v>
      </c>
      <c r="B3" s="230"/>
      <c r="C3" s="230"/>
      <c r="D3" s="230"/>
      <c r="E3" s="230"/>
      <c r="F3" s="230"/>
      <c r="G3" s="230"/>
      <c r="H3" s="230"/>
    </row>
    <row r="4" spans="1:12" ht="18.75" customHeight="1" x14ac:dyDescent="0.25">
      <c r="A4" s="161"/>
      <c r="B4" s="161"/>
      <c r="C4" s="247"/>
      <c r="D4" s="247"/>
      <c r="E4" s="247"/>
      <c r="F4" s="247"/>
      <c r="G4" s="247"/>
      <c r="H4" s="247"/>
    </row>
    <row r="5" spans="1:12" x14ac:dyDescent="0.25">
      <c r="A5" s="139"/>
    </row>
    <row r="6" spans="1:12" x14ac:dyDescent="0.25">
      <c r="A6" s="246" t="s">
        <v>131</v>
      </c>
      <c r="B6" s="246"/>
      <c r="C6" s="246"/>
      <c r="D6" s="246"/>
      <c r="E6" s="246"/>
      <c r="F6" s="246"/>
      <c r="G6" s="246"/>
      <c r="H6" s="246"/>
    </row>
    <row r="7" spans="1:12" s="192" customFormat="1" x14ac:dyDescent="0.25">
      <c r="A7" s="221"/>
      <c r="B7" s="221"/>
      <c r="C7" s="221"/>
      <c r="D7" s="221"/>
      <c r="E7" s="221"/>
      <c r="F7" s="221"/>
      <c r="G7" s="221"/>
      <c r="H7" s="221"/>
      <c r="I7" s="117"/>
      <c r="J7" s="117"/>
      <c r="K7" s="117"/>
      <c r="L7" s="117"/>
    </row>
    <row r="8" spans="1:12" x14ac:dyDescent="0.25">
      <c r="A8" s="149"/>
      <c r="B8" s="149"/>
      <c r="C8" s="149"/>
      <c r="D8" s="149"/>
      <c r="E8" s="149"/>
      <c r="F8" s="149"/>
      <c r="G8" s="149"/>
      <c r="H8" s="149"/>
    </row>
    <row r="9" spans="1:12" ht="38.25" customHeight="1" x14ac:dyDescent="0.25">
      <c r="A9" s="238" t="s">
        <v>132</v>
      </c>
      <c r="B9" s="238" t="s">
        <v>133</v>
      </c>
      <c r="C9" s="238" t="s">
        <v>134</v>
      </c>
      <c r="D9" s="238" t="s">
        <v>135</v>
      </c>
      <c r="E9" s="238" t="s">
        <v>136</v>
      </c>
      <c r="F9" s="238" t="s">
        <v>137</v>
      </c>
      <c r="G9" s="238" t="s">
        <v>80</v>
      </c>
      <c r="H9" s="238"/>
    </row>
    <row r="10" spans="1:12" ht="40.5" customHeight="1" x14ac:dyDescent="0.25">
      <c r="A10" s="238"/>
      <c r="B10" s="238"/>
      <c r="C10" s="238"/>
      <c r="D10" s="238"/>
      <c r="E10" s="238"/>
      <c r="F10" s="238"/>
      <c r="G10" s="121" t="s">
        <v>138</v>
      </c>
      <c r="H10" s="121" t="s">
        <v>139</v>
      </c>
    </row>
    <row r="11" spans="1:12" x14ac:dyDescent="0.25">
      <c r="A11" s="151">
        <v>1</v>
      </c>
      <c r="B11" s="151"/>
      <c r="C11" s="151">
        <v>2</v>
      </c>
      <c r="D11" s="151" t="s">
        <v>140</v>
      </c>
      <c r="E11" s="151">
        <v>4</v>
      </c>
      <c r="F11" s="151">
        <v>5</v>
      </c>
      <c r="G11" s="151">
        <v>6</v>
      </c>
      <c r="H11" s="151">
        <v>7</v>
      </c>
    </row>
    <row r="12" spans="1:12" s="150" customFormat="1" x14ac:dyDescent="0.25">
      <c r="A12" s="243" t="s">
        <v>141</v>
      </c>
      <c r="B12" s="244"/>
      <c r="C12" s="245"/>
      <c r="D12" s="245"/>
      <c r="E12" s="244"/>
      <c r="F12" s="160">
        <f>SUM(F13:F17)</f>
        <v>967.44</v>
      </c>
      <c r="G12" s="10"/>
      <c r="H12" s="160">
        <f>SUM(H13:H17)</f>
        <v>10109.299999999999</v>
      </c>
    </row>
    <row r="13" spans="1:12" x14ac:dyDescent="0.25">
      <c r="A13" s="208">
        <v>1</v>
      </c>
      <c r="B13" s="213"/>
      <c r="C13" s="167" t="s">
        <v>142</v>
      </c>
      <c r="D13" s="188" t="s">
        <v>143</v>
      </c>
      <c r="E13" s="189" t="s">
        <v>144</v>
      </c>
      <c r="F13" s="205">
        <v>591.89</v>
      </c>
      <c r="G13" s="32">
        <v>10.94</v>
      </c>
      <c r="H13" s="32">
        <f>ROUND(F13*G13,2)</f>
        <v>6475.28</v>
      </c>
    </row>
    <row r="14" spans="1:12" x14ac:dyDescent="0.25">
      <c r="A14" s="208">
        <v>2</v>
      </c>
      <c r="B14" s="213"/>
      <c r="C14" s="167" t="s">
        <v>145</v>
      </c>
      <c r="D14" s="188" t="s">
        <v>146</v>
      </c>
      <c r="E14" s="189" t="s">
        <v>144</v>
      </c>
      <c r="F14" s="205">
        <v>216.66</v>
      </c>
      <c r="G14" s="32">
        <v>9.6199999999999992</v>
      </c>
      <c r="H14" s="32">
        <f>ROUND(F14*G14,2)</f>
        <v>2084.27</v>
      </c>
    </row>
    <row r="15" spans="1:12" x14ac:dyDescent="0.25">
      <c r="A15" s="208">
        <v>3</v>
      </c>
      <c r="B15" s="213"/>
      <c r="C15" s="167" t="s">
        <v>147</v>
      </c>
      <c r="D15" s="188" t="s">
        <v>148</v>
      </c>
      <c r="E15" s="189" t="s">
        <v>144</v>
      </c>
      <c r="F15" s="205">
        <v>156.13999999999999</v>
      </c>
      <c r="G15" s="32">
        <v>9.76</v>
      </c>
      <c r="H15" s="32">
        <f>ROUND(F15*G15,2)</f>
        <v>1523.93</v>
      </c>
    </row>
    <row r="16" spans="1:12" x14ac:dyDescent="0.25">
      <c r="A16" s="208">
        <v>4</v>
      </c>
      <c r="B16" s="213"/>
      <c r="C16" s="167" t="s">
        <v>149</v>
      </c>
      <c r="D16" s="188" t="s">
        <v>150</v>
      </c>
      <c r="E16" s="189" t="s">
        <v>144</v>
      </c>
      <c r="F16" s="205">
        <v>2.66</v>
      </c>
      <c r="G16" s="32">
        <v>9.4</v>
      </c>
      <c r="H16" s="32">
        <f>ROUND(F16*G16,2)</f>
        <v>25</v>
      </c>
    </row>
    <row r="17" spans="1:12" x14ac:dyDescent="0.25">
      <c r="A17" s="208">
        <v>5</v>
      </c>
      <c r="B17" s="213"/>
      <c r="C17" s="167" t="s">
        <v>151</v>
      </c>
      <c r="D17" s="188" t="s">
        <v>152</v>
      </c>
      <c r="E17" s="189" t="s">
        <v>144</v>
      </c>
      <c r="F17" s="205">
        <v>0.09</v>
      </c>
      <c r="G17" s="32">
        <v>9.07</v>
      </c>
      <c r="H17" s="32">
        <f>ROUND(F17*G17,2)</f>
        <v>0.82</v>
      </c>
    </row>
    <row r="18" spans="1:12" x14ac:dyDescent="0.25">
      <c r="A18" s="239" t="s">
        <v>153</v>
      </c>
      <c r="B18" s="239"/>
      <c r="C18" s="239"/>
      <c r="D18" s="239"/>
      <c r="E18" s="239"/>
      <c r="F18" s="214"/>
      <c r="G18" s="215"/>
      <c r="H18" s="160">
        <f>H19</f>
        <v>6856.52</v>
      </c>
    </row>
    <row r="19" spans="1:12" x14ac:dyDescent="0.25">
      <c r="A19" s="189">
        <v>6</v>
      </c>
      <c r="B19" s="206"/>
      <c r="C19" s="167">
        <v>2</v>
      </c>
      <c r="D19" s="188" t="s">
        <v>153</v>
      </c>
      <c r="E19" s="189" t="s">
        <v>144</v>
      </c>
      <c r="F19" s="205">
        <v>546.62</v>
      </c>
      <c r="G19" s="32"/>
      <c r="H19" s="207">
        <v>6856.52</v>
      </c>
    </row>
    <row r="20" spans="1:12" s="150" customFormat="1" x14ac:dyDescent="0.25">
      <c r="A20" s="240" t="s">
        <v>154</v>
      </c>
      <c r="B20" s="241"/>
      <c r="C20" s="242"/>
      <c r="D20" s="242"/>
      <c r="E20" s="241"/>
      <c r="F20" s="214"/>
      <c r="G20" s="215"/>
      <c r="H20" s="160">
        <f>SUM(H21:H30)</f>
        <v>28812.89</v>
      </c>
    </row>
    <row r="21" spans="1:12" x14ac:dyDescent="0.25">
      <c r="A21" s="189">
        <v>7</v>
      </c>
      <c r="B21" s="206"/>
      <c r="C21" s="167" t="s">
        <v>155</v>
      </c>
      <c r="D21" s="188" t="s">
        <v>156</v>
      </c>
      <c r="E21" s="189" t="s">
        <v>157</v>
      </c>
      <c r="F21" s="189">
        <v>201.58</v>
      </c>
      <c r="G21" s="190">
        <v>74.239999999999995</v>
      </c>
      <c r="H21" s="32">
        <f t="shared" ref="H21:H30" si="0">ROUND(F21*G21,2)</f>
        <v>14965.3</v>
      </c>
      <c r="I21" s="152"/>
      <c r="J21" s="162"/>
      <c r="L21" s="152"/>
    </row>
    <row r="22" spans="1:12" s="150" customFormat="1" ht="25.5" customHeight="1" x14ac:dyDescent="0.25">
      <c r="A22" s="189">
        <v>8</v>
      </c>
      <c r="B22" s="206"/>
      <c r="C22" s="167" t="s">
        <v>158</v>
      </c>
      <c r="D22" s="188" t="s">
        <v>159</v>
      </c>
      <c r="E22" s="189" t="s">
        <v>157</v>
      </c>
      <c r="F22" s="189">
        <v>87.19</v>
      </c>
      <c r="G22" s="190">
        <v>115.4</v>
      </c>
      <c r="H22" s="32">
        <f t="shared" si="0"/>
        <v>10061.73</v>
      </c>
      <c r="I22" s="152"/>
      <c r="L22" s="152"/>
    </row>
    <row r="23" spans="1:12" x14ac:dyDescent="0.25">
      <c r="A23" s="189">
        <v>9</v>
      </c>
      <c r="B23" s="206"/>
      <c r="C23" s="167" t="s">
        <v>160</v>
      </c>
      <c r="D23" s="188" t="s">
        <v>161</v>
      </c>
      <c r="E23" s="189" t="s">
        <v>157</v>
      </c>
      <c r="F23" s="189">
        <v>34.89</v>
      </c>
      <c r="G23" s="190">
        <v>65.709999999999994</v>
      </c>
      <c r="H23" s="32">
        <f t="shared" si="0"/>
        <v>2292.62</v>
      </c>
      <c r="I23" s="152"/>
      <c r="L23" s="152"/>
    </row>
    <row r="24" spans="1:12" x14ac:dyDescent="0.25">
      <c r="A24" s="189">
        <v>10</v>
      </c>
      <c r="B24" s="206"/>
      <c r="C24" s="167" t="s">
        <v>162</v>
      </c>
      <c r="D24" s="188" t="s">
        <v>163</v>
      </c>
      <c r="E24" s="189" t="s">
        <v>157</v>
      </c>
      <c r="F24" s="189">
        <v>19.02</v>
      </c>
      <c r="G24" s="190">
        <v>29.6</v>
      </c>
      <c r="H24" s="32">
        <f t="shared" si="0"/>
        <v>562.99</v>
      </c>
      <c r="I24" s="152"/>
      <c r="L24" s="152"/>
    </row>
    <row r="25" spans="1:12" ht="25.5" customHeight="1" x14ac:dyDescent="0.25">
      <c r="A25" s="189">
        <v>11</v>
      </c>
      <c r="B25" s="206"/>
      <c r="C25" s="167" t="s">
        <v>164</v>
      </c>
      <c r="D25" s="188" t="s">
        <v>165</v>
      </c>
      <c r="E25" s="189" t="s">
        <v>157</v>
      </c>
      <c r="F25" s="189">
        <v>37.83</v>
      </c>
      <c r="G25" s="190">
        <v>14</v>
      </c>
      <c r="H25" s="32">
        <f t="shared" si="0"/>
        <v>529.62</v>
      </c>
      <c r="I25" s="152"/>
      <c r="L25" s="152"/>
    </row>
    <row r="26" spans="1:12" x14ac:dyDescent="0.25">
      <c r="A26" s="189">
        <v>12</v>
      </c>
      <c r="B26" s="206"/>
      <c r="C26" s="167" t="s">
        <v>166</v>
      </c>
      <c r="D26" s="188" t="s">
        <v>167</v>
      </c>
      <c r="E26" s="189" t="s">
        <v>157</v>
      </c>
      <c r="F26" s="189">
        <v>2.14</v>
      </c>
      <c r="G26" s="190">
        <v>89.99</v>
      </c>
      <c r="H26" s="32">
        <f t="shared" si="0"/>
        <v>192.58</v>
      </c>
      <c r="I26" s="152"/>
      <c r="L26" s="152"/>
    </row>
    <row r="27" spans="1:12" ht="25.5" customHeight="1" x14ac:dyDescent="0.25">
      <c r="A27" s="189">
        <v>13</v>
      </c>
      <c r="B27" s="206"/>
      <c r="C27" s="167" t="s">
        <v>168</v>
      </c>
      <c r="D27" s="188" t="s">
        <v>169</v>
      </c>
      <c r="E27" s="189" t="s">
        <v>157</v>
      </c>
      <c r="F27" s="189">
        <v>23.1</v>
      </c>
      <c r="G27" s="190">
        <v>8.1</v>
      </c>
      <c r="H27" s="32">
        <f t="shared" si="0"/>
        <v>187.11</v>
      </c>
      <c r="I27" s="152"/>
    </row>
    <row r="28" spans="1:12" x14ac:dyDescent="0.25">
      <c r="A28" s="189">
        <v>14</v>
      </c>
      <c r="B28" s="206"/>
      <c r="C28" s="167" t="s">
        <v>170</v>
      </c>
      <c r="D28" s="188" t="s">
        <v>171</v>
      </c>
      <c r="E28" s="189" t="s">
        <v>157</v>
      </c>
      <c r="F28" s="189">
        <v>0.19</v>
      </c>
      <c r="G28" s="190">
        <v>85.84</v>
      </c>
      <c r="H28" s="32">
        <f t="shared" si="0"/>
        <v>16.309999999999999</v>
      </c>
    </row>
    <row r="29" spans="1:12" ht="25.5" customHeight="1" x14ac:dyDescent="0.25">
      <c r="A29" s="189">
        <v>15</v>
      </c>
      <c r="B29" s="206"/>
      <c r="C29" s="167" t="s">
        <v>172</v>
      </c>
      <c r="D29" s="188" t="s">
        <v>173</v>
      </c>
      <c r="E29" s="189" t="s">
        <v>157</v>
      </c>
      <c r="F29" s="189">
        <v>3.78</v>
      </c>
      <c r="G29" s="190">
        <v>0.9</v>
      </c>
      <c r="H29" s="32">
        <f t="shared" si="0"/>
        <v>3.4</v>
      </c>
    </row>
    <row r="30" spans="1:12" ht="25.5" customHeight="1" x14ac:dyDescent="0.25">
      <c r="A30" s="189">
        <v>16</v>
      </c>
      <c r="B30" s="206"/>
      <c r="C30" s="167" t="s">
        <v>174</v>
      </c>
      <c r="D30" s="188" t="s">
        <v>175</v>
      </c>
      <c r="E30" s="189" t="s">
        <v>157</v>
      </c>
      <c r="F30" s="189">
        <v>0.18</v>
      </c>
      <c r="G30" s="190">
        <v>6.82</v>
      </c>
      <c r="H30" s="32">
        <f t="shared" si="0"/>
        <v>1.23</v>
      </c>
    </row>
    <row r="31" spans="1:12" ht="15" customHeight="1" x14ac:dyDescent="0.25">
      <c r="A31" s="239" t="s">
        <v>43</v>
      </c>
      <c r="B31" s="239"/>
      <c r="C31" s="239"/>
      <c r="D31" s="239"/>
      <c r="E31" s="239"/>
      <c r="F31" s="10"/>
      <c r="G31" s="10"/>
      <c r="H31" s="160">
        <f>SUM(H32:H32)</f>
        <v>607420.62</v>
      </c>
    </row>
    <row r="32" spans="1:12" ht="15" customHeight="1" x14ac:dyDescent="0.25">
      <c r="A32" s="208">
        <v>17</v>
      </c>
      <c r="B32" s="187"/>
      <c r="C32" s="167" t="s">
        <v>176</v>
      </c>
      <c r="D32" s="188" t="s">
        <v>177</v>
      </c>
      <c r="E32" s="189" t="s">
        <v>178</v>
      </c>
      <c r="F32" s="189">
        <v>9</v>
      </c>
      <c r="G32" s="212">
        <v>67491.179999999993</v>
      </c>
      <c r="H32" s="32">
        <f>ROUND(F32*G32,2)</f>
        <v>607420.62</v>
      </c>
      <c r="I32" s="163"/>
      <c r="K32"/>
    </row>
    <row r="33" spans="1:11" x14ac:dyDescent="0.25">
      <c r="A33" s="240" t="s">
        <v>179</v>
      </c>
      <c r="B33" s="241"/>
      <c r="C33" s="242"/>
      <c r="D33" s="242"/>
      <c r="E33" s="241"/>
      <c r="F33" s="214"/>
      <c r="G33" s="215"/>
      <c r="H33" s="160">
        <f>SUM(H34:H53)</f>
        <v>119740.02</v>
      </c>
    </row>
    <row r="34" spans="1:11" ht="25.5" customHeight="1" x14ac:dyDescent="0.25">
      <c r="A34" s="208">
        <v>18</v>
      </c>
      <c r="B34" s="206"/>
      <c r="C34" s="167" t="s">
        <v>180</v>
      </c>
      <c r="D34" s="188" t="s">
        <v>181</v>
      </c>
      <c r="E34" s="189" t="s">
        <v>182</v>
      </c>
      <c r="F34" s="189">
        <v>9.6037199999999991</v>
      </c>
      <c r="G34" s="32">
        <v>10480</v>
      </c>
      <c r="H34" s="32">
        <f t="shared" ref="H34:H53" si="1">ROUND(F34*G34,2)</f>
        <v>100646.99</v>
      </c>
      <c r="I34" s="163"/>
      <c r="K34" s="152"/>
    </row>
    <row r="35" spans="1:11" ht="25.5" customHeight="1" x14ac:dyDescent="0.25">
      <c r="A35" s="208">
        <v>19</v>
      </c>
      <c r="B35" s="206"/>
      <c r="C35" s="167" t="s">
        <v>183</v>
      </c>
      <c r="D35" s="188" t="s">
        <v>184</v>
      </c>
      <c r="E35" s="189" t="s">
        <v>182</v>
      </c>
      <c r="F35" s="189">
        <v>0.32382250000000001</v>
      </c>
      <c r="G35" s="32">
        <v>30090</v>
      </c>
      <c r="H35" s="32">
        <f t="shared" si="1"/>
        <v>9743.82</v>
      </c>
      <c r="I35" s="163"/>
      <c r="K35" s="152"/>
    </row>
    <row r="36" spans="1:11" ht="25.5" customHeight="1" x14ac:dyDescent="0.25">
      <c r="A36" s="208">
        <v>20</v>
      </c>
      <c r="B36" s="206"/>
      <c r="C36" s="167" t="s">
        <v>185</v>
      </c>
      <c r="D36" s="188" t="s">
        <v>186</v>
      </c>
      <c r="E36" s="189" t="s">
        <v>182</v>
      </c>
      <c r="F36" s="189">
        <v>6.2350999999999997E-2</v>
      </c>
      <c r="G36" s="32">
        <v>32758.86</v>
      </c>
      <c r="H36" s="32">
        <f t="shared" si="1"/>
        <v>2042.55</v>
      </c>
      <c r="I36" s="163"/>
    </row>
    <row r="37" spans="1:11" ht="25.5" customHeight="1" x14ac:dyDescent="0.25">
      <c r="A37" s="208">
        <v>21</v>
      </c>
      <c r="B37" s="206"/>
      <c r="C37" s="167" t="s">
        <v>187</v>
      </c>
      <c r="D37" s="188" t="s">
        <v>188</v>
      </c>
      <c r="E37" s="189" t="s">
        <v>182</v>
      </c>
      <c r="F37" s="189">
        <v>0.40500000000000003</v>
      </c>
      <c r="G37" s="32">
        <v>5000</v>
      </c>
      <c r="H37" s="32">
        <f t="shared" si="1"/>
        <v>2025</v>
      </c>
      <c r="I37" s="163"/>
    </row>
    <row r="38" spans="1:11" x14ac:dyDescent="0.25">
      <c r="A38" s="208">
        <v>22</v>
      </c>
      <c r="B38" s="206"/>
      <c r="C38" s="167" t="s">
        <v>189</v>
      </c>
      <c r="D38" s="188" t="s">
        <v>190</v>
      </c>
      <c r="E38" s="189" t="s">
        <v>182</v>
      </c>
      <c r="F38" s="189">
        <v>0.107748</v>
      </c>
      <c r="G38" s="32">
        <v>10315.01</v>
      </c>
      <c r="H38" s="32">
        <f t="shared" si="1"/>
        <v>1111.42</v>
      </c>
      <c r="I38" s="163"/>
    </row>
    <row r="39" spans="1:11" x14ac:dyDescent="0.25">
      <c r="A39" s="208">
        <v>23</v>
      </c>
      <c r="B39" s="206"/>
      <c r="C39" s="167" t="s">
        <v>191</v>
      </c>
      <c r="D39" s="188" t="s">
        <v>192</v>
      </c>
      <c r="E39" s="189" t="s">
        <v>193</v>
      </c>
      <c r="F39" s="189">
        <v>0.18</v>
      </c>
      <c r="G39" s="32">
        <v>6080</v>
      </c>
      <c r="H39" s="32">
        <f t="shared" si="1"/>
        <v>1094.4000000000001</v>
      </c>
      <c r="I39" s="163"/>
    </row>
    <row r="40" spans="1:11" x14ac:dyDescent="0.25">
      <c r="A40" s="208">
        <v>24</v>
      </c>
      <c r="B40" s="206"/>
      <c r="C40" s="167" t="s">
        <v>194</v>
      </c>
      <c r="D40" s="188" t="s">
        <v>195</v>
      </c>
      <c r="E40" s="189" t="s">
        <v>196</v>
      </c>
      <c r="F40" s="189">
        <v>3.0582720000000001</v>
      </c>
      <c r="G40" s="32">
        <v>238.48</v>
      </c>
      <c r="H40" s="32">
        <f t="shared" si="1"/>
        <v>729.34</v>
      </c>
      <c r="I40" s="163"/>
    </row>
    <row r="41" spans="1:11" x14ac:dyDescent="0.25">
      <c r="A41" s="208">
        <v>25</v>
      </c>
      <c r="B41" s="206"/>
      <c r="C41" s="167" t="s">
        <v>197</v>
      </c>
      <c r="D41" s="188" t="s">
        <v>198</v>
      </c>
      <c r="E41" s="189" t="s">
        <v>196</v>
      </c>
      <c r="F41" s="189">
        <v>107.226</v>
      </c>
      <c r="G41" s="32">
        <v>6.67</v>
      </c>
      <c r="H41" s="32">
        <f t="shared" si="1"/>
        <v>715.2</v>
      </c>
      <c r="I41" s="163"/>
    </row>
    <row r="42" spans="1:11" x14ac:dyDescent="0.25">
      <c r="A42" s="208">
        <v>26</v>
      </c>
      <c r="B42" s="206"/>
      <c r="C42" s="167" t="s">
        <v>199</v>
      </c>
      <c r="D42" s="188" t="s">
        <v>200</v>
      </c>
      <c r="E42" s="189" t="s">
        <v>196</v>
      </c>
      <c r="F42" s="189">
        <v>72.900000000000006</v>
      </c>
      <c r="G42" s="32">
        <v>9.0399999999999991</v>
      </c>
      <c r="H42" s="32">
        <f t="shared" si="1"/>
        <v>659.02</v>
      </c>
      <c r="I42" s="163"/>
    </row>
    <row r="43" spans="1:11" x14ac:dyDescent="0.25">
      <c r="A43" s="208">
        <v>27</v>
      </c>
      <c r="B43" s="206"/>
      <c r="C43" s="167" t="s">
        <v>201</v>
      </c>
      <c r="D43" s="188" t="s">
        <v>202</v>
      </c>
      <c r="E43" s="189" t="s">
        <v>182</v>
      </c>
      <c r="F43" s="189">
        <v>3.6288000000000001E-2</v>
      </c>
      <c r="G43" s="32">
        <v>6200</v>
      </c>
      <c r="H43" s="32">
        <f t="shared" si="1"/>
        <v>224.99</v>
      </c>
      <c r="I43" s="163"/>
    </row>
    <row r="44" spans="1:11" x14ac:dyDescent="0.25">
      <c r="A44" s="208">
        <v>28</v>
      </c>
      <c r="B44" s="206"/>
      <c r="C44" s="167" t="s">
        <v>203</v>
      </c>
      <c r="D44" s="188" t="s">
        <v>204</v>
      </c>
      <c r="E44" s="189" t="s">
        <v>196</v>
      </c>
      <c r="F44" s="189">
        <v>19.987200000000001</v>
      </c>
      <c r="G44" s="32">
        <v>10.57</v>
      </c>
      <c r="H44" s="32">
        <f t="shared" si="1"/>
        <v>211.26</v>
      </c>
      <c r="I44" s="163"/>
    </row>
    <row r="45" spans="1:11" x14ac:dyDescent="0.25">
      <c r="A45" s="208">
        <v>29</v>
      </c>
      <c r="B45" s="206"/>
      <c r="C45" s="167" t="s">
        <v>205</v>
      </c>
      <c r="D45" s="188" t="s">
        <v>206</v>
      </c>
      <c r="E45" s="189" t="s">
        <v>207</v>
      </c>
      <c r="F45" s="189">
        <v>4.5</v>
      </c>
      <c r="G45" s="32">
        <v>37.5</v>
      </c>
      <c r="H45" s="32">
        <f t="shared" si="1"/>
        <v>168.75</v>
      </c>
      <c r="I45" s="163"/>
    </row>
    <row r="46" spans="1:11" x14ac:dyDescent="0.25">
      <c r="A46" s="208">
        <v>30</v>
      </c>
      <c r="B46" s="206"/>
      <c r="C46" s="167" t="s">
        <v>208</v>
      </c>
      <c r="D46" s="188" t="s">
        <v>209</v>
      </c>
      <c r="E46" s="189" t="s">
        <v>210</v>
      </c>
      <c r="F46" s="189">
        <v>1.377</v>
      </c>
      <c r="G46" s="32">
        <v>79.099999999999994</v>
      </c>
      <c r="H46" s="32">
        <f t="shared" si="1"/>
        <v>108.92</v>
      </c>
      <c r="I46" s="163"/>
    </row>
    <row r="47" spans="1:11" x14ac:dyDescent="0.25">
      <c r="A47" s="208">
        <v>31</v>
      </c>
      <c r="B47" s="206"/>
      <c r="C47" s="167" t="s">
        <v>211</v>
      </c>
      <c r="D47" s="188" t="s">
        <v>212</v>
      </c>
      <c r="E47" s="189" t="s">
        <v>196</v>
      </c>
      <c r="F47" s="189">
        <v>1.4545440000000001</v>
      </c>
      <c r="G47" s="32">
        <v>54.99</v>
      </c>
      <c r="H47" s="32">
        <f t="shared" si="1"/>
        <v>79.989999999999995</v>
      </c>
      <c r="I47" s="163"/>
    </row>
    <row r="48" spans="1:11" x14ac:dyDescent="0.25">
      <c r="A48" s="208">
        <v>32</v>
      </c>
      <c r="B48" s="206"/>
      <c r="C48" s="167" t="s">
        <v>194</v>
      </c>
      <c r="D48" s="188" t="s">
        <v>195</v>
      </c>
      <c r="E48" s="189" t="s">
        <v>196</v>
      </c>
      <c r="F48" s="189">
        <v>0.33119999999999999</v>
      </c>
      <c r="G48" s="32">
        <v>238.48</v>
      </c>
      <c r="H48" s="32">
        <f t="shared" si="1"/>
        <v>78.98</v>
      </c>
      <c r="I48" s="163"/>
    </row>
    <row r="49" spans="1:9" x14ac:dyDescent="0.25">
      <c r="A49" s="208">
        <v>33</v>
      </c>
      <c r="B49" s="206"/>
      <c r="C49" s="167" t="s">
        <v>213</v>
      </c>
      <c r="D49" s="188" t="s">
        <v>214</v>
      </c>
      <c r="E49" s="189" t="s">
        <v>196</v>
      </c>
      <c r="F49" s="189">
        <v>1.62</v>
      </c>
      <c r="G49" s="32">
        <v>28.6</v>
      </c>
      <c r="H49" s="32">
        <f t="shared" si="1"/>
        <v>46.33</v>
      </c>
      <c r="I49" s="163"/>
    </row>
    <row r="50" spans="1:9" ht="25.5" customHeight="1" x14ac:dyDescent="0.25">
      <c r="A50" s="208">
        <v>34</v>
      </c>
      <c r="B50" s="206"/>
      <c r="C50" s="167" t="s">
        <v>215</v>
      </c>
      <c r="D50" s="188" t="s">
        <v>216</v>
      </c>
      <c r="E50" s="189" t="s">
        <v>217</v>
      </c>
      <c r="F50" s="189">
        <v>42.201120000000003</v>
      </c>
      <c r="G50" s="32">
        <v>1</v>
      </c>
      <c r="H50" s="32">
        <f t="shared" si="1"/>
        <v>42.2</v>
      </c>
      <c r="I50" s="163"/>
    </row>
    <row r="51" spans="1:9" ht="25.5" customHeight="1" x14ac:dyDescent="0.25">
      <c r="A51" s="208">
        <v>35</v>
      </c>
      <c r="B51" s="206"/>
      <c r="C51" s="167" t="s">
        <v>218</v>
      </c>
      <c r="D51" s="188" t="s">
        <v>219</v>
      </c>
      <c r="E51" s="189" t="s">
        <v>182</v>
      </c>
      <c r="F51" s="189">
        <v>2.4000000000000001E-4</v>
      </c>
      <c r="G51" s="32">
        <v>17500</v>
      </c>
      <c r="H51" s="32">
        <f t="shared" si="1"/>
        <v>4.2</v>
      </c>
      <c r="I51" s="163"/>
    </row>
    <row r="52" spans="1:9" x14ac:dyDescent="0.25">
      <c r="A52" s="208">
        <v>36</v>
      </c>
      <c r="B52" s="206"/>
      <c r="C52" s="167" t="s">
        <v>220</v>
      </c>
      <c r="D52" s="188" t="s">
        <v>221</v>
      </c>
      <c r="E52" s="189" t="s">
        <v>196</v>
      </c>
      <c r="F52" s="189">
        <v>0.35431200000000002</v>
      </c>
      <c r="G52" s="32">
        <v>9.42</v>
      </c>
      <c r="H52" s="32">
        <f t="shared" si="1"/>
        <v>3.34</v>
      </c>
      <c r="I52" s="163"/>
    </row>
    <row r="53" spans="1:9" ht="25.5" customHeight="1" x14ac:dyDescent="0.25">
      <c r="A53" s="208">
        <v>37</v>
      </c>
      <c r="B53" s="206"/>
      <c r="C53" s="167" t="s">
        <v>222</v>
      </c>
      <c r="D53" s="188" t="s">
        <v>223</v>
      </c>
      <c r="E53" s="189" t="s">
        <v>182</v>
      </c>
      <c r="F53" s="189">
        <v>5.7600000000000001E-4</v>
      </c>
      <c r="G53" s="32">
        <v>5763</v>
      </c>
      <c r="H53" s="32">
        <f t="shared" si="1"/>
        <v>3.32</v>
      </c>
      <c r="I53" s="163"/>
    </row>
    <row r="56" spans="1:9" s="192" customFormat="1" ht="15" x14ac:dyDescent="0.25">
      <c r="B56" s="193" t="s">
        <v>435</v>
      </c>
      <c r="C56" s="199"/>
    </row>
    <row r="57" spans="1:9" s="192" customFormat="1" ht="15" x14ac:dyDescent="0.25">
      <c r="B57" s="185" t="s">
        <v>76</v>
      </c>
      <c r="C57" s="199"/>
    </row>
    <row r="58" spans="1:9" s="192" customFormat="1" ht="15" x14ac:dyDescent="0.25">
      <c r="B58" s="193"/>
      <c r="C58" s="199"/>
    </row>
    <row r="59" spans="1:9" s="192" customFormat="1" ht="15" x14ac:dyDescent="0.25">
      <c r="B59" s="193" t="s">
        <v>271</v>
      </c>
      <c r="C59" s="199"/>
    </row>
    <row r="60" spans="1:9" s="192" customFormat="1" ht="15" x14ac:dyDescent="0.25">
      <c r="B60" s="185" t="s">
        <v>77</v>
      </c>
      <c r="C60" s="199"/>
    </row>
  </sheetData>
  <mergeCells count="16">
    <mergeCell ref="A18:E18"/>
    <mergeCell ref="A33:E33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1:E31"/>
    <mergeCell ref="C4:H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224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2" t="s">
        <v>78</v>
      </c>
      <c r="C5" s="222"/>
      <c r="D5" s="222"/>
      <c r="E5" s="222"/>
    </row>
    <row r="6" spans="2:5" x14ac:dyDescent="0.25">
      <c r="B6" s="157"/>
      <c r="C6" s="4"/>
      <c r="D6" s="4"/>
      <c r="E6" s="4"/>
    </row>
    <row r="7" spans="2:5" ht="25.5" customHeight="1" x14ac:dyDescent="0.25">
      <c r="B7" s="235" t="s">
        <v>225</v>
      </c>
      <c r="C7" s="235"/>
      <c r="D7" s="235"/>
      <c r="E7" s="235"/>
    </row>
    <row r="8" spans="2:5" x14ac:dyDescent="0.25">
      <c r="B8" s="248" t="s">
        <v>50</v>
      </c>
      <c r="C8" s="248"/>
      <c r="D8" s="248"/>
      <c r="E8" s="248"/>
    </row>
    <row r="9" spans="2:5" x14ac:dyDescent="0.25">
      <c r="B9" s="157"/>
      <c r="C9" s="4"/>
      <c r="D9" s="4"/>
      <c r="E9" s="4"/>
    </row>
    <row r="10" spans="2:5" ht="51" customHeight="1" x14ac:dyDescent="0.25">
      <c r="B10" s="2" t="s">
        <v>79</v>
      </c>
      <c r="C10" s="2" t="s">
        <v>226</v>
      </c>
      <c r="D10" s="2" t="s">
        <v>227</v>
      </c>
      <c r="E10" s="2" t="s">
        <v>228</v>
      </c>
    </row>
    <row r="11" spans="2:5" x14ac:dyDescent="0.25">
      <c r="B11" s="25" t="s">
        <v>83</v>
      </c>
      <c r="C11" s="154">
        <f>'Прил.5 Расчет СМР и ОБ'!J14</f>
        <v>473259.06</v>
      </c>
      <c r="D11" s="27">
        <f t="shared" ref="D11:D18" si="0">C11/$C$24</f>
        <v>0.15913537703608932</v>
      </c>
      <c r="E11" s="27">
        <f t="shared" ref="E11:E18" si="1">C11/$C$40</f>
        <v>6.5372287914377519E-2</v>
      </c>
    </row>
    <row r="12" spans="2:5" x14ac:dyDescent="0.25">
      <c r="B12" s="25" t="s">
        <v>84</v>
      </c>
      <c r="C12" s="154">
        <f>'Прил.5 Расчет СМР и ОБ'!J21</f>
        <v>337113.64</v>
      </c>
      <c r="D12" s="27">
        <f t="shared" si="0"/>
        <v>0.11335589899833821</v>
      </c>
      <c r="E12" s="27">
        <f t="shared" si="1"/>
        <v>4.6566229358490918E-2</v>
      </c>
    </row>
    <row r="13" spans="2:5" x14ac:dyDescent="0.25">
      <c r="B13" s="25" t="s">
        <v>85</v>
      </c>
      <c r="C13" s="154">
        <f>'Прил.5 Расчет СМР и ОБ'!J30</f>
        <v>50995.450000000012</v>
      </c>
      <c r="D13" s="27">
        <f t="shared" si="0"/>
        <v>1.7147437521587105E-2</v>
      </c>
      <c r="E13" s="27">
        <f t="shared" si="1"/>
        <v>7.0441107661483411E-3</v>
      </c>
    </row>
    <row r="14" spans="2:5" x14ac:dyDescent="0.25">
      <c r="B14" s="25" t="s">
        <v>86</v>
      </c>
      <c r="C14" s="154">
        <f>C13+C12</f>
        <v>388109.09</v>
      </c>
      <c r="D14" s="27">
        <f t="shared" si="0"/>
        <v>0.13050333651992532</v>
      </c>
      <c r="E14" s="27">
        <f t="shared" si="1"/>
        <v>5.3610340124639257E-2</v>
      </c>
    </row>
    <row r="15" spans="2:5" x14ac:dyDescent="0.25">
      <c r="B15" s="25" t="s">
        <v>87</v>
      </c>
      <c r="C15" s="154">
        <f>'Прил.5 Расчет СМР и ОБ'!J16</f>
        <v>303674.74</v>
      </c>
      <c r="D15" s="27">
        <f t="shared" si="0"/>
        <v>0.10211192628036829</v>
      </c>
      <c r="E15" s="27">
        <f t="shared" si="1"/>
        <v>4.1947242458715388E-2</v>
      </c>
    </row>
    <row r="16" spans="2:5" x14ac:dyDescent="0.25">
      <c r="B16" s="25" t="s">
        <v>88</v>
      </c>
      <c r="C16" s="154">
        <f>'Прил.5 Расчет СМР и ОБ'!J43</f>
        <v>887542.06</v>
      </c>
      <c r="D16" s="27">
        <f t="shared" si="0"/>
        <v>0.29843980240650314</v>
      </c>
      <c r="E16" s="27">
        <f t="shared" si="1"/>
        <v>0.12259808630486595</v>
      </c>
    </row>
    <row r="17" spans="2:7" x14ac:dyDescent="0.25">
      <c r="B17" s="25" t="s">
        <v>89</v>
      </c>
      <c r="C17" s="154">
        <f>'Прил.5 Расчет СМР и ОБ'!J62</f>
        <v>75167.740000000005</v>
      </c>
      <c r="D17" s="27">
        <f t="shared" si="0"/>
        <v>2.5275473111599243E-2</v>
      </c>
      <c r="E17" s="27">
        <f t="shared" si="1"/>
        <v>1.0383080972930708E-2</v>
      </c>
      <c r="G17" s="156"/>
    </row>
    <row r="18" spans="2:7" x14ac:dyDescent="0.25">
      <c r="B18" s="25" t="s">
        <v>90</v>
      </c>
      <c r="C18" s="154">
        <f>C17+C16</f>
        <v>962709.8</v>
      </c>
      <c r="D18" s="27">
        <f t="shared" si="0"/>
        <v>0.32371527551810236</v>
      </c>
      <c r="E18" s="27">
        <f t="shared" si="1"/>
        <v>0.13298116727779666</v>
      </c>
    </row>
    <row r="19" spans="2:7" x14ac:dyDescent="0.25">
      <c r="B19" s="25" t="s">
        <v>91</v>
      </c>
      <c r="C19" s="154">
        <f>C18+C14+C11</f>
        <v>1824077.9500000002</v>
      </c>
      <c r="D19" s="27"/>
      <c r="E19" s="25"/>
    </row>
    <row r="20" spans="2:7" x14ac:dyDescent="0.25">
      <c r="B20" s="25" t="s">
        <v>92</v>
      </c>
      <c r="C20" s="154">
        <f>ROUND(C21*(C11+C15),2)</f>
        <v>404005.58</v>
      </c>
      <c r="D20" s="27">
        <f>C20/$C$24</f>
        <v>0.13584859906957503</v>
      </c>
      <c r="E20" s="27">
        <f>C20/$C$40</f>
        <v>5.5806156346536885E-2</v>
      </c>
    </row>
    <row r="21" spans="2:7" x14ac:dyDescent="0.25">
      <c r="B21" s="25" t="s">
        <v>93</v>
      </c>
      <c r="C21" s="29">
        <f>'Прил.5 Расчет СМР и ОБ'!D66</f>
        <v>0.52</v>
      </c>
      <c r="D21" s="27"/>
      <c r="E21" s="25"/>
    </row>
    <row r="22" spans="2:7" x14ac:dyDescent="0.25">
      <c r="B22" s="25" t="s">
        <v>94</v>
      </c>
      <c r="C22" s="154">
        <f>ROUND(C23*(C11+C15),2)</f>
        <v>745856.45</v>
      </c>
      <c r="D22" s="27">
        <f>C22/$C$24</f>
        <v>0.25079741185630783</v>
      </c>
      <c r="E22" s="27">
        <f>C22/$C$40</f>
        <v>0.10302674943443348</v>
      </c>
    </row>
    <row r="23" spans="2:7" x14ac:dyDescent="0.25">
      <c r="B23" s="25" t="s">
        <v>95</v>
      </c>
      <c r="C23" s="29">
        <f>'Прил.5 Расчет СМР и ОБ'!D65</f>
        <v>0.96</v>
      </c>
      <c r="D23" s="27"/>
      <c r="E23" s="25"/>
    </row>
    <row r="24" spans="2:7" x14ac:dyDescent="0.25">
      <c r="B24" s="25" t="s">
        <v>96</v>
      </c>
      <c r="C24" s="154">
        <f>C19+C20+C22</f>
        <v>2973939.9800000004</v>
      </c>
      <c r="D24" s="27">
        <f>C24/$C$24</f>
        <v>1</v>
      </c>
      <c r="E24" s="27">
        <f>C24/$C$40</f>
        <v>0.41079670109778382</v>
      </c>
    </row>
    <row r="25" spans="2:7" ht="25.5" customHeight="1" x14ac:dyDescent="0.25">
      <c r="B25" s="25" t="s">
        <v>97</v>
      </c>
      <c r="C25" s="154">
        <f>'Прил.5 Расчет СМР и ОБ'!J37</f>
        <v>3587220</v>
      </c>
      <c r="D25" s="27"/>
      <c r="E25" s="27">
        <f>C25/$C$40</f>
        <v>0.4955103842115845</v>
      </c>
    </row>
    <row r="26" spans="2:7" ht="25.5" customHeight="1" x14ac:dyDescent="0.25">
      <c r="B26" s="25" t="s">
        <v>98</v>
      </c>
      <c r="C26" s="154">
        <f>'Прил.5 Расчет СМР и ОБ'!J38</f>
        <v>3587220</v>
      </c>
      <c r="D26" s="27"/>
      <c r="E26" s="27">
        <f>C26/$C$40</f>
        <v>0.4955103842115845</v>
      </c>
    </row>
    <row r="27" spans="2:7" x14ac:dyDescent="0.25">
      <c r="B27" s="25" t="s">
        <v>99</v>
      </c>
      <c r="C27" s="26">
        <f>C24+C25</f>
        <v>6561159.9800000004</v>
      </c>
      <c r="D27" s="27"/>
      <c r="E27" s="27">
        <f>C27/$C$40</f>
        <v>0.90630708530936832</v>
      </c>
      <c r="G27" s="155"/>
    </row>
    <row r="28" spans="2:7" ht="33" customHeight="1" x14ac:dyDescent="0.25">
      <c r="B28" s="25" t="s">
        <v>100</v>
      </c>
      <c r="C28" s="25"/>
      <c r="D28" s="25"/>
      <c r="E28" s="25"/>
    </row>
    <row r="29" spans="2:7" ht="25.5" customHeight="1" x14ac:dyDescent="0.25">
      <c r="B29" s="25" t="s">
        <v>229</v>
      </c>
      <c r="C29" s="26">
        <f>ROUND(C24*3.9%,2)</f>
        <v>115983.66</v>
      </c>
      <c r="D29" s="25"/>
      <c r="E29" s="27">
        <f t="shared" ref="E29:E38" si="2">C29/$C$40</f>
        <v>1.6021071450556638E-2</v>
      </c>
    </row>
    <row r="30" spans="2:7" ht="38.25" customHeight="1" x14ac:dyDescent="0.25">
      <c r="B30" s="25" t="s">
        <v>230</v>
      </c>
      <c r="C30" s="26">
        <f>ROUND((C24+C29)*2.1%,2)</f>
        <v>64888.4</v>
      </c>
      <c r="D30" s="25"/>
      <c r="E30" s="27">
        <f t="shared" si="2"/>
        <v>8.9631737152655756E-3</v>
      </c>
    </row>
    <row r="31" spans="2:7" x14ac:dyDescent="0.25">
      <c r="B31" s="25" t="s">
        <v>231</v>
      </c>
      <c r="C31" s="26">
        <v>125846.64</v>
      </c>
      <c r="D31" s="25"/>
      <c r="E31" s="27">
        <f t="shared" si="2"/>
        <v>1.7383466009371313E-2</v>
      </c>
    </row>
    <row r="32" spans="2:7" ht="25.5" customHeight="1" x14ac:dyDescent="0.25">
      <c r="B32" s="25" t="s">
        <v>232</v>
      </c>
      <c r="C32" s="26">
        <v>0</v>
      </c>
      <c r="D32" s="25"/>
      <c r="E32" s="27">
        <f t="shared" si="2"/>
        <v>0</v>
      </c>
    </row>
    <row r="33" spans="2:12" ht="38.25" customHeight="1" x14ac:dyDescent="0.25">
      <c r="B33" s="25" t="s">
        <v>233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234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235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236</v>
      </c>
      <c r="C36" s="26">
        <f>ROUND((C27+C32+C33+C34+C35+C29+C31+C30)*2.14%,2)</f>
        <v>146972.6</v>
      </c>
      <c r="D36" s="25"/>
      <c r="E36" s="27">
        <f t="shared" si="2"/>
        <v>2.0301640126497825E-2</v>
      </c>
      <c r="G36" s="209"/>
      <c r="L36" s="155"/>
    </row>
    <row r="37" spans="2:12" x14ac:dyDescent="0.25">
      <c r="B37" s="25" t="s">
        <v>237</v>
      </c>
      <c r="C37" s="26">
        <f>ROUND((C27+C32+C33+C34+C35+C29+C31+C30)*0.2%,2)</f>
        <v>13735.76</v>
      </c>
      <c r="D37" s="25"/>
      <c r="E37" s="27">
        <f t="shared" si="2"/>
        <v>1.8973499576379798E-3</v>
      </c>
      <c r="G37" s="210"/>
      <c r="L37" s="155"/>
    </row>
    <row r="38" spans="2:12" ht="38.25" customHeight="1" x14ac:dyDescent="0.25">
      <c r="B38" s="25" t="s">
        <v>106</v>
      </c>
      <c r="C38" s="154">
        <f>C27+C32+C33+C34+C35+C29+C31+C30+C36+C37</f>
        <v>7028587.04</v>
      </c>
      <c r="D38" s="25"/>
      <c r="E38" s="27">
        <f t="shared" si="2"/>
        <v>0.97087378656869761</v>
      </c>
    </row>
    <row r="39" spans="2:12" ht="13.5" customHeight="1" x14ac:dyDescent="0.25">
      <c r="B39" s="25" t="s">
        <v>107</v>
      </c>
      <c r="C39" s="154">
        <f>ROUND(C38*3%,2)</f>
        <v>210857.61</v>
      </c>
      <c r="D39" s="25"/>
      <c r="E39" s="27">
        <f>C39/$C$38</f>
        <v>2.9999999829268671E-2</v>
      </c>
    </row>
    <row r="40" spans="2:12" x14ac:dyDescent="0.25">
      <c r="B40" s="25" t="s">
        <v>108</v>
      </c>
      <c r="C40" s="154">
        <f>C39+C38</f>
        <v>7239444.6500000004</v>
      </c>
      <c r="D40" s="25"/>
      <c r="E40" s="27">
        <f>C40/$C$40</f>
        <v>1</v>
      </c>
    </row>
    <row r="41" spans="2:12" x14ac:dyDescent="0.25">
      <c r="B41" s="25" t="s">
        <v>109</v>
      </c>
      <c r="C41" s="154">
        <f>C40/'Прил.5 Расчет СМР и ОБ'!E69</f>
        <v>2413148.2166666668</v>
      </c>
      <c r="D41" s="25"/>
      <c r="E41" s="25"/>
    </row>
    <row r="42" spans="2:12" x14ac:dyDescent="0.25">
      <c r="B42" s="153"/>
      <c r="C42" s="4"/>
      <c r="D42" s="4"/>
      <c r="E42" s="4"/>
    </row>
    <row r="43" spans="2:12" s="192" customFormat="1" x14ac:dyDescent="0.25">
      <c r="B43" s="193" t="s">
        <v>435</v>
      </c>
      <c r="C43" s="199"/>
    </row>
    <row r="44" spans="2:12" s="192" customFormat="1" x14ac:dyDescent="0.25">
      <c r="B44" s="185" t="s">
        <v>76</v>
      </c>
      <c r="C44" s="199"/>
    </row>
    <row r="45" spans="2:12" s="192" customFormat="1" x14ac:dyDescent="0.25">
      <c r="B45" s="193"/>
      <c r="C45" s="199"/>
    </row>
    <row r="46" spans="2:12" s="192" customFormat="1" x14ac:dyDescent="0.25">
      <c r="B46" s="193" t="s">
        <v>271</v>
      </c>
      <c r="C46" s="199"/>
    </row>
    <row r="47" spans="2:12" s="192" customFormat="1" x14ac:dyDescent="0.25">
      <c r="B47" s="185" t="s">
        <v>77</v>
      </c>
      <c r="C47" s="199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tabSelected="1" view="pageBreakPreview" zoomScale="7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49" t="s">
        <v>238</v>
      </c>
      <c r="I2" s="249"/>
      <c r="J2" s="24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2" t="s">
        <v>239</v>
      </c>
      <c r="B4" s="222"/>
      <c r="C4" s="222"/>
      <c r="D4" s="222"/>
      <c r="E4" s="222"/>
      <c r="F4" s="222"/>
      <c r="G4" s="222"/>
      <c r="H4" s="222"/>
      <c r="I4" s="222"/>
      <c r="J4" s="222"/>
    </row>
    <row r="5" spans="1:14" s="4" customFormat="1" ht="12.75" customHeight="1" x14ac:dyDescent="0.2">
      <c r="A5" s="134"/>
      <c r="B5" s="134"/>
      <c r="C5" s="34"/>
      <c r="D5" s="134"/>
      <c r="E5" s="134"/>
      <c r="F5" s="134"/>
      <c r="G5" s="134"/>
      <c r="H5" s="134"/>
      <c r="I5" s="134"/>
      <c r="J5" s="134"/>
    </row>
    <row r="6" spans="1:14" s="4" customFormat="1" ht="12.75" customHeight="1" x14ac:dyDescent="0.2">
      <c r="A6" s="138" t="s">
        <v>240</v>
      </c>
      <c r="B6" s="137"/>
      <c r="C6" s="137"/>
      <c r="D6" s="225" t="s">
        <v>241</v>
      </c>
      <c r="E6" s="225"/>
      <c r="F6" s="225"/>
      <c r="G6" s="225"/>
      <c r="H6" s="225"/>
      <c r="I6" s="225"/>
      <c r="J6" s="225"/>
    </row>
    <row r="7" spans="1:14" s="4" customFormat="1" ht="12.75" customHeight="1" x14ac:dyDescent="0.2">
      <c r="A7" s="225" t="s">
        <v>50</v>
      </c>
      <c r="B7" s="235"/>
      <c r="C7" s="235"/>
      <c r="D7" s="235"/>
      <c r="E7" s="235"/>
      <c r="F7" s="235"/>
      <c r="G7" s="235"/>
      <c r="H7" s="235"/>
      <c r="I7" s="48"/>
      <c r="J7" s="48"/>
    </row>
    <row r="8" spans="1:14" s="4" customFormat="1" ht="13.5" customHeight="1" x14ac:dyDescent="0.2">
      <c r="A8" s="225"/>
      <c r="B8" s="235"/>
      <c r="C8" s="235"/>
      <c r="D8" s="235"/>
      <c r="E8" s="235"/>
      <c r="F8" s="235"/>
      <c r="G8" s="235"/>
      <c r="H8" s="235"/>
    </row>
    <row r="9" spans="1:14" ht="27" customHeight="1" x14ac:dyDescent="0.25">
      <c r="A9" s="252" t="s">
        <v>13</v>
      </c>
      <c r="B9" s="252" t="s">
        <v>134</v>
      </c>
      <c r="C9" s="252" t="s">
        <v>79</v>
      </c>
      <c r="D9" s="252" t="s">
        <v>136</v>
      </c>
      <c r="E9" s="253" t="s">
        <v>242</v>
      </c>
      <c r="F9" s="250" t="s">
        <v>80</v>
      </c>
      <c r="G9" s="251"/>
      <c r="H9" s="253" t="s">
        <v>243</v>
      </c>
      <c r="I9" s="250" t="s">
        <v>244</v>
      </c>
      <c r="J9" s="251"/>
      <c r="M9" s="12"/>
      <c r="N9" s="12"/>
    </row>
    <row r="10" spans="1:14" ht="28.5" customHeight="1" x14ac:dyDescent="0.25">
      <c r="A10" s="252"/>
      <c r="B10" s="252"/>
      <c r="C10" s="252"/>
      <c r="D10" s="252"/>
      <c r="E10" s="254"/>
      <c r="F10" s="2" t="s">
        <v>245</v>
      </c>
      <c r="G10" s="2" t="s">
        <v>139</v>
      </c>
      <c r="H10" s="254"/>
      <c r="I10" s="2" t="s">
        <v>245</v>
      </c>
      <c r="J10" s="2" t="s">
        <v>139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5">
        <v>9</v>
      </c>
      <c r="J11" s="165">
        <v>10</v>
      </c>
      <c r="M11" s="12"/>
      <c r="N11" s="12"/>
    </row>
    <row r="12" spans="1:14" x14ac:dyDescent="0.25">
      <c r="A12" s="2"/>
      <c r="B12" s="239" t="s">
        <v>246</v>
      </c>
      <c r="C12" s="259"/>
      <c r="D12" s="252"/>
      <c r="E12" s="260"/>
      <c r="F12" s="261"/>
      <c r="G12" s="261"/>
      <c r="H12" s="262"/>
      <c r="I12" s="166"/>
      <c r="J12" s="166"/>
    </row>
    <row r="13" spans="1:14" ht="25.5" customHeight="1" x14ac:dyDescent="0.25">
      <c r="A13" s="2">
        <v>1</v>
      </c>
      <c r="B13" s="167" t="s">
        <v>247</v>
      </c>
      <c r="C13" s="8" t="s">
        <v>248</v>
      </c>
      <c r="D13" s="2" t="s">
        <v>249</v>
      </c>
      <c r="E13" s="136">
        <f>G13/F13</f>
        <v>976.74396135265692</v>
      </c>
      <c r="F13" s="32">
        <v>10.35</v>
      </c>
      <c r="G13" s="32">
        <v>10109.299999999999</v>
      </c>
      <c r="H13" s="168">
        <f>G13/G14</f>
        <v>1</v>
      </c>
      <c r="I13" s="32">
        <f>ФОТр.тек.!E13</f>
        <v>484.52724250740999</v>
      </c>
      <c r="J13" s="32">
        <f>ROUND(I13*E13,2)</f>
        <v>473259.06</v>
      </c>
    </row>
    <row r="14" spans="1:14" s="12" customFormat="1" ht="25.5" customHeight="1" x14ac:dyDescent="0.2">
      <c r="A14" s="2"/>
      <c r="B14" s="2"/>
      <c r="C14" s="103" t="s">
        <v>250</v>
      </c>
      <c r="D14" s="2" t="s">
        <v>249</v>
      </c>
      <c r="E14" s="136">
        <f>SUM(E13:E13)</f>
        <v>976.74396135265692</v>
      </c>
      <c r="F14" s="32"/>
      <c r="G14" s="32">
        <f>SUM(G13:G13)</f>
        <v>10109.299999999999</v>
      </c>
      <c r="H14" s="169">
        <v>1</v>
      </c>
      <c r="I14" s="166"/>
      <c r="J14" s="32">
        <f>SUM(J13:J13)</f>
        <v>473259.06</v>
      </c>
    </row>
    <row r="15" spans="1:14" s="12" customFormat="1" ht="14.25" customHeight="1" x14ac:dyDescent="0.2">
      <c r="A15" s="2"/>
      <c r="B15" s="259" t="s">
        <v>153</v>
      </c>
      <c r="C15" s="259"/>
      <c r="D15" s="252"/>
      <c r="E15" s="260"/>
      <c r="F15" s="261"/>
      <c r="G15" s="261"/>
      <c r="H15" s="262"/>
      <c r="I15" s="166"/>
      <c r="J15" s="166"/>
    </row>
    <row r="16" spans="1:14" s="12" customFormat="1" ht="14.25" customHeight="1" x14ac:dyDescent="0.2">
      <c r="A16" s="2">
        <v>2</v>
      </c>
      <c r="B16" s="2">
        <v>2</v>
      </c>
      <c r="C16" s="8" t="s">
        <v>153</v>
      </c>
      <c r="D16" s="2" t="s">
        <v>249</v>
      </c>
      <c r="E16" s="136">
        <f>'Прил. 3'!F19</f>
        <v>546.62</v>
      </c>
      <c r="F16" s="32">
        <f>G16/E16</f>
        <v>12.54348541948703</v>
      </c>
      <c r="G16" s="32">
        <f>'Прил. 3'!H18</f>
        <v>6856.52</v>
      </c>
      <c r="H16" s="169">
        <v>1</v>
      </c>
      <c r="I16" s="32">
        <f>ROUND(F16*'Прил. 10'!D11,2)</f>
        <v>555.54999999999995</v>
      </c>
      <c r="J16" s="32">
        <f>ROUND(I16*E16,2)</f>
        <v>303674.74</v>
      </c>
    </row>
    <row r="17" spans="1:10" s="12" customFormat="1" ht="14.25" customHeight="1" x14ac:dyDescent="0.2">
      <c r="A17" s="2"/>
      <c r="B17" s="239" t="s">
        <v>154</v>
      </c>
      <c r="C17" s="259"/>
      <c r="D17" s="252"/>
      <c r="E17" s="260"/>
      <c r="F17" s="261"/>
      <c r="G17" s="261"/>
      <c r="H17" s="262"/>
      <c r="I17" s="166"/>
      <c r="J17" s="166"/>
    </row>
    <row r="18" spans="1:10" s="12" customFormat="1" ht="14.25" customHeight="1" x14ac:dyDescent="0.2">
      <c r="A18" s="2"/>
      <c r="B18" s="259" t="s">
        <v>251</v>
      </c>
      <c r="C18" s="259"/>
      <c r="D18" s="252"/>
      <c r="E18" s="260"/>
      <c r="F18" s="261"/>
      <c r="G18" s="261"/>
      <c r="H18" s="262"/>
      <c r="I18" s="166"/>
      <c r="J18" s="166"/>
    </row>
    <row r="19" spans="1:10" s="12" customFormat="1" ht="14.25" customHeight="1" x14ac:dyDescent="0.2">
      <c r="A19" s="2">
        <v>3</v>
      </c>
      <c r="B19" s="167" t="s">
        <v>155</v>
      </c>
      <c r="C19" s="8" t="s">
        <v>156</v>
      </c>
      <c r="D19" s="2" t="s">
        <v>157</v>
      </c>
      <c r="E19" s="136">
        <v>201.58</v>
      </c>
      <c r="F19" s="102">
        <v>74.239999999999995</v>
      </c>
      <c r="G19" s="32">
        <f>ROUND(E19*F19,2)</f>
        <v>14965.3</v>
      </c>
      <c r="H19" s="168">
        <f>G19/$G$31</f>
        <v>0.51939600644017314</v>
      </c>
      <c r="I19" s="32">
        <f>ROUND(F19*'Прил. 10'!$D$12,2)</f>
        <v>1000.01</v>
      </c>
      <c r="J19" s="32">
        <f>ROUND(I19*E19,2)</f>
        <v>201582.02</v>
      </c>
    </row>
    <row r="20" spans="1:10" s="12" customFormat="1" ht="25.5" customHeight="1" x14ac:dyDescent="0.2">
      <c r="A20" s="2">
        <v>4</v>
      </c>
      <c r="B20" s="167" t="s">
        <v>158</v>
      </c>
      <c r="C20" s="8" t="s">
        <v>159</v>
      </c>
      <c r="D20" s="2" t="s">
        <v>157</v>
      </c>
      <c r="E20" s="136">
        <v>87.19</v>
      </c>
      <c r="F20" s="102">
        <v>115.4</v>
      </c>
      <c r="G20" s="32">
        <f>ROUND(E20*F20,2)</f>
        <v>10061.73</v>
      </c>
      <c r="H20" s="168">
        <f>G20/$G$31</f>
        <v>0.34920932957436757</v>
      </c>
      <c r="I20" s="32">
        <f>ROUND(F20*'Прил. 10'!$D$12,2)</f>
        <v>1554.44</v>
      </c>
      <c r="J20" s="32">
        <f>ROUND(I20*E20,2)</f>
        <v>135531.62</v>
      </c>
    </row>
    <row r="21" spans="1:10" s="12" customFormat="1" ht="14.25" customHeight="1" x14ac:dyDescent="0.2">
      <c r="A21" s="2"/>
      <c r="B21" s="2"/>
      <c r="C21" s="8" t="s">
        <v>252</v>
      </c>
      <c r="D21" s="2"/>
      <c r="E21" s="136"/>
      <c r="F21" s="32"/>
      <c r="G21" s="32">
        <f>SUM(G19:G20)</f>
        <v>25027.03</v>
      </c>
      <c r="H21" s="169">
        <f>G21/G31</f>
        <v>0.86860533601454071</v>
      </c>
      <c r="I21" s="170"/>
      <c r="J21" s="32">
        <f>SUM(J19:J20)</f>
        <v>337113.64</v>
      </c>
    </row>
    <row r="22" spans="1:10" s="12" customFormat="1" ht="25.5" customHeight="1" outlineLevel="1" x14ac:dyDescent="0.2">
      <c r="A22" s="2">
        <v>5</v>
      </c>
      <c r="B22" s="167" t="s">
        <v>160</v>
      </c>
      <c r="C22" s="8" t="s">
        <v>161</v>
      </c>
      <c r="D22" s="2" t="s">
        <v>157</v>
      </c>
      <c r="E22" s="136">
        <v>34.89</v>
      </c>
      <c r="F22" s="102">
        <v>65.709999999999994</v>
      </c>
      <c r="G22" s="32">
        <f t="shared" ref="G22:G29" si="0">ROUND(E22*F22,2)</f>
        <v>2292.62</v>
      </c>
      <c r="H22" s="168">
        <f t="shared" ref="H22:H29" si="1">G22/$G$31</f>
        <v>7.9569248346833654E-2</v>
      </c>
      <c r="I22" s="32">
        <f>ROUND(F22*'Прил. 10'!$D$12,2)</f>
        <v>885.11</v>
      </c>
      <c r="J22" s="32">
        <f t="shared" ref="J22:J29" si="2">ROUND(I22*E22,2)</f>
        <v>30881.49</v>
      </c>
    </row>
    <row r="23" spans="1:10" s="12" customFormat="1" ht="25.5" customHeight="1" outlineLevel="1" x14ac:dyDescent="0.2">
      <c r="A23" s="2">
        <v>6</v>
      </c>
      <c r="B23" s="167" t="s">
        <v>162</v>
      </c>
      <c r="C23" s="8" t="s">
        <v>163</v>
      </c>
      <c r="D23" s="2" t="s">
        <v>157</v>
      </c>
      <c r="E23" s="136">
        <v>19.02</v>
      </c>
      <c r="F23" s="102">
        <v>29.6</v>
      </c>
      <c r="G23" s="32">
        <f t="shared" si="0"/>
        <v>562.99</v>
      </c>
      <c r="H23" s="168">
        <f t="shared" si="1"/>
        <v>1.9539518597405537E-2</v>
      </c>
      <c r="I23" s="32">
        <f>ROUND(F23*'Прил. 10'!$D$12,2)</f>
        <v>398.71</v>
      </c>
      <c r="J23" s="32">
        <f t="shared" si="2"/>
        <v>7583.46</v>
      </c>
    </row>
    <row r="24" spans="1:10" s="12" customFormat="1" ht="38.25" customHeight="1" outlineLevel="1" x14ac:dyDescent="0.2">
      <c r="A24" s="2">
        <v>7</v>
      </c>
      <c r="B24" s="167" t="s">
        <v>164</v>
      </c>
      <c r="C24" s="8" t="s">
        <v>165</v>
      </c>
      <c r="D24" s="2" t="s">
        <v>157</v>
      </c>
      <c r="E24" s="136">
        <v>37.83</v>
      </c>
      <c r="F24" s="102">
        <v>14</v>
      </c>
      <c r="G24" s="32">
        <f t="shared" si="0"/>
        <v>529.62</v>
      </c>
      <c r="H24" s="168">
        <f t="shared" si="1"/>
        <v>1.8381356399861312E-2</v>
      </c>
      <c r="I24" s="32">
        <f>ROUND(F24*'Прил. 10'!$D$12,2)</f>
        <v>188.58</v>
      </c>
      <c r="J24" s="32">
        <f t="shared" si="2"/>
        <v>7133.98</v>
      </c>
    </row>
    <row r="25" spans="1:10" s="12" customFormat="1" ht="14.25" customHeight="1" outlineLevel="1" x14ac:dyDescent="0.2">
      <c r="A25" s="2">
        <v>8</v>
      </c>
      <c r="B25" s="167" t="s">
        <v>166</v>
      </c>
      <c r="C25" s="8" t="s">
        <v>167</v>
      </c>
      <c r="D25" s="2" t="s">
        <v>157</v>
      </c>
      <c r="E25" s="136">
        <v>2.14</v>
      </c>
      <c r="F25" s="102">
        <v>89.99</v>
      </c>
      <c r="G25" s="32">
        <f t="shared" si="0"/>
        <v>192.58</v>
      </c>
      <c r="H25" s="168">
        <f t="shared" si="1"/>
        <v>6.6838140845989422E-3</v>
      </c>
      <c r="I25" s="32">
        <f>ROUND(F25*'Прил. 10'!$D$12,2)</f>
        <v>1212.17</v>
      </c>
      <c r="J25" s="32">
        <f t="shared" si="2"/>
        <v>2594.04</v>
      </c>
    </row>
    <row r="26" spans="1:10" s="12" customFormat="1" ht="25.5" customHeight="1" outlineLevel="1" x14ac:dyDescent="0.2">
      <c r="A26" s="2">
        <v>9</v>
      </c>
      <c r="B26" s="167" t="s">
        <v>168</v>
      </c>
      <c r="C26" s="8" t="s">
        <v>169</v>
      </c>
      <c r="D26" s="2" t="s">
        <v>157</v>
      </c>
      <c r="E26" s="136">
        <v>23.1</v>
      </c>
      <c r="F26" s="102">
        <v>8.1</v>
      </c>
      <c r="G26" s="32">
        <f t="shared" si="0"/>
        <v>187.11</v>
      </c>
      <c r="H26" s="168">
        <f t="shared" si="1"/>
        <v>6.4939684981270545E-3</v>
      </c>
      <c r="I26" s="32">
        <f>ROUND(F26*'Прил. 10'!$D$12,2)</f>
        <v>109.11</v>
      </c>
      <c r="J26" s="32">
        <f t="shared" si="2"/>
        <v>2520.44</v>
      </c>
    </row>
    <row r="27" spans="1:10" s="12" customFormat="1" ht="25.5" customHeight="1" outlineLevel="1" x14ac:dyDescent="0.2">
      <c r="A27" s="2">
        <v>10</v>
      </c>
      <c r="B27" s="167" t="s">
        <v>170</v>
      </c>
      <c r="C27" s="8" t="s">
        <v>171</v>
      </c>
      <c r="D27" s="2" t="s">
        <v>157</v>
      </c>
      <c r="E27" s="136">
        <v>0.19</v>
      </c>
      <c r="F27" s="102">
        <v>85.84</v>
      </c>
      <c r="G27" s="32">
        <f t="shared" si="0"/>
        <v>16.309999999999999</v>
      </c>
      <c r="H27" s="168">
        <f t="shared" si="1"/>
        <v>5.6606609055877418E-4</v>
      </c>
      <c r="I27" s="32">
        <f>ROUND(F27*'Прил. 10'!$D$12,2)</f>
        <v>1156.26</v>
      </c>
      <c r="J27" s="32">
        <f t="shared" si="2"/>
        <v>219.69</v>
      </c>
    </row>
    <row r="28" spans="1:10" s="12" customFormat="1" ht="25.5" customHeight="1" outlineLevel="1" x14ac:dyDescent="0.2">
      <c r="A28" s="2">
        <v>11</v>
      </c>
      <c r="B28" s="167" t="s">
        <v>172</v>
      </c>
      <c r="C28" s="8" t="s">
        <v>173</v>
      </c>
      <c r="D28" s="2" t="s">
        <v>157</v>
      </c>
      <c r="E28" s="136">
        <v>3.78</v>
      </c>
      <c r="F28" s="102">
        <v>0.9</v>
      </c>
      <c r="G28" s="32">
        <f t="shared" si="0"/>
        <v>3.4</v>
      </c>
      <c r="H28" s="168">
        <f t="shared" si="1"/>
        <v>1.1800274113426317E-4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7" t="s">
        <v>174</v>
      </c>
      <c r="C29" s="8" t="s">
        <v>175</v>
      </c>
      <c r="D29" s="2" t="s">
        <v>157</v>
      </c>
      <c r="E29" s="136">
        <v>0.18</v>
      </c>
      <c r="F29" s="102">
        <v>6.82</v>
      </c>
      <c r="G29" s="32">
        <f t="shared" si="0"/>
        <v>1.23</v>
      </c>
      <c r="H29" s="168">
        <f t="shared" si="1"/>
        <v>4.2689226939748146E-5</v>
      </c>
      <c r="I29" s="32">
        <f>ROUND(F29*'Прил. 10'!$D$12,2)</f>
        <v>91.87</v>
      </c>
      <c r="J29" s="32">
        <f t="shared" si="2"/>
        <v>16.54</v>
      </c>
    </row>
    <row r="30" spans="1:10" s="12" customFormat="1" ht="14.25" customHeight="1" x14ac:dyDescent="0.2">
      <c r="A30" s="2"/>
      <c r="B30" s="2"/>
      <c r="C30" s="8" t="s">
        <v>253</v>
      </c>
      <c r="D30" s="2"/>
      <c r="E30" s="171"/>
      <c r="F30" s="32"/>
      <c r="G30" s="170">
        <f>SUM(G22:G29)</f>
        <v>3785.8599999999997</v>
      </c>
      <c r="H30" s="168">
        <f>G30/G31</f>
        <v>0.13139466398545926</v>
      </c>
      <c r="I30" s="32"/>
      <c r="J30" s="170">
        <f>SUM(J22:J29)</f>
        <v>50995.450000000012</v>
      </c>
    </row>
    <row r="31" spans="1:10" s="12" customFormat="1" ht="25.5" customHeight="1" x14ac:dyDescent="0.2">
      <c r="A31" s="2"/>
      <c r="B31" s="2"/>
      <c r="C31" s="103" t="s">
        <v>254</v>
      </c>
      <c r="D31" s="2"/>
      <c r="E31" s="171"/>
      <c r="F31" s="32"/>
      <c r="G31" s="32">
        <f>G30+G21</f>
        <v>28812.89</v>
      </c>
      <c r="H31" s="172">
        <v>1</v>
      </c>
      <c r="I31" s="173"/>
      <c r="J31" s="174">
        <f>J30+J21</f>
        <v>388109.09</v>
      </c>
    </row>
    <row r="32" spans="1:10" s="12" customFormat="1" ht="14.25" customHeight="1" x14ac:dyDescent="0.2">
      <c r="A32" s="2"/>
      <c r="B32" s="239" t="s">
        <v>43</v>
      </c>
      <c r="C32" s="239"/>
      <c r="D32" s="263"/>
      <c r="E32" s="264"/>
      <c r="F32" s="265"/>
      <c r="G32" s="265"/>
      <c r="H32" s="266"/>
      <c r="I32" s="166"/>
      <c r="J32" s="166"/>
    </row>
    <row r="33" spans="1:14" x14ac:dyDescent="0.25">
      <c r="A33" s="2"/>
      <c r="B33" s="259" t="s">
        <v>255</v>
      </c>
      <c r="C33" s="259"/>
      <c r="D33" s="252"/>
      <c r="E33" s="260"/>
      <c r="F33" s="261"/>
      <c r="G33" s="261"/>
      <c r="H33" s="262"/>
      <c r="I33" s="166"/>
      <c r="J33" s="166"/>
    </row>
    <row r="34" spans="1:14" x14ac:dyDescent="0.25">
      <c r="A34" s="2">
        <v>13</v>
      </c>
      <c r="B34" s="167" t="s">
        <v>256</v>
      </c>
      <c r="C34" s="8" t="s">
        <v>177</v>
      </c>
      <c r="D34" s="2" t="s">
        <v>178</v>
      </c>
      <c r="E34" s="136">
        <v>9</v>
      </c>
      <c r="F34" s="32">
        <f>ROUND(I34/'Прил. 10'!D14,2)</f>
        <v>63670.93</v>
      </c>
      <c r="G34" s="32">
        <f>ROUND(E34*F34,2)</f>
        <v>573038.37</v>
      </c>
      <c r="H34" s="168">
        <f>G34/$G$38</f>
        <v>1</v>
      </c>
      <c r="I34" s="32">
        <v>398580</v>
      </c>
      <c r="J34" s="32">
        <f>ROUND(I34*E34,2)</f>
        <v>3587220</v>
      </c>
      <c r="M34" s="12"/>
      <c r="N34" s="12"/>
    </row>
    <row r="35" spans="1:14" x14ac:dyDescent="0.25">
      <c r="A35" s="2"/>
      <c r="B35" s="2"/>
      <c r="C35" s="8" t="s">
        <v>257</v>
      </c>
      <c r="D35" s="2"/>
      <c r="E35" s="136"/>
      <c r="F35" s="102"/>
      <c r="G35" s="32">
        <f>G34</f>
        <v>573038.37</v>
      </c>
      <c r="H35" s="169">
        <f>H34</f>
        <v>1</v>
      </c>
      <c r="I35" s="170"/>
      <c r="J35" s="32">
        <f>J34</f>
        <v>3587220</v>
      </c>
    </row>
    <row r="36" spans="1:14" x14ac:dyDescent="0.25">
      <c r="A36" s="2"/>
      <c r="B36" s="2"/>
      <c r="C36" s="8" t="s">
        <v>258</v>
      </c>
      <c r="D36" s="2"/>
      <c r="E36" s="136"/>
      <c r="F36" s="102"/>
      <c r="G36" s="32">
        <v>0</v>
      </c>
      <c r="H36" s="169"/>
      <c r="I36" s="170"/>
      <c r="J36" s="32">
        <v>0</v>
      </c>
    </row>
    <row r="37" spans="1:14" x14ac:dyDescent="0.25">
      <c r="A37" s="2"/>
      <c r="B37" s="2"/>
      <c r="C37" s="103" t="s">
        <v>259</v>
      </c>
      <c r="D37" s="2"/>
      <c r="E37" s="171"/>
      <c r="F37" s="102"/>
      <c r="G37" s="32">
        <f>G36+G35</f>
        <v>573038.37</v>
      </c>
      <c r="H37" s="169">
        <f>H36+H35</f>
        <v>1</v>
      </c>
      <c r="I37" s="170"/>
      <c r="J37" s="32">
        <f>J36+J35</f>
        <v>3587220</v>
      </c>
    </row>
    <row r="38" spans="1:14" ht="25.5" customHeight="1" x14ac:dyDescent="0.25">
      <c r="A38" s="2"/>
      <c r="B38" s="2"/>
      <c r="C38" s="8" t="s">
        <v>260</v>
      </c>
      <c r="D38" s="2"/>
      <c r="E38" s="175"/>
      <c r="F38" s="102"/>
      <c r="G38" s="32">
        <f>G37</f>
        <v>573038.37</v>
      </c>
      <c r="H38" s="169"/>
      <c r="I38" s="170"/>
      <c r="J38" s="32">
        <f>J37</f>
        <v>3587220</v>
      </c>
    </row>
    <row r="39" spans="1:14" s="12" customFormat="1" ht="14.25" customHeight="1" x14ac:dyDescent="0.2">
      <c r="A39" s="2"/>
      <c r="B39" s="239" t="s">
        <v>179</v>
      </c>
      <c r="C39" s="239"/>
      <c r="D39" s="263"/>
      <c r="E39" s="264"/>
      <c r="F39" s="265"/>
      <c r="G39" s="265"/>
      <c r="H39" s="266"/>
      <c r="I39" s="166"/>
      <c r="J39" s="166"/>
    </row>
    <row r="40" spans="1:14" s="12" customFormat="1" ht="14.25" customHeight="1" x14ac:dyDescent="0.2">
      <c r="A40" s="165"/>
      <c r="B40" s="255" t="s">
        <v>261</v>
      </c>
      <c r="C40" s="255"/>
      <c r="D40" s="253"/>
      <c r="E40" s="256"/>
      <c r="F40" s="257"/>
      <c r="G40" s="257"/>
      <c r="H40" s="258"/>
      <c r="I40" s="176"/>
      <c r="J40" s="176"/>
    </row>
    <row r="41" spans="1:14" s="12" customFormat="1" ht="25.5" customHeight="1" x14ac:dyDescent="0.2">
      <c r="A41" s="2">
        <v>14</v>
      </c>
      <c r="B41" s="2" t="s">
        <v>180</v>
      </c>
      <c r="C41" s="8" t="s">
        <v>181</v>
      </c>
      <c r="D41" s="2" t="s">
        <v>182</v>
      </c>
      <c r="E41" s="136">
        <v>9.6037199999999991</v>
      </c>
      <c r="F41" s="102">
        <v>10480</v>
      </c>
      <c r="G41" s="32">
        <f>ROUND(E41*F41,2)</f>
        <v>100646.99</v>
      </c>
      <c r="H41" s="168">
        <f t="shared" ref="H41:H63" si="3">G41/$G$63</f>
        <v>0.84054595948789723</v>
      </c>
      <c r="I41" s="32">
        <f>ROUND(F41*'Прил. 10'!$D$13,2)</f>
        <v>84259.199999999997</v>
      </c>
      <c r="J41" s="32">
        <f>ROUND(I41*E41,2)</f>
        <v>809201.76</v>
      </c>
    </row>
    <row r="42" spans="1:14" s="12" customFormat="1" ht="26.25" customHeight="1" x14ac:dyDescent="0.2">
      <c r="A42" s="2">
        <v>15</v>
      </c>
      <c r="B42" s="2" t="s">
        <v>183</v>
      </c>
      <c r="C42" s="8" t="s">
        <v>184</v>
      </c>
      <c r="D42" s="2" t="s">
        <v>182</v>
      </c>
      <c r="E42" s="136">
        <v>0.32382250000000001</v>
      </c>
      <c r="F42" s="102">
        <v>30090</v>
      </c>
      <c r="G42" s="32">
        <f>ROUND(E42*F42,2)</f>
        <v>9743.82</v>
      </c>
      <c r="H42" s="168">
        <f t="shared" si="3"/>
        <v>8.1374798500952306E-2</v>
      </c>
      <c r="I42" s="32">
        <f>ROUND(F42*'Прил. 10'!$D$13,2)</f>
        <v>241923.6</v>
      </c>
      <c r="J42" s="32">
        <f>ROUND(I42*E42,2)</f>
        <v>78340.3</v>
      </c>
    </row>
    <row r="43" spans="1:14" s="12" customFormat="1" ht="14.25" customHeight="1" x14ac:dyDescent="0.2">
      <c r="A43" s="177"/>
      <c r="B43" s="178"/>
      <c r="C43" s="179" t="s">
        <v>262</v>
      </c>
      <c r="D43" s="177"/>
      <c r="E43" s="180"/>
      <c r="F43" s="174"/>
      <c r="G43" s="174">
        <f>SUM(G41:G42)</f>
        <v>110390.81</v>
      </c>
      <c r="H43" s="168">
        <f t="shared" si="3"/>
        <v>0.92192075798884943</v>
      </c>
      <c r="I43" s="32"/>
      <c r="J43" s="174">
        <f>SUM(J41:J42)</f>
        <v>887542.06</v>
      </c>
    </row>
    <row r="44" spans="1:14" s="12" customFormat="1" ht="38.25" customHeight="1" outlineLevel="1" x14ac:dyDescent="0.2">
      <c r="A44" s="2">
        <v>16</v>
      </c>
      <c r="B44" s="2" t="s">
        <v>185</v>
      </c>
      <c r="C44" s="8" t="s">
        <v>186</v>
      </c>
      <c r="D44" s="2" t="s">
        <v>182</v>
      </c>
      <c r="E44" s="136">
        <v>6.2350999999999997E-2</v>
      </c>
      <c r="F44" s="102">
        <v>32758.86</v>
      </c>
      <c r="G44" s="32">
        <f t="shared" ref="G44:G61" si="4">ROUND(E44*F44,2)</f>
        <v>2042.55</v>
      </c>
      <c r="H44" s="168">
        <f t="shared" si="3"/>
        <v>1.7058206604608883E-2</v>
      </c>
      <c r="I44" s="32">
        <f>ROUND(F44*'Прил. 10'!$D$13,2)</f>
        <v>263381.23</v>
      </c>
      <c r="J44" s="32">
        <f t="shared" ref="J44:J61" si="5">ROUND(I44*E44,2)</f>
        <v>16422.080000000002</v>
      </c>
    </row>
    <row r="45" spans="1:14" s="12" customFormat="1" ht="38.25" customHeight="1" outlineLevel="1" x14ac:dyDescent="0.2">
      <c r="A45" s="2">
        <v>17</v>
      </c>
      <c r="B45" s="2" t="s">
        <v>187</v>
      </c>
      <c r="C45" s="8" t="s">
        <v>188</v>
      </c>
      <c r="D45" s="2" t="s">
        <v>182</v>
      </c>
      <c r="E45" s="136">
        <v>0.40500000000000003</v>
      </c>
      <c r="F45" s="102">
        <v>5000</v>
      </c>
      <c r="G45" s="32">
        <f t="shared" si="4"/>
        <v>2025</v>
      </c>
      <c r="H45" s="168">
        <f t="shared" si="3"/>
        <v>1.6911639066036568E-2</v>
      </c>
      <c r="I45" s="32">
        <f>ROUND(F45*'Прил. 10'!$D$13,2)</f>
        <v>40200</v>
      </c>
      <c r="J45" s="32">
        <f t="shared" si="5"/>
        <v>16281</v>
      </c>
    </row>
    <row r="46" spans="1:14" s="12" customFormat="1" ht="14.25" customHeight="1" outlineLevel="1" x14ac:dyDescent="0.2">
      <c r="A46" s="2">
        <v>18</v>
      </c>
      <c r="B46" s="2" t="s">
        <v>189</v>
      </c>
      <c r="C46" s="8" t="s">
        <v>190</v>
      </c>
      <c r="D46" s="2" t="s">
        <v>182</v>
      </c>
      <c r="E46" s="136">
        <v>0.107748</v>
      </c>
      <c r="F46" s="102">
        <v>10315.01</v>
      </c>
      <c r="G46" s="32">
        <f t="shared" si="4"/>
        <v>1111.42</v>
      </c>
      <c r="H46" s="168">
        <f t="shared" si="3"/>
        <v>9.2819426621107964E-3</v>
      </c>
      <c r="I46" s="32">
        <f>ROUND(F46*'Прил. 10'!$D$13,2)</f>
        <v>82932.679999999993</v>
      </c>
      <c r="J46" s="32">
        <f t="shared" si="5"/>
        <v>8935.83</v>
      </c>
    </row>
    <row r="47" spans="1:14" s="12" customFormat="1" ht="25.5" customHeight="1" outlineLevel="1" x14ac:dyDescent="0.2">
      <c r="A47" s="2">
        <v>19</v>
      </c>
      <c r="B47" s="2" t="s">
        <v>191</v>
      </c>
      <c r="C47" s="8" t="s">
        <v>192</v>
      </c>
      <c r="D47" s="2" t="s">
        <v>193</v>
      </c>
      <c r="E47" s="136">
        <v>0.18</v>
      </c>
      <c r="F47" s="102">
        <v>6080</v>
      </c>
      <c r="G47" s="32">
        <f t="shared" si="4"/>
        <v>1094.4000000000001</v>
      </c>
      <c r="H47" s="168">
        <f t="shared" si="3"/>
        <v>9.1398013796890974E-3</v>
      </c>
      <c r="I47" s="32">
        <f>ROUND(F47*'Прил. 10'!$D$13,2)</f>
        <v>48883.199999999997</v>
      </c>
      <c r="J47" s="32">
        <f t="shared" si="5"/>
        <v>8798.98</v>
      </c>
    </row>
    <row r="48" spans="1:14" s="12" customFormat="1" ht="25.5" customHeight="1" outlineLevel="1" x14ac:dyDescent="0.2">
      <c r="A48" s="2">
        <v>20</v>
      </c>
      <c r="B48" s="2" t="s">
        <v>194</v>
      </c>
      <c r="C48" s="8" t="s">
        <v>195</v>
      </c>
      <c r="D48" s="2" t="s">
        <v>196</v>
      </c>
      <c r="E48" s="136">
        <v>3.0582720000000001</v>
      </c>
      <c r="F48" s="102">
        <v>238.48</v>
      </c>
      <c r="G48" s="32">
        <f t="shared" si="4"/>
        <v>729.34</v>
      </c>
      <c r="H48" s="168">
        <f t="shared" si="3"/>
        <v>6.0910295488509191E-3</v>
      </c>
      <c r="I48" s="32">
        <f>ROUND(F48*'Прил. 10'!$D$13,2)</f>
        <v>1917.38</v>
      </c>
      <c r="J48" s="32">
        <f t="shared" si="5"/>
        <v>5863.87</v>
      </c>
    </row>
    <row r="49" spans="1:10" s="12" customFormat="1" ht="14.25" customHeight="1" outlineLevel="1" x14ac:dyDescent="0.2">
      <c r="A49" s="2">
        <v>21</v>
      </c>
      <c r="B49" s="2" t="s">
        <v>197</v>
      </c>
      <c r="C49" s="8" t="s">
        <v>198</v>
      </c>
      <c r="D49" s="2" t="s">
        <v>196</v>
      </c>
      <c r="E49" s="136">
        <v>107.226</v>
      </c>
      <c r="F49" s="102">
        <v>6.67</v>
      </c>
      <c r="G49" s="32">
        <f t="shared" si="4"/>
        <v>715.2</v>
      </c>
      <c r="H49" s="168">
        <f t="shared" si="3"/>
        <v>5.9729403753231375E-3</v>
      </c>
      <c r="I49" s="32">
        <f>ROUND(F49*'Прил. 10'!$D$13,2)</f>
        <v>53.63</v>
      </c>
      <c r="J49" s="32">
        <f t="shared" si="5"/>
        <v>5750.53</v>
      </c>
    </row>
    <row r="50" spans="1:10" s="12" customFormat="1" ht="14.25" customHeight="1" outlineLevel="1" x14ac:dyDescent="0.2">
      <c r="A50" s="2">
        <v>22</v>
      </c>
      <c r="B50" s="2" t="s">
        <v>199</v>
      </c>
      <c r="C50" s="8" t="s">
        <v>200</v>
      </c>
      <c r="D50" s="2" t="s">
        <v>196</v>
      </c>
      <c r="E50" s="136">
        <v>72.900000000000006</v>
      </c>
      <c r="F50" s="102">
        <v>9.0399999999999991</v>
      </c>
      <c r="G50" s="32">
        <f t="shared" si="4"/>
        <v>659.02</v>
      </c>
      <c r="H50" s="168">
        <f t="shared" si="3"/>
        <v>5.5037572233577374E-3</v>
      </c>
      <c r="I50" s="32">
        <f>ROUND(F50*'Прил. 10'!$D$13,2)</f>
        <v>72.680000000000007</v>
      </c>
      <c r="J50" s="32">
        <f t="shared" si="5"/>
        <v>5298.37</v>
      </c>
    </row>
    <row r="51" spans="1:10" s="12" customFormat="1" ht="14.25" customHeight="1" outlineLevel="1" x14ac:dyDescent="0.2">
      <c r="A51" s="2">
        <v>23</v>
      </c>
      <c r="B51" s="2" t="s">
        <v>201</v>
      </c>
      <c r="C51" s="8" t="s">
        <v>202</v>
      </c>
      <c r="D51" s="2" t="s">
        <v>182</v>
      </c>
      <c r="E51" s="136">
        <v>3.6288000000000001E-2</v>
      </c>
      <c r="F51" s="102">
        <v>6200</v>
      </c>
      <c r="G51" s="32">
        <f t="shared" si="4"/>
        <v>224.99</v>
      </c>
      <c r="H51" s="168">
        <f t="shared" si="3"/>
        <v>1.8789874930704037E-3</v>
      </c>
      <c r="I51" s="32">
        <f>ROUND(F51*'Прил. 10'!$D$13,2)</f>
        <v>49848</v>
      </c>
      <c r="J51" s="32">
        <f t="shared" si="5"/>
        <v>1808.88</v>
      </c>
    </row>
    <row r="52" spans="1:10" s="12" customFormat="1" ht="25.5" customHeight="1" outlineLevel="1" x14ac:dyDescent="0.2">
      <c r="A52" s="2">
        <v>24</v>
      </c>
      <c r="B52" s="2" t="s">
        <v>203</v>
      </c>
      <c r="C52" s="8" t="s">
        <v>204</v>
      </c>
      <c r="D52" s="2" t="s">
        <v>196</v>
      </c>
      <c r="E52" s="136">
        <v>19.987200000000001</v>
      </c>
      <c r="F52" s="102">
        <v>10.57</v>
      </c>
      <c r="G52" s="32">
        <f t="shared" si="4"/>
        <v>211.26</v>
      </c>
      <c r="H52" s="168">
        <f t="shared" si="3"/>
        <v>1.764322404489326E-3</v>
      </c>
      <c r="I52" s="32">
        <f>ROUND(F52*'Прил. 10'!$D$13,2)</f>
        <v>84.98</v>
      </c>
      <c r="J52" s="32">
        <f t="shared" si="5"/>
        <v>1698.51</v>
      </c>
    </row>
    <row r="53" spans="1:10" s="12" customFormat="1" ht="14.25" customHeight="1" outlineLevel="1" x14ac:dyDescent="0.2">
      <c r="A53" s="2">
        <v>25</v>
      </c>
      <c r="B53" s="2" t="s">
        <v>205</v>
      </c>
      <c r="C53" s="8" t="s">
        <v>206</v>
      </c>
      <c r="D53" s="2" t="s">
        <v>207</v>
      </c>
      <c r="E53" s="136">
        <v>4.5</v>
      </c>
      <c r="F53" s="102">
        <v>37.5</v>
      </c>
      <c r="G53" s="32">
        <f t="shared" si="4"/>
        <v>168.75</v>
      </c>
      <c r="H53" s="168">
        <f t="shared" si="3"/>
        <v>1.4093032555030473E-3</v>
      </c>
      <c r="I53" s="32">
        <f>ROUND(F53*'Прил. 10'!$D$13,2)</f>
        <v>301.5</v>
      </c>
      <c r="J53" s="32">
        <f t="shared" si="5"/>
        <v>1356.75</v>
      </c>
    </row>
    <row r="54" spans="1:10" s="12" customFormat="1" ht="14.25" customHeight="1" outlineLevel="1" x14ac:dyDescent="0.2">
      <c r="A54" s="2">
        <v>26</v>
      </c>
      <c r="B54" s="2" t="s">
        <v>208</v>
      </c>
      <c r="C54" s="8" t="s">
        <v>209</v>
      </c>
      <c r="D54" s="2" t="s">
        <v>210</v>
      </c>
      <c r="E54" s="136">
        <v>1.377</v>
      </c>
      <c r="F54" s="102">
        <v>79.099999999999994</v>
      </c>
      <c r="G54" s="32">
        <f t="shared" si="4"/>
        <v>108.92</v>
      </c>
      <c r="H54" s="168">
        <f t="shared" si="3"/>
        <v>9.0963739608528537E-4</v>
      </c>
      <c r="I54" s="32">
        <f>ROUND(F54*'Прил. 10'!$D$13,2)</f>
        <v>635.96</v>
      </c>
      <c r="J54" s="32">
        <f t="shared" si="5"/>
        <v>875.72</v>
      </c>
    </row>
    <row r="55" spans="1:10" s="12" customFormat="1" ht="25.5" customHeight="1" outlineLevel="1" x14ac:dyDescent="0.2">
      <c r="A55" s="2">
        <v>27</v>
      </c>
      <c r="B55" s="2" t="s">
        <v>211</v>
      </c>
      <c r="C55" s="8" t="s">
        <v>212</v>
      </c>
      <c r="D55" s="2" t="s">
        <v>196</v>
      </c>
      <c r="E55" s="136">
        <v>1.4545440000000001</v>
      </c>
      <c r="F55" s="102">
        <v>54.99</v>
      </c>
      <c r="G55" s="32">
        <f t="shared" si="4"/>
        <v>79.989999999999995</v>
      </c>
      <c r="H55" s="168">
        <f t="shared" si="3"/>
        <v>6.6803062167519257E-4</v>
      </c>
      <c r="I55" s="32">
        <f>ROUND(F55*'Прил. 10'!$D$13,2)</f>
        <v>442.12</v>
      </c>
      <c r="J55" s="32">
        <f t="shared" si="5"/>
        <v>643.08000000000004</v>
      </c>
    </row>
    <row r="56" spans="1:10" s="12" customFormat="1" ht="25.5" customHeight="1" outlineLevel="1" x14ac:dyDescent="0.2">
      <c r="A56" s="2">
        <v>28</v>
      </c>
      <c r="B56" s="2" t="s">
        <v>194</v>
      </c>
      <c r="C56" s="8" t="s">
        <v>195</v>
      </c>
      <c r="D56" s="2" t="s">
        <v>196</v>
      </c>
      <c r="E56" s="136">
        <v>0.33119999999999999</v>
      </c>
      <c r="F56" s="102">
        <v>238.48</v>
      </c>
      <c r="G56" s="32">
        <f t="shared" si="4"/>
        <v>78.98</v>
      </c>
      <c r="H56" s="168">
        <f t="shared" si="3"/>
        <v>6.5959568070892251E-4</v>
      </c>
      <c r="I56" s="32">
        <f>ROUND(F56*'Прил. 10'!$D$13,2)</f>
        <v>1917.38</v>
      </c>
      <c r="J56" s="32">
        <f t="shared" si="5"/>
        <v>635.04</v>
      </c>
    </row>
    <row r="57" spans="1:10" s="12" customFormat="1" ht="14.25" customHeight="1" outlineLevel="1" x14ac:dyDescent="0.2">
      <c r="A57" s="2">
        <v>29</v>
      </c>
      <c r="B57" s="2" t="s">
        <v>213</v>
      </c>
      <c r="C57" s="8" t="s">
        <v>214</v>
      </c>
      <c r="D57" s="2" t="s">
        <v>196</v>
      </c>
      <c r="E57" s="136">
        <v>1.62</v>
      </c>
      <c r="F57" s="102">
        <v>28.6</v>
      </c>
      <c r="G57" s="32">
        <f t="shared" si="4"/>
        <v>46.33</v>
      </c>
      <c r="H57" s="168">
        <f t="shared" si="3"/>
        <v>3.8692159897751812E-4</v>
      </c>
      <c r="I57" s="32">
        <f>ROUND(F57*'Прил. 10'!$D$13,2)</f>
        <v>229.94</v>
      </c>
      <c r="J57" s="32">
        <f t="shared" si="5"/>
        <v>372.5</v>
      </c>
    </row>
    <row r="58" spans="1:10" s="12" customFormat="1" ht="25.5" customHeight="1" outlineLevel="1" x14ac:dyDescent="0.2">
      <c r="A58" s="2">
        <v>30</v>
      </c>
      <c r="B58" s="2" t="s">
        <v>215</v>
      </c>
      <c r="C58" s="8" t="s">
        <v>216</v>
      </c>
      <c r="D58" s="2" t="s">
        <v>217</v>
      </c>
      <c r="E58" s="136">
        <v>42.201120000000003</v>
      </c>
      <c r="F58" s="102">
        <v>1</v>
      </c>
      <c r="G58" s="32">
        <f t="shared" si="4"/>
        <v>42.2</v>
      </c>
      <c r="H58" s="168">
        <f t="shared" si="3"/>
        <v>3.524302067095028E-4</v>
      </c>
      <c r="I58" s="32">
        <f>ROUND(F58*'Прил. 10'!$D$13,2)</f>
        <v>8.0399999999999991</v>
      </c>
      <c r="J58" s="32">
        <f t="shared" si="5"/>
        <v>339.3</v>
      </c>
    </row>
    <row r="59" spans="1:10" s="12" customFormat="1" ht="25.5" customHeight="1" outlineLevel="1" x14ac:dyDescent="0.2">
      <c r="A59" s="2">
        <v>31</v>
      </c>
      <c r="B59" s="2" t="s">
        <v>218</v>
      </c>
      <c r="C59" s="8" t="s">
        <v>219</v>
      </c>
      <c r="D59" s="2" t="s">
        <v>182</v>
      </c>
      <c r="E59" s="136">
        <v>2.4000000000000001E-4</v>
      </c>
      <c r="F59" s="102">
        <v>17500</v>
      </c>
      <c r="G59" s="32">
        <f t="shared" si="4"/>
        <v>4.2</v>
      </c>
      <c r="H59" s="168">
        <f t="shared" si="3"/>
        <v>3.5075992136964732E-5</v>
      </c>
      <c r="I59" s="32">
        <f>ROUND(F59*'Прил. 10'!$D$13,2)</f>
        <v>140700</v>
      </c>
      <c r="J59" s="32">
        <f t="shared" si="5"/>
        <v>33.770000000000003</v>
      </c>
    </row>
    <row r="60" spans="1:10" s="12" customFormat="1" ht="14.25" customHeight="1" outlineLevel="1" x14ac:dyDescent="0.2">
      <c r="A60" s="2">
        <v>32</v>
      </c>
      <c r="B60" s="2" t="s">
        <v>220</v>
      </c>
      <c r="C60" s="8" t="s">
        <v>221</v>
      </c>
      <c r="D60" s="2" t="s">
        <v>196</v>
      </c>
      <c r="E60" s="136">
        <v>0.35431200000000002</v>
      </c>
      <c r="F60" s="102">
        <v>9.42</v>
      </c>
      <c r="G60" s="32">
        <f t="shared" si="4"/>
        <v>3.34</v>
      </c>
      <c r="H60" s="168">
        <f t="shared" si="3"/>
        <v>2.7893765175586238E-5</v>
      </c>
      <c r="I60" s="32">
        <f>ROUND(F60*'Прил. 10'!$D$13,2)</f>
        <v>75.739999999999995</v>
      </c>
      <c r="J60" s="32">
        <f t="shared" si="5"/>
        <v>26.84</v>
      </c>
    </row>
    <row r="61" spans="1:10" s="12" customFormat="1" ht="38.25" customHeight="1" outlineLevel="1" x14ac:dyDescent="0.2">
      <c r="A61" s="2">
        <v>33</v>
      </c>
      <c r="B61" s="2" t="s">
        <v>222</v>
      </c>
      <c r="C61" s="8" t="s">
        <v>223</v>
      </c>
      <c r="D61" s="2" t="s">
        <v>182</v>
      </c>
      <c r="E61" s="136">
        <v>5.7600000000000001E-4</v>
      </c>
      <c r="F61" s="102">
        <v>5763</v>
      </c>
      <c r="G61" s="32">
        <f t="shared" si="4"/>
        <v>3.32</v>
      </c>
      <c r="H61" s="168">
        <f t="shared" si="3"/>
        <v>2.7726736641600693E-5</v>
      </c>
      <c r="I61" s="32">
        <f>ROUND(F61*'Прил. 10'!$D$13,2)</f>
        <v>46334.52</v>
      </c>
      <c r="J61" s="32">
        <f t="shared" si="5"/>
        <v>26.69</v>
      </c>
    </row>
    <row r="62" spans="1:10" s="12" customFormat="1" ht="14.25" customHeight="1" x14ac:dyDescent="0.2">
      <c r="A62" s="2"/>
      <c r="B62" s="2"/>
      <c r="C62" s="8" t="s">
        <v>263</v>
      </c>
      <c r="D62" s="2"/>
      <c r="E62" s="171"/>
      <c r="F62" s="102"/>
      <c r="G62" s="174">
        <f>SUM(G44:G61)</f>
        <v>9349.2100000000009</v>
      </c>
      <c r="H62" s="168">
        <f t="shared" si="3"/>
        <v>7.807924201115049E-2</v>
      </c>
      <c r="I62" s="32"/>
      <c r="J62" s="174">
        <f>SUM(J44:J61)</f>
        <v>75167.740000000005</v>
      </c>
    </row>
    <row r="63" spans="1:10" s="12" customFormat="1" ht="14.25" customHeight="1" x14ac:dyDescent="0.2">
      <c r="A63" s="2"/>
      <c r="B63" s="2"/>
      <c r="C63" s="103" t="s">
        <v>264</v>
      </c>
      <c r="D63" s="2"/>
      <c r="E63" s="171"/>
      <c r="F63" s="102"/>
      <c r="G63" s="32">
        <f>G43+G62</f>
        <v>119740.02</v>
      </c>
      <c r="H63" s="168">
        <f t="shared" si="3"/>
        <v>1</v>
      </c>
      <c r="I63" s="32"/>
      <c r="J63" s="32">
        <f>J43+J62</f>
        <v>962709.8</v>
      </c>
    </row>
    <row r="64" spans="1:10" s="12" customFormat="1" ht="14.25" customHeight="1" x14ac:dyDescent="0.2">
      <c r="A64" s="2"/>
      <c r="B64" s="2"/>
      <c r="C64" s="8" t="s">
        <v>265</v>
      </c>
      <c r="D64" s="2"/>
      <c r="E64" s="171"/>
      <c r="F64" s="102"/>
      <c r="G64" s="32">
        <f>G14+G31+G63</f>
        <v>158662.21000000002</v>
      </c>
      <c r="H64" s="169"/>
      <c r="I64" s="32"/>
      <c r="J64" s="32">
        <f>J14+J31+J63</f>
        <v>1824077.9500000002</v>
      </c>
    </row>
    <row r="65" spans="1:10" s="12" customFormat="1" ht="14.25" customHeight="1" x14ac:dyDescent="0.2">
      <c r="A65" s="2"/>
      <c r="B65" s="2"/>
      <c r="C65" s="8" t="s">
        <v>266</v>
      </c>
      <c r="D65" s="181">
        <f>ROUND(G65/(G$16+$G$14),2)</f>
        <v>0.96</v>
      </c>
      <c r="E65" s="171"/>
      <c r="F65" s="102"/>
      <c r="G65" s="32">
        <v>16227.1</v>
      </c>
      <c r="H65" s="169"/>
      <c r="I65" s="32"/>
      <c r="J65" s="32">
        <f>ROUND(D65*(J14+J16),2)</f>
        <v>745856.45</v>
      </c>
    </row>
    <row r="66" spans="1:10" s="12" customFormat="1" ht="14.25" customHeight="1" x14ac:dyDescent="0.2">
      <c r="A66" s="2"/>
      <c r="B66" s="2"/>
      <c r="C66" s="8" t="s">
        <v>267</v>
      </c>
      <c r="D66" s="181">
        <f>ROUND(G66/(G$14+G$16),2)</f>
        <v>0.52</v>
      </c>
      <c r="E66" s="171"/>
      <c r="F66" s="102"/>
      <c r="G66" s="32">
        <v>8835.5400000000009</v>
      </c>
      <c r="H66" s="169"/>
      <c r="I66" s="32"/>
      <c r="J66" s="32">
        <f>ROUND(D66*(J14+J16),2)</f>
        <v>404005.58</v>
      </c>
    </row>
    <row r="67" spans="1:10" s="12" customFormat="1" ht="14.25" customHeight="1" x14ac:dyDescent="0.2">
      <c r="A67" s="2"/>
      <c r="B67" s="2"/>
      <c r="C67" s="8" t="s">
        <v>268</v>
      </c>
      <c r="D67" s="2"/>
      <c r="E67" s="171"/>
      <c r="F67" s="102"/>
      <c r="G67" s="32">
        <f>G14+G31+G63+G65+G66</f>
        <v>183724.85000000003</v>
      </c>
      <c r="H67" s="169"/>
      <c r="I67" s="32"/>
      <c r="J67" s="32">
        <f>J14+J31+J63+J65+J66</f>
        <v>2973939.9800000004</v>
      </c>
    </row>
    <row r="68" spans="1:10" s="12" customFormat="1" ht="14.25" customHeight="1" x14ac:dyDescent="0.2">
      <c r="A68" s="2"/>
      <c r="B68" s="2"/>
      <c r="C68" s="8" t="s">
        <v>269</v>
      </c>
      <c r="D68" s="2"/>
      <c r="E68" s="171"/>
      <c r="F68" s="102"/>
      <c r="G68" s="32">
        <f>G67+G37</f>
        <v>756763.22</v>
      </c>
      <c r="H68" s="169"/>
      <c r="I68" s="32"/>
      <c r="J68" s="32">
        <f>J67+J37</f>
        <v>6561159.9800000004</v>
      </c>
    </row>
    <row r="69" spans="1:10" s="12" customFormat="1" ht="34.5" customHeight="1" x14ac:dyDescent="0.2">
      <c r="A69" s="2"/>
      <c r="B69" s="2"/>
      <c r="C69" s="8" t="s">
        <v>109</v>
      </c>
      <c r="D69" s="2" t="s">
        <v>270</v>
      </c>
      <c r="E69" s="171">
        <v>3</v>
      </c>
      <c r="F69" s="102"/>
      <c r="G69" s="32">
        <f>G68/E69</f>
        <v>252254.40666666665</v>
      </c>
      <c r="H69" s="169"/>
      <c r="I69" s="32"/>
      <c r="J69" s="32">
        <f>J68/E69</f>
        <v>2187053.3266666667</v>
      </c>
    </row>
    <row r="71" spans="1:10" s="192" customFormat="1" x14ac:dyDescent="0.25">
      <c r="B71" s="193" t="s">
        <v>435</v>
      </c>
      <c r="C71" s="199"/>
    </row>
    <row r="72" spans="1:10" s="192" customFormat="1" x14ac:dyDescent="0.25">
      <c r="B72" s="185" t="s">
        <v>76</v>
      </c>
      <c r="C72" s="199"/>
    </row>
    <row r="73" spans="1:10" s="192" customFormat="1" x14ac:dyDescent="0.25">
      <c r="B73" s="193"/>
      <c r="C73" s="199"/>
    </row>
    <row r="74" spans="1:10" s="192" customFormat="1" x14ac:dyDescent="0.25">
      <c r="B74" s="193" t="s">
        <v>271</v>
      </c>
      <c r="C74" s="199"/>
    </row>
    <row r="75" spans="1:10" s="192" customFormat="1" x14ac:dyDescent="0.25">
      <c r="B75" s="185" t="s">
        <v>77</v>
      </c>
      <c r="C75" s="199"/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2:H12"/>
    <mergeCell ref="B15:H15"/>
    <mergeCell ref="B17:H17"/>
    <mergeCell ref="B18:H18"/>
    <mergeCell ref="B33:H33"/>
    <mergeCell ref="B32:H32"/>
    <mergeCell ref="B39:H39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2023-11-30T08:01:33Z</cp:lastPrinted>
  <dcterms:created xsi:type="dcterms:W3CDTF">2020-09-30T08:50:27Z</dcterms:created>
  <dcterms:modified xsi:type="dcterms:W3CDTF">2023-11-30T08:01:47Z</dcterms:modified>
  <cp:category/>
</cp:coreProperties>
</file>