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activeTab="7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2">Прил.3!$A$1:$H$56</definedName>
    <definedName name="_xlnm.Print_Area" localSheetId="3">'Прил.4 РМ'!$A$1:$E$47</definedName>
    <definedName name="_xlnm.Print_Area" localSheetId="4">'Прил.5 Расчет СМР и ОБ'!$A$1:$J$92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7" i="6"/>
  <c r="G16" i="6"/>
  <c r="G15" i="6"/>
  <c r="F15" i="6"/>
  <c r="E15" i="6"/>
  <c r="D15" i="6"/>
  <c r="C15" i="6"/>
  <c r="B15" i="6"/>
  <c r="A15" i="6"/>
  <c r="G14" i="6"/>
  <c r="F14" i="6"/>
  <c r="E14" i="6"/>
  <c r="D14" i="6"/>
  <c r="J68" i="5"/>
  <c r="G68" i="5"/>
  <c r="E68" i="5"/>
  <c r="J67" i="5"/>
  <c r="G67" i="5"/>
  <c r="J66" i="5"/>
  <c r="G66" i="5"/>
  <c r="J65" i="5"/>
  <c r="G65" i="5"/>
  <c r="J64" i="5"/>
  <c r="G64" i="5"/>
  <c r="J63" i="5"/>
  <c r="G63" i="5"/>
  <c r="J62" i="5"/>
  <c r="G62" i="5"/>
  <c r="J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6" i="5"/>
  <c r="H36" i="5"/>
  <c r="G36" i="5"/>
  <c r="J35" i="5"/>
  <c r="H35" i="5"/>
  <c r="G35" i="5"/>
  <c r="J34" i="5"/>
  <c r="H34" i="5"/>
  <c r="G34" i="5"/>
  <c r="J33" i="5"/>
  <c r="H33" i="5"/>
  <c r="G33" i="5"/>
  <c r="F33" i="5"/>
  <c r="J32" i="5"/>
  <c r="H32" i="5"/>
  <c r="G32" i="5"/>
  <c r="J31" i="5"/>
  <c r="H31" i="5"/>
  <c r="G31" i="5"/>
  <c r="F31" i="5"/>
  <c r="J28" i="5"/>
  <c r="G28" i="5"/>
  <c r="J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E13" i="5"/>
  <c r="B7" i="5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E29" i="4"/>
  <c r="C29" i="4"/>
  <c r="E28" i="4"/>
  <c r="C28" i="4"/>
  <c r="E26" i="4"/>
  <c r="C26" i="4"/>
  <c r="E25" i="4"/>
  <c r="C25" i="4"/>
  <c r="E24" i="4"/>
  <c r="C24" i="4"/>
  <c r="E23" i="4"/>
  <c r="D23" i="4"/>
  <c r="C23" i="4"/>
  <c r="C22" i="4"/>
  <c r="E21" i="4"/>
  <c r="D21" i="4"/>
  <c r="C21" i="4"/>
  <c r="C20" i="4"/>
  <c r="E19" i="4"/>
  <c r="D19" i="4"/>
  <c r="C19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B7" i="4"/>
  <c r="H49" i="3"/>
  <c r="A49" i="3"/>
  <c r="H48" i="3"/>
  <c r="A48" i="3"/>
  <c r="H47" i="3"/>
  <c r="A47" i="3"/>
  <c r="H46" i="3"/>
  <c r="A46" i="3"/>
  <c r="H45" i="3"/>
  <c r="A45" i="3"/>
  <c r="H44" i="3"/>
  <c r="A44" i="3"/>
  <c r="H43" i="3"/>
  <c r="A43" i="3"/>
  <c r="H42" i="3"/>
  <c r="A42" i="3"/>
  <c r="H41" i="3"/>
  <c r="A41" i="3"/>
  <c r="H40" i="3"/>
  <c r="A40" i="3"/>
  <c r="H39" i="3"/>
  <c r="A39" i="3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A31" i="3"/>
  <c r="H30" i="3"/>
  <c r="A30" i="3"/>
  <c r="H29" i="3"/>
  <c r="A29" i="3"/>
  <c r="H28" i="3"/>
  <c r="H27" i="3"/>
  <c r="A27" i="3"/>
  <c r="H26" i="3"/>
  <c r="A26" i="3"/>
  <c r="H25" i="3"/>
  <c r="H24" i="3"/>
  <c r="A24" i="3"/>
  <c r="H23" i="3"/>
  <c r="A23" i="3"/>
  <c r="H22" i="3"/>
  <c r="A22" i="3"/>
  <c r="H21" i="3"/>
  <c r="A21" i="3"/>
  <c r="H20" i="3"/>
  <c r="A20" i="3"/>
  <c r="H19" i="3"/>
  <c r="A19" i="3"/>
  <c r="H18" i="3"/>
  <c r="A18" i="3"/>
  <c r="H17" i="3"/>
  <c r="H16" i="3"/>
  <c r="H15" i="3" s="1"/>
  <c r="F16" i="3"/>
  <c r="A16" i="3"/>
  <c r="H14" i="3"/>
  <c r="A14" i="3"/>
  <c r="H13" i="3"/>
  <c r="H12" i="3"/>
  <c r="F12" i="3"/>
  <c r="J14" i="2"/>
  <c r="H14" i="2"/>
  <c r="G14" i="2"/>
  <c r="J13" i="2"/>
  <c r="H13" i="2"/>
  <c r="G13" i="2"/>
  <c r="J12" i="2"/>
  <c r="H12" i="2"/>
  <c r="G12" i="2"/>
  <c r="B7" i="2"/>
  <c r="B6" i="2"/>
  <c r="D23" i="1"/>
  <c r="D22" i="1"/>
  <c r="D20" i="1"/>
  <c r="D19" i="1"/>
  <c r="D16" i="1"/>
</calcChain>
</file>

<file path=xl/sharedStrings.xml><?xml version="1.0" encoding="utf-8"?>
<sst xmlns="http://schemas.openxmlformats.org/spreadsheetml/2006/main" count="528" uniqueCount="313">
  <si>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</si>
  <si>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</si>
  <si>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</si>
  <si>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Однополюсный разъединитель без устройства фундамента напряжение 220(150) кВ</t>
  </si>
  <si>
    <t>Сопоставимый уровень цен: 3 кв. 2015 г.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</si>
  <si>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</si>
  <si>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</si>
  <si>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</si>
  <si>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</si>
  <si>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</si>
  <si>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ПС «Б-10» 220/110/10 кВ (установка выпрямительного устройства плавки гололёда (ВУПГ) организация плавки гололёда на проводах и тросах на отходящих ВЛ 220 кВ (МЭС Юга)</t>
  </si>
  <si>
    <t>Наименование субъекта Российской Федерации</t>
  </si>
  <si>
    <t>Ростовская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</si>
  <si>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</si>
  <si>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</si>
  <si>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</si>
  <si>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</si>
  <si>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Разъединитель однополюсный горизонтально-поворотный с одним комплектом заземляющих ножей напряжением 220кВ,  2000 А РГН.1б-220.II/2000-50 УХЛ1 (Zapel C6-950.II №2493 белого цвета), ПД-14УХЛ1 (однофазн.), БУ-2-14, КМЧ ВИЛЕ.305651.096-07 1П - 3компл. ШОВ-4 - 1шт.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</si>
  <si>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</si>
  <si>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</si>
  <si>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</si>
  <si>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</si>
  <si>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</si>
  <si>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</si>
  <si>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</si>
  <si>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</si>
  <si>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</si>
  <si>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</si>
  <si>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2015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</si>
  <si>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</si>
  <si>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</si>
  <si>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</si>
  <si>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</si>
  <si>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</si>
  <si>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</si>
  <si>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</si>
  <si>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</si>
  <si>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</si>
  <si>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</si>
  <si>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</si>
  <si>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</si>
  <si>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</si>
  <si>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</si>
  <si>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</si>
  <si>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</si>
  <si>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</si>
  <si>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</si>
  <si>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02-07-03</t>
  </si>
  <si>
    <t>ПС Б-10. Силовое электрооборудование</t>
  </si>
  <si>
    <t>Всего по объекту:</t>
  </si>
  <si>
    <t>Всего по объекту в сопоставимом уровне цен 3 кв. 2015г: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</si>
  <si>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</si>
  <si>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</si>
  <si>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</si>
  <si>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</si>
  <si>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</si>
  <si>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</si>
  <si>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</si>
  <si>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</si>
  <si>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</si>
  <si>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</si>
  <si>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</si>
  <si>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</si>
  <si>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</si>
  <si>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</si>
  <si>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</si>
  <si>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</si>
  <si>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</si>
  <si>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</si>
  <si>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</si>
  <si>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</si>
  <si>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</si>
  <si>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</si>
  <si>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</si>
  <si>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91.10.01-002</t>
  </si>
  <si>
    <t>Агрегаты наполнительно-опрессовочные до 300 м3/ч</t>
  </si>
  <si>
    <t>91.06.06-042</t>
  </si>
  <si>
    <t>Подъемники гидравлические, высота подъема 10 м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</si>
  <si>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</si>
  <si>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</si>
  <si>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</si>
  <si>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</si>
  <si>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91.06.03-058</t>
  </si>
  <si>
    <t>Лебедки электрические тяговым усилием 156,96 кН (16 т)</t>
  </si>
  <si>
    <t>91.06.01-003</t>
  </si>
  <si>
    <t>Домкраты гидравлические, грузоподъемность 63-100 т</t>
  </si>
  <si>
    <t>Прайс из СД ОП</t>
  </si>
  <si>
    <t>Разъединитель 220 кВ, 4000 А, 50 кА</t>
  </si>
  <si>
    <t>компл</t>
  </si>
  <si>
    <t>Шкаф управления разъединителями</t>
  </si>
  <si>
    <t>шт</t>
  </si>
  <si>
    <t>Материалы</t>
  </si>
  <si>
    <t>21.2.01.02-0101</t>
  </si>
  <si>
    <t>Провод неизолированный для воздушных линий электропередачи АС 500/26</t>
  </si>
  <si>
    <t>т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</si>
  <si>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</si>
  <si>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</si>
  <si>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</si>
  <si>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</si>
  <si>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</si>
  <si>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05.1.01.10-0131</t>
  </si>
  <si>
    <t>Лотки каналов и тоннелей железобетонные для прокладки коммуникаций</t>
  </si>
  <si>
    <t>м3</t>
  </si>
  <si>
    <t>01.7.15.03-0042</t>
  </si>
  <si>
    <t>Болты с гайками и шайбами строительные</t>
  </si>
  <si>
    <t>кг</t>
  </si>
  <si>
    <t>08.3.07.01-0076</t>
  </si>
  <si>
    <t>Прокат полосовой, горячекатаный, марка стали Ст3сп, ширина 50-200 мм, толщина 4-5 мм</t>
  </si>
  <si>
    <t>14.4.02.09-0001</t>
  </si>
  <si>
    <t>Краска</t>
  </si>
  <si>
    <t>01.7.11.07-0034</t>
  </si>
  <si>
    <t>Электроды сварочные Э42А, диаметр 4 мм</t>
  </si>
  <si>
    <t>20.1.01.02-0067</t>
  </si>
  <si>
    <t>Зажим аппаратный прессуемый: А4А-400-2</t>
  </si>
  <si>
    <t>100 шт.</t>
  </si>
  <si>
    <t>01.3.01.06-0050</t>
  </si>
  <si>
    <t>Смазка универсальная тугоплавкая УТ (консталин жировой)</t>
  </si>
  <si>
    <t>01.7.15.11-0026</t>
  </si>
  <si>
    <t>Шайбы квадратные</t>
  </si>
  <si>
    <t>100 шт</t>
  </si>
  <si>
    <t>08.4.03.02-0001</t>
  </si>
  <si>
    <t>Сталь арматурная, горячекатаная, гладкая, класс А-I, диаметр 6 мм</t>
  </si>
  <si>
    <t>20.2.10.03-0002</t>
  </si>
  <si>
    <t>Наконечники кабельные медные для электротехнических установок</t>
  </si>
  <si>
    <t>999-9950</t>
  </si>
  <si>
    <t>Вспомогательные ненормируемые ресурсы (2% от Оплаты труда рабочих)</t>
  </si>
  <si>
    <t>руб</t>
  </si>
  <si>
    <t>01.7.20.08-0031</t>
  </si>
  <si>
    <t>Бязь суровая</t>
  </si>
  <si>
    <t>10 м2</t>
  </si>
  <si>
    <t>01.7.15.07-0014</t>
  </si>
  <si>
    <t>Дюбели распорные полипропиленовые</t>
  </si>
  <si>
    <t>20.1.02.23-0082</t>
  </si>
  <si>
    <t>Перемычки гибкие, тип ПГС-50</t>
  </si>
  <si>
    <t>10 шт</t>
  </si>
  <si>
    <t>20.1.02.23-0121</t>
  </si>
  <si>
    <t>Проводник заземляющий П-600</t>
  </si>
  <si>
    <t>24.3.01.01-0001</t>
  </si>
  <si>
    <t>Трубка ХВТ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</si>
  <si>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</si>
  <si>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</si>
  <si>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01.7.06.07-0002</t>
  </si>
  <si>
    <t>Лента монтажная, тип ЛМ-5</t>
  </si>
  <si>
    <t>10 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</si>
  <si>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</si>
  <si>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</si>
  <si>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</si>
  <si>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</si>
  <si>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</si>
  <si>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</si>
  <si>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</si>
  <si>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</si>
  <si>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</si>
  <si>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</si>
  <si>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</si>
  <si>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</si>
  <si>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</si>
  <si>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</si>
  <si>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</si>
  <si>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</si>
  <si>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</si>
  <si>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</si>
  <si>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</si>
  <si>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</si>
  <si>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</si>
  <si>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</si>
  <si>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</si>
  <si>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</si>
  <si>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</si>
  <si>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</si>
  <si>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</si>
  <si>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</si>
  <si>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</si>
  <si>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</si>
  <si>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</si>
  <si>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</si>
  <si>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</si>
  <si>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</si>
  <si>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</si>
  <si>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</si>
  <si>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</si>
  <si>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</si>
  <si>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</si>
  <si>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</si>
  <si>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Однополюсный разъединитель без устройства фундамента напряжение 220(150)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</si>
  <si>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</si>
  <si>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</si>
  <si>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</si>
  <si>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</si>
  <si>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</si>
  <si>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</si>
  <si>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</si>
  <si>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</si>
  <si>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</si>
  <si>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</si>
  <si>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</si>
  <si>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</si>
  <si>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</si>
  <si>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</si>
  <si>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</si>
  <si>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БЦ.64.1126</t>
  </si>
  <si>
    <t>Итого основное оборудование</t>
  </si>
  <si>
    <t>БЦ.30_1.159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</si>
  <si>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</si>
  <si>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</si>
  <si>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</si>
  <si>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</si>
  <si>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</si>
  <si>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</si>
  <si>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</si>
  <si>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</si>
  <si>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</si>
  <si>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</si>
  <si>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</si>
  <si>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</si>
  <si>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</si>
  <si>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</si>
  <si>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</si>
  <si>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</si>
  <si>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</si>
  <si>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</si>
  <si>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</si>
  <si>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</si>
  <si>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</si>
  <si>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</si>
  <si>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</si>
  <si>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</si>
  <si>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</si>
  <si>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</si>
  <si>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</si>
  <si>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</si>
  <si>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</si>
  <si>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И10-05-4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</si>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</sst>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3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sz val="11"/>
      <color rgb="FF000000"/>
      <name val="Times New Roman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168" fontId="11" fillId="2" borderId="0" xfId="0" applyNumberFormat="1" applyFont="1" applyFill="1"/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69" fontId="12" fillId="2" borderId="0" xfId="0" applyNumberFormat="1" applyFont="1" applyFill="1"/>
    <xf numFmtId="0" fontId="9" fillId="0" borderId="0" xfId="0" applyFont="1" applyAlignment="1">
      <alignment horizontal="right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4" fillId="0" borderId="0" xfId="0" applyNumberFormat="1" applyFont="1"/>
    <xf numFmtId="0" fontId="15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167" fontId="1" fillId="0" borderId="0" xfId="0" applyNumberFormat="1" applyFont="1"/>
    <xf numFmtId="0" fontId="17" fillId="0" borderId="0" xfId="0" applyFont="1" applyAlignment="1">
      <alignment horizontal="left"/>
    </xf>
    <xf numFmtId="4" fontId="9" fillId="0" borderId="0" xfId="0" applyNumberFormat="1" applyFont="1" applyAlignment="1">
      <alignment vertical="center"/>
    </xf>
    <xf numFmtId="2" fontId="18" fillId="0" borderId="1" xfId="0" applyNumberFormat="1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10" fontId="2" fillId="0" borderId="0" xfId="0" applyNumberFormat="1" applyFont="1" applyAlignment="1">
      <alignment horizontal="right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  <xf numFmtId="4" fontId="2" fillId="0" borderId="1" xfId="0" applyNumberFormat="1" applyFont="1" applyBorder="1" applyAlignment="1">
      <alignment horizontal="center" vertical="center" wrapText="1"/>
    </xf>
    <xf numFmtId="173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right" vertical="center" wrapText="1"/>
    </xf>
    <xf numFmtId="4" fontId="19" fillId="2" borderId="2" xfId="0" applyNumberFormat="1" applyFont="1" applyFill="1" applyBorder="1" applyAlignment="1">
      <alignment vertical="center" wrapText="1"/>
    </xf>
    <xf numFmtId="4" fontId="19" fillId="2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9" fillId="2" borderId="2" xfId="0" applyFont="1" applyFill="1" applyBorder="1" applyAlignment="1">
      <alignment horizontal="right" vertical="center" wrapText="1"/>
    </xf>
    <xf numFmtId="0" fontId="19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15</xdr:row>
      <xdr:rowOff>123024</xdr:rowOff>
    </xdr:from>
    <xdr:to>
      <xdr:col>2</xdr:col>
      <xdr:colOff>1401670</xdr:colOff>
      <xdr:row>17</xdr:row>
      <xdr:rowOff>78612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190" y="5225703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485029</xdr:colOff>
      <xdr:row>52</xdr:row>
      <xdr:rowOff>103095</xdr:rowOff>
    </xdr:from>
    <xdr:to>
      <xdr:col>3</xdr:col>
      <xdr:colOff>290046</xdr:colOff>
      <xdr:row>55</xdr:row>
      <xdr:rowOff>58645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829" y="129999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822326</xdr:colOff>
      <xdr:row>49</xdr:row>
      <xdr:rowOff>172010</xdr:rowOff>
    </xdr:from>
    <xdr:to>
      <xdr:col>2</xdr:col>
      <xdr:colOff>887320</xdr:colOff>
      <xdr:row>51</xdr:row>
      <xdr:rowOff>127598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926" y="124973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923179</xdr:colOff>
      <xdr:row>42</xdr:row>
      <xdr:rowOff>74520</xdr:rowOff>
    </xdr:from>
    <xdr:to>
      <xdr:col>1</xdr:col>
      <xdr:colOff>1861671</xdr:colOff>
      <xdr:row>45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04" y="115902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850901</xdr:colOff>
      <xdr:row>40</xdr:row>
      <xdr:rowOff>48185</xdr:rowOff>
    </xdr:from>
    <xdr:to>
      <xdr:col>1</xdr:col>
      <xdr:colOff>1754095</xdr:colOff>
      <xdr:row>42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126" y="111829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982570</xdr:colOff>
      <xdr:row>71</xdr:row>
      <xdr:rowOff>57151</xdr:rowOff>
    </xdr:from>
    <xdr:to>
      <xdr:col>2</xdr:col>
      <xdr:colOff>419474</xdr:colOff>
      <xdr:row>74</xdr:row>
      <xdr:rowOff>41276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570" y="16966827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991534</xdr:colOff>
      <xdr:row>68</xdr:row>
      <xdr:rowOff>170329</xdr:rowOff>
    </xdr:from>
    <xdr:to>
      <xdr:col>2</xdr:col>
      <xdr:colOff>393140</xdr:colOff>
      <xdr:row>70</xdr:row>
      <xdr:rowOff>144967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34" y="16519711"/>
          <a:ext cx="903194" cy="3444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913654</xdr:colOff>
      <xdr:row>19</xdr:row>
      <xdr:rowOff>74520</xdr:rowOff>
    </xdr:from>
    <xdr:to>
      <xdr:col>2</xdr:col>
      <xdr:colOff>861546</xdr:colOff>
      <xdr:row>22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654" y="40464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889001</xdr:colOff>
      <xdr:row>17</xdr:row>
      <xdr:rowOff>10085</xdr:rowOff>
    </xdr:from>
    <xdr:to>
      <xdr:col>2</xdr:col>
      <xdr:colOff>801595</xdr:colOff>
      <xdr:row>18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1" y="36010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951754</xdr:colOff>
      <xdr:row>13</xdr:row>
      <xdr:rowOff>64995</xdr:rowOff>
    </xdr:from>
    <xdr:to>
      <xdr:col>1</xdr:col>
      <xdr:colOff>1890246</xdr:colOff>
      <xdr:row>16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79" y="3617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879476</xdr:colOff>
      <xdr:row>11</xdr:row>
      <xdr:rowOff>19610</xdr:rowOff>
    </xdr:from>
    <xdr:to>
      <xdr:col>1</xdr:col>
      <xdr:colOff>1782670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1" y="31914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942229</xdr:colOff>
      <xdr:row>26</xdr:row>
      <xdr:rowOff>103095</xdr:rowOff>
    </xdr:from>
    <xdr:to>
      <xdr:col>1</xdr:col>
      <xdr:colOff>1880721</xdr:colOff>
      <xdr:row>29</xdr:row>
      <xdr:rowOff>58645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829" y="89137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889001</xdr:colOff>
      <xdr:row>23</xdr:row>
      <xdr:rowOff>143435</xdr:rowOff>
    </xdr:from>
    <xdr:to>
      <xdr:col>1</xdr:col>
      <xdr:colOff>1792195</xdr:colOff>
      <xdr:row>25</xdr:row>
      <xdr:rowOff>99023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601" y="838256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16" zoomScale="60" zoomScaleNormal="85" workbookViewId="0">
      <selection activeCell="D31" sqref="D31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44" t="s">
        <v>0</v>
      </c>
      <c r="C2" s="144"/>
      <c r="D2" s="144"/>
    </row>
    <row r="3" spans="2:4" ht="18.75" customHeight="1" x14ac:dyDescent="0.25">
      <c r="B3" s="145" t="s">
        <v>1</v>
      </c>
      <c r="C3" s="145"/>
      <c r="D3" s="145"/>
    </row>
    <row r="4" spans="2:4" ht="84" customHeight="1" x14ac:dyDescent="0.25">
      <c r="B4" s="146" t="s">
        <v>2</v>
      </c>
      <c r="C4" s="146"/>
      <c r="D4" s="146"/>
    </row>
    <row r="5" spans="2:4" ht="18.75" customHeight="1" x14ac:dyDescent="0.25">
      <c r="B5" s="74"/>
      <c r="C5" s="74"/>
      <c r="D5" s="74"/>
    </row>
    <row r="6" spans="2:4" ht="33.75" customHeight="1" x14ac:dyDescent="0.25">
      <c r="B6" s="147" t="s">
        <v>3</v>
      </c>
      <c r="C6" s="147"/>
      <c r="D6" s="147"/>
    </row>
    <row r="7" spans="2:4" ht="31.5" customHeight="1" x14ac:dyDescent="0.25">
      <c r="B7" s="143" t="s">
        <v>4</v>
      </c>
      <c r="C7" s="143"/>
      <c r="D7" s="143"/>
    </row>
    <row r="8" spans="2:4" ht="15.75" customHeight="1" x14ac:dyDescent="0.25">
      <c r="B8" s="143" t="s">
        <v>5</v>
      </c>
      <c r="C8" s="143"/>
      <c r="D8" s="143"/>
    </row>
    <row r="9" spans="2:4" ht="18.75" customHeight="1" x14ac:dyDescent="0.25">
      <c r="B9" s="36"/>
    </row>
    <row r="10" spans="2:4" ht="15.75" customHeight="1" x14ac:dyDescent="0.25">
      <c r="B10" s="37" t="s">
        <v>6</v>
      </c>
      <c r="C10" s="37" t="s">
        <v>7</v>
      </c>
      <c r="D10" s="37" t="s">
        <v>8</v>
      </c>
    </row>
    <row r="11" spans="2:4" ht="75" customHeight="1" x14ac:dyDescent="0.25">
      <c r="B11" s="37">
        <v>1</v>
      </c>
      <c r="C11" s="54" t="s">
        <v>9</v>
      </c>
      <c r="D11" s="89" t="s">
        <v>10</v>
      </c>
    </row>
    <row r="12" spans="2:4" ht="31.5" customHeight="1" x14ac:dyDescent="0.25">
      <c r="B12" s="37">
        <v>2</v>
      </c>
      <c r="C12" s="54" t="s">
        <v>11</v>
      </c>
      <c r="D12" s="89" t="s">
        <v>12</v>
      </c>
    </row>
    <row r="13" spans="2:4" ht="15.75" customHeight="1" x14ac:dyDescent="0.25">
      <c r="B13" s="37">
        <v>3</v>
      </c>
      <c r="C13" s="54" t="s">
        <v>13</v>
      </c>
      <c r="D13" s="23" t="s">
        <v>14</v>
      </c>
    </row>
    <row r="14" spans="2:4" ht="15.75" customHeight="1" x14ac:dyDescent="0.25">
      <c r="B14" s="37">
        <v>4</v>
      </c>
      <c r="C14" s="54" t="s">
        <v>15</v>
      </c>
      <c r="D14" s="89">
        <v>3</v>
      </c>
    </row>
    <row r="15" spans="2:4" ht="135" customHeight="1" x14ac:dyDescent="0.25">
      <c r="B15" s="37">
        <v>5</v>
      </c>
      <c r="C15" s="38" t="s">
        <v>16</v>
      </c>
      <c r="D15" s="89" t="s">
        <v>17</v>
      </c>
    </row>
    <row r="16" spans="2:4" ht="78.75" customHeight="1" x14ac:dyDescent="0.25">
      <c r="B16" s="37">
        <v>6</v>
      </c>
      <c r="C16" s="38" t="s">
        <v>18</v>
      </c>
      <c r="D16" s="87">
        <f>SUM(D17:D20)</f>
        <v>3533.0431683456</v>
      </c>
    </row>
    <row r="17" spans="2:7" ht="15.75" customHeight="1" x14ac:dyDescent="0.25">
      <c r="B17" s="75" t="s">
        <v>19</v>
      </c>
      <c r="C17" s="54" t="s">
        <v>20</v>
      </c>
      <c r="D17" s="87">
        <v>24.36</v>
      </c>
    </row>
    <row r="18" spans="2:7" ht="15.75" customHeight="1" x14ac:dyDescent="0.25">
      <c r="B18" s="75" t="s">
        <v>21</v>
      </c>
      <c r="C18" s="54" t="s">
        <v>22</v>
      </c>
      <c r="D18" s="87">
        <v>3321.64</v>
      </c>
    </row>
    <row r="19" spans="2:7" ht="15.75" customHeight="1" x14ac:dyDescent="0.25">
      <c r="B19" s="75" t="s">
        <v>23</v>
      </c>
      <c r="C19" s="54" t="s">
        <v>24</v>
      </c>
      <c r="D19" s="87">
        <f>D18*0.07*0.8</f>
        <v>186.01184000000001</v>
      </c>
    </row>
    <row r="20" spans="2:7" ht="15.75" customHeight="1" x14ac:dyDescent="0.25">
      <c r="B20" s="75" t="s">
        <v>25</v>
      </c>
      <c r="C20" s="54" t="s">
        <v>26</v>
      </c>
      <c r="D20" s="87">
        <f>D17*3.9%*0.8+(D17+D17*3.9%*0.8)*1.2%*0.9</f>
        <v>1.0313283456</v>
      </c>
    </row>
    <row r="21" spans="2:7" ht="15.75" customHeight="1" x14ac:dyDescent="0.25">
      <c r="B21" s="37">
        <v>7</v>
      </c>
      <c r="C21" s="54" t="s">
        <v>27</v>
      </c>
      <c r="D21" s="88" t="s">
        <v>28</v>
      </c>
      <c r="G21" s="81"/>
    </row>
    <row r="22" spans="2:7" ht="110.25" customHeight="1" x14ac:dyDescent="0.25">
      <c r="B22" s="37">
        <v>8</v>
      </c>
      <c r="C22" s="38" t="s">
        <v>29</v>
      </c>
      <c r="D22" s="87">
        <f>D16</f>
        <v>3533.0431683456</v>
      </c>
    </row>
    <row r="23" spans="2:7" ht="47.25" customHeight="1" x14ac:dyDescent="0.25">
      <c r="B23" s="37">
        <v>9</v>
      </c>
      <c r="C23" s="38" t="s">
        <v>30</v>
      </c>
      <c r="D23" s="87">
        <f>D22/D14</f>
        <v>1177.6810561151999</v>
      </c>
      <c r="G23" s="81"/>
    </row>
    <row r="24" spans="2:7" ht="110.25" hidden="1" customHeight="1" x14ac:dyDescent="0.25">
      <c r="B24" s="37">
        <v>10</v>
      </c>
      <c r="C24" s="54" t="s">
        <v>31</v>
      </c>
      <c r="D24" s="54" t="s">
        <v>32</v>
      </c>
    </row>
    <row r="25" spans="2:7" ht="37.5" customHeight="1" x14ac:dyDescent="0.25">
      <c r="B25" s="76"/>
      <c r="C25" s="77"/>
      <c r="D25" s="77"/>
    </row>
    <row r="26" spans="2:7" x14ac:dyDescent="0.25">
      <c r="B26" s="122" t="s">
        <v>311</v>
      </c>
      <c r="C26" s="127"/>
    </row>
    <row r="27" spans="2:7" x14ac:dyDescent="0.25">
      <c r="B27" s="119" t="s">
        <v>33</v>
      </c>
      <c r="C27" s="127"/>
    </row>
    <row r="28" spans="2:7" x14ac:dyDescent="0.25">
      <c r="B28" s="122"/>
      <c r="C28" s="127"/>
    </row>
    <row r="29" spans="2:7" x14ac:dyDescent="0.25">
      <c r="B29" s="122" t="s">
        <v>312</v>
      </c>
      <c r="C29" s="127"/>
    </row>
    <row r="30" spans="2:7" x14ac:dyDescent="0.25">
      <c r="B30" s="119" t="s">
        <v>34</v>
      </c>
      <c r="C30" s="127"/>
    </row>
    <row r="31" spans="2:7" ht="15.75" customHeight="1" x14ac:dyDescent="0.25">
      <c r="B31" s="77"/>
      <c r="C31" s="77"/>
      <c r="D31" s="77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82" t="s">
        <v>291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1:15" ht="29.25" customHeight="1" x14ac:dyDescent="0.25">
      <c r="A2" s="183" t="s">
        <v>292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pans="1:15" ht="30.75" customHeight="1" x14ac:dyDescent="0.25">
      <c r="A3" s="57" t="s">
        <v>293</v>
      </c>
      <c r="B3" s="58">
        <v>2007</v>
      </c>
      <c r="C3" s="58">
        <v>2008</v>
      </c>
      <c r="D3" s="58">
        <v>2009</v>
      </c>
      <c r="E3" s="58">
        <v>2010</v>
      </c>
      <c r="F3" s="58">
        <v>2011</v>
      </c>
      <c r="G3" s="59">
        <v>2012</v>
      </c>
      <c r="H3" s="59">
        <v>2013</v>
      </c>
      <c r="I3" s="59">
        <v>2014</v>
      </c>
      <c r="J3" s="59">
        <v>2015</v>
      </c>
      <c r="K3" s="59">
        <v>2016</v>
      </c>
      <c r="L3" s="59">
        <v>2017</v>
      </c>
      <c r="M3" s="59">
        <v>2018</v>
      </c>
      <c r="N3" s="59">
        <v>2019</v>
      </c>
      <c r="O3" s="59">
        <v>2020</v>
      </c>
    </row>
    <row r="4" spans="1:15" x14ac:dyDescent="0.25">
      <c r="A4" s="60" t="s">
        <v>294</v>
      </c>
      <c r="B4" s="61">
        <f t="shared" ref="B4:O4" si="0">B15^(1/12)</f>
        <v>1.0136015752351999</v>
      </c>
      <c r="C4" s="62">
        <f t="shared" si="0"/>
        <v>1.0148854522991999</v>
      </c>
      <c r="D4" s="62">
        <f t="shared" si="0"/>
        <v>1.0040741237835999</v>
      </c>
      <c r="E4" s="62">
        <f t="shared" si="0"/>
        <v>1.0064340301100001</v>
      </c>
      <c r="F4" s="62">
        <f t="shared" si="0"/>
        <v>1.0070531864112999</v>
      </c>
      <c r="G4" s="62">
        <f t="shared" si="0"/>
        <v>1.0054973670825</v>
      </c>
      <c r="H4" s="62">
        <f t="shared" si="0"/>
        <v>1.0048675505653</v>
      </c>
      <c r="I4" s="62">
        <f t="shared" si="0"/>
        <v>1.0039944005553001</v>
      </c>
      <c r="J4" s="62">
        <f t="shared" si="0"/>
        <v>1.0088859305371001</v>
      </c>
      <c r="K4" s="62">
        <f t="shared" si="0"/>
        <v>1.0051042407585</v>
      </c>
      <c r="L4" s="62">
        <f t="shared" si="0"/>
        <v>1.0035947364110001</v>
      </c>
      <c r="M4" s="62">
        <f t="shared" si="0"/>
        <v>1.0037548121811</v>
      </c>
      <c r="N4" s="62">
        <f t="shared" si="0"/>
        <v>1.0035947364110001</v>
      </c>
      <c r="O4" s="62">
        <f t="shared" si="0"/>
        <v>1.00343437929</v>
      </c>
    </row>
    <row r="5" spans="1:15" x14ac:dyDescent="0.25">
      <c r="A5" s="63" t="s">
        <v>295</v>
      </c>
      <c r="B5" s="61">
        <f t="shared" ref="B5:O5" si="1">B4*B4</f>
        <v>1.0273881533192999</v>
      </c>
      <c r="C5" s="62">
        <f t="shared" si="1"/>
        <v>1.0299924812886001</v>
      </c>
      <c r="D5" s="62">
        <f t="shared" si="1"/>
        <v>1.0081648460518999</v>
      </c>
      <c r="E5" s="62">
        <f t="shared" si="1"/>
        <v>1.0129094569635</v>
      </c>
      <c r="F5" s="62">
        <f t="shared" si="1"/>
        <v>1.0141561202611999</v>
      </c>
      <c r="G5" s="62">
        <f t="shared" si="1"/>
        <v>1.0110249552099</v>
      </c>
      <c r="H5" s="62">
        <f t="shared" si="1"/>
        <v>1.0097587941791999</v>
      </c>
      <c r="I5" s="62">
        <f t="shared" si="1"/>
        <v>1.0080047563464001</v>
      </c>
      <c r="J5" s="62">
        <f t="shared" si="1"/>
        <v>1.0178508208357999</v>
      </c>
      <c r="K5" s="62">
        <f t="shared" si="1"/>
        <v>1.0102345347906001</v>
      </c>
      <c r="L5" s="62">
        <f t="shared" si="1"/>
        <v>1.0072023949519999</v>
      </c>
      <c r="M5" s="62">
        <f t="shared" si="1"/>
        <v>1.0075237229767999</v>
      </c>
      <c r="N5" s="62">
        <f t="shared" si="1"/>
        <v>1.0072023949519999</v>
      </c>
      <c r="O5" s="62">
        <f t="shared" si="1"/>
        <v>1.0068805535412</v>
      </c>
    </row>
    <row r="6" spans="1:15" ht="15.75" customHeight="1" x14ac:dyDescent="0.25">
      <c r="A6" s="64" t="s">
        <v>296</v>
      </c>
      <c r="B6" s="65">
        <f t="shared" ref="B6:O6" si="2">B4*B4*B4</f>
        <v>1.0413622505824001</v>
      </c>
      <c r="C6" s="66">
        <f t="shared" si="2"/>
        <v>1.0453243852373</v>
      </c>
      <c r="D6" s="66">
        <f t="shared" si="2"/>
        <v>1.0122722344290001</v>
      </c>
      <c r="E6" s="66">
        <f t="shared" si="2"/>
        <v>1.0194265469082999</v>
      </c>
      <c r="F6" s="66">
        <f t="shared" si="2"/>
        <v>1.0213091524275999</v>
      </c>
      <c r="G6" s="66">
        <f t="shared" si="2"/>
        <v>1.0165829305183001</v>
      </c>
      <c r="H6" s="66">
        <f t="shared" si="2"/>
        <v>1.0146738461686999</v>
      </c>
      <c r="I6" s="66">
        <f t="shared" si="2"/>
        <v>1.0120311311049</v>
      </c>
      <c r="J6" s="66">
        <f t="shared" si="2"/>
        <v>1.0268953725269001</v>
      </c>
      <c r="K6" s="66">
        <f t="shared" si="2"/>
        <v>1.0153910150787</v>
      </c>
      <c r="L6" s="66">
        <f t="shared" si="2"/>
        <v>1.0108230220743999</v>
      </c>
      <c r="M6" s="66">
        <f t="shared" si="2"/>
        <v>1.0113067853246001</v>
      </c>
      <c r="N6" s="66">
        <f t="shared" si="2"/>
        <v>1.0108230220743999</v>
      </c>
      <c r="O6" s="66">
        <f t="shared" si="2"/>
        <v>1.0103385632618</v>
      </c>
    </row>
    <row r="7" spans="1:15" x14ac:dyDescent="0.25">
      <c r="A7" s="60" t="s">
        <v>297</v>
      </c>
      <c r="B7" s="67">
        <f t="shared" ref="B7:O7" si="3">B4*B4*B4*B4</f>
        <v>1.0555264175807999</v>
      </c>
      <c r="C7" s="68">
        <f t="shared" si="3"/>
        <v>1.0608845115109999</v>
      </c>
      <c r="D7" s="68">
        <f t="shared" si="3"/>
        <v>1.0163963568148999</v>
      </c>
      <c r="E7" s="68">
        <f t="shared" si="3"/>
        <v>1.0259855680059999</v>
      </c>
      <c r="F7" s="68">
        <f t="shared" si="3"/>
        <v>1.0285126362632999</v>
      </c>
      <c r="G7" s="68">
        <f t="shared" si="3"/>
        <v>1.0221714600572001</v>
      </c>
      <c r="H7" s="68">
        <f t="shared" si="3"/>
        <v>1.0196128224222001</v>
      </c>
      <c r="I7" s="68">
        <f t="shared" si="3"/>
        <v>1.0160735888170001</v>
      </c>
      <c r="J7" s="68">
        <f t="shared" si="3"/>
        <v>1.0360202934761</v>
      </c>
      <c r="K7" s="68">
        <f t="shared" si="3"/>
        <v>1.0205738152835999</v>
      </c>
      <c r="L7" s="68">
        <f t="shared" si="3"/>
        <v>1.0144566643970001</v>
      </c>
      <c r="M7" s="68">
        <f t="shared" si="3"/>
        <v>1.015104052361</v>
      </c>
      <c r="N7" s="68">
        <f t="shared" si="3"/>
        <v>1.0144566643970001</v>
      </c>
      <c r="O7" s="68">
        <f t="shared" si="3"/>
        <v>1.0138084490993999</v>
      </c>
    </row>
    <row r="8" spans="1:15" x14ac:dyDescent="0.25">
      <c r="A8" s="63" t="s">
        <v>298</v>
      </c>
      <c r="B8" s="61">
        <f t="shared" ref="B8:O8" si="4">B4*B4*B4*B4*B4</f>
        <v>1.0698832395622999</v>
      </c>
      <c r="C8" s="62">
        <f t="shared" si="4"/>
        <v>1.0766762573021</v>
      </c>
      <c r="D8" s="62">
        <f t="shared" si="4"/>
        <v>1.0205372813858</v>
      </c>
      <c r="E8" s="62">
        <f t="shared" si="4"/>
        <v>1.0325867900429999</v>
      </c>
      <c r="F8" s="62">
        <f t="shared" si="4"/>
        <v>1.0357669276132999</v>
      </c>
      <c r="G8" s="62">
        <f t="shared" si="4"/>
        <v>1.0277907117944001</v>
      </c>
      <c r="H8" s="62">
        <f t="shared" si="4"/>
        <v>1.0245758393924</v>
      </c>
      <c r="I8" s="62">
        <f t="shared" si="4"/>
        <v>1.0201321937243999</v>
      </c>
      <c r="J8" s="62">
        <f t="shared" si="4"/>
        <v>1.0452262978389</v>
      </c>
      <c r="K8" s="62">
        <f t="shared" si="4"/>
        <v>1.0257830697485999</v>
      </c>
      <c r="L8" s="62">
        <f t="shared" si="4"/>
        <v>1.0181033687059</v>
      </c>
      <c r="M8" s="62">
        <f t="shared" si="4"/>
        <v>1.018915577422</v>
      </c>
      <c r="N8" s="62">
        <f t="shared" si="4"/>
        <v>1.0181033687059</v>
      </c>
      <c r="O8" s="62">
        <f t="shared" si="4"/>
        <v>1.0172902518411</v>
      </c>
    </row>
    <row r="9" spans="1:15" ht="15.75" customHeight="1" x14ac:dyDescent="0.25">
      <c r="A9" s="64" t="s">
        <v>299</v>
      </c>
      <c r="B9" s="65">
        <f t="shared" ref="B9:O9" si="5">B4*B4*B4*B4*B4*B4</f>
        <v>1.0844353369380999</v>
      </c>
      <c r="C9" s="66">
        <f t="shared" si="5"/>
        <v>1.0927030703717999</v>
      </c>
      <c r="D9" s="66">
        <f t="shared" si="5"/>
        <v>1.0246950765959999</v>
      </c>
      <c r="E9" s="66">
        <f t="shared" si="5"/>
        <v>1.0392304845413001</v>
      </c>
      <c r="F9" s="66">
        <f t="shared" si="5"/>
        <v>1.0430723848323999</v>
      </c>
      <c r="G9" s="66">
        <f t="shared" si="5"/>
        <v>1.0334408546211</v>
      </c>
      <c r="H9" s="66">
        <f t="shared" si="5"/>
        <v>1.0295630140987</v>
      </c>
      <c r="I9" s="66">
        <f t="shared" si="5"/>
        <v>1.0242070103255001</v>
      </c>
      <c r="J9" s="66">
        <f t="shared" si="5"/>
        <v>1.0545141061170999</v>
      </c>
      <c r="K9" s="66">
        <f t="shared" si="5"/>
        <v>1.0310189135026</v>
      </c>
      <c r="L9" s="66">
        <f t="shared" si="5"/>
        <v>1.0217631819555999</v>
      </c>
      <c r="M9" s="66">
        <f t="shared" si="5"/>
        <v>1.0227414140436</v>
      </c>
      <c r="N9" s="66">
        <f t="shared" si="5"/>
        <v>1.0217631819555999</v>
      </c>
      <c r="O9" s="66">
        <f t="shared" si="5"/>
        <v>1.020784012414</v>
      </c>
    </row>
    <row r="10" spans="1:15" x14ac:dyDescent="0.25">
      <c r="A10" s="60" t="s">
        <v>300</v>
      </c>
      <c r="B10" s="67">
        <f t="shared" ref="B10:O10" si="6">B4*B4*B4*B4*B4*B4*B4</f>
        <v>1.0991853657612001</v>
      </c>
      <c r="C10" s="68">
        <f t="shared" si="6"/>
        <v>1.1089684498029999</v>
      </c>
      <c r="D10" s="68">
        <f t="shared" si="6"/>
        <v>1.0288698111785</v>
      </c>
      <c r="E10" s="68">
        <f t="shared" si="6"/>
        <v>1.0459169247700999</v>
      </c>
      <c r="F10" s="68">
        <f t="shared" si="6"/>
        <v>1.0504293688032</v>
      </c>
      <c r="G10" s="68">
        <f t="shared" si="6"/>
        <v>1.039122058357</v>
      </c>
      <c r="H10" s="68">
        <f t="shared" si="6"/>
        <v>1.0345744641300001</v>
      </c>
      <c r="I10" s="68">
        <f t="shared" si="6"/>
        <v>1.0282981033764</v>
      </c>
      <c r="J10" s="68">
        <f t="shared" si="6"/>
        <v>1.0638844452145</v>
      </c>
      <c r="K10" s="68">
        <f t="shared" si="6"/>
        <v>1.0362814822636</v>
      </c>
      <c r="L10" s="68">
        <f t="shared" si="6"/>
        <v>1.0254361512692001</v>
      </c>
      <c r="M10" s="68">
        <f t="shared" si="6"/>
        <v>1.0265816159633001</v>
      </c>
      <c r="N10" s="68">
        <f t="shared" si="6"/>
        <v>1.0254361512692001</v>
      </c>
      <c r="O10" s="68">
        <f t="shared" si="6"/>
        <v>1.0242897718857999</v>
      </c>
    </row>
    <row r="11" spans="1:15" x14ac:dyDescent="0.25">
      <c r="A11" s="63" t="s">
        <v>301</v>
      </c>
      <c r="B11" s="61">
        <f t="shared" ref="B11:O11" si="7">B4*B4*B4*B4*B4*B4*B4*B4</f>
        <v>1.1141360182110001</v>
      </c>
      <c r="C11" s="62">
        <f t="shared" si="7"/>
        <v>1.1254759467638999</v>
      </c>
      <c r="D11" s="62">
        <f t="shared" si="7"/>
        <v>1.0330615541465</v>
      </c>
      <c r="E11" s="62">
        <f t="shared" si="7"/>
        <v>1.0526463857566</v>
      </c>
      <c r="F11" s="62">
        <f t="shared" si="7"/>
        <v>1.0578382429533</v>
      </c>
      <c r="G11" s="62">
        <f t="shared" si="7"/>
        <v>1.0448344937553999</v>
      </c>
      <c r="H11" s="62">
        <f t="shared" si="7"/>
        <v>1.0396103076478</v>
      </c>
      <c r="I11" s="62">
        <f t="shared" si="7"/>
        <v>1.0324055378915</v>
      </c>
      <c r="J11" s="62">
        <f t="shared" si="7"/>
        <v>1.0733380484941999</v>
      </c>
      <c r="K11" s="62">
        <f t="shared" si="7"/>
        <v>1.0415709124426</v>
      </c>
      <c r="L11" s="62">
        <f t="shared" si="7"/>
        <v>1.0291223239394001</v>
      </c>
      <c r="M11" s="62">
        <f t="shared" si="7"/>
        <v>1.0304362371197999</v>
      </c>
      <c r="N11" s="62">
        <f t="shared" si="7"/>
        <v>1.0291223239394001</v>
      </c>
      <c r="O11" s="62">
        <f t="shared" si="7"/>
        <v>1.0278075714654</v>
      </c>
    </row>
    <row r="12" spans="1:15" ht="15.75" customHeight="1" x14ac:dyDescent="0.25">
      <c r="A12" s="64" t="s">
        <v>302</v>
      </c>
      <c r="B12" s="65">
        <f t="shared" ref="B12:O12" si="8">B4*B4*B4*B4*B4*B4*B4*B4*B4</f>
        <v>1.1292900230848999</v>
      </c>
      <c r="C12" s="66">
        <f t="shared" si="8"/>
        <v>1.1422291652834</v>
      </c>
      <c r="D12" s="66">
        <f t="shared" si="8"/>
        <v>1.0372703747942</v>
      </c>
      <c r="E12" s="66">
        <f t="shared" si="8"/>
        <v>1.0594191442978</v>
      </c>
      <c r="F12" s="66">
        <f t="shared" si="8"/>
        <v>1.0652993732739</v>
      </c>
      <c r="G12" s="66">
        <f t="shared" si="8"/>
        <v>1.050578332508</v>
      </c>
      <c r="H12" s="66">
        <f t="shared" si="8"/>
        <v>1.0446706633884999</v>
      </c>
      <c r="I12" s="66">
        <f t="shared" si="8"/>
        <v>1.0365293791454</v>
      </c>
      <c r="J12" s="66">
        <f t="shared" si="8"/>
        <v>1.082875655836</v>
      </c>
      <c r="K12" s="66">
        <f t="shared" si="8"/>
        <v>1.0468873411466999</v>
      </c>
      <c r="L12" s="66">
        <f t="shared" si="8"/>
        <v>1.0328217474287</v>
      </c>
      <c r="M12" s="66">
        <f t="shared" si="8"/>
        <v>1.0343053316549</v>
      </c>
      <c r="N12" s="66">
        <f t="shared" si="8"/>
        <v>1.0328217474287</v>
      </c>
      <c r="O12" s="66">
        <f t="shared" si="8"/>
        <v>1.0313374525029999</v>
      </c>
    </row>
    <row r="13" spans="1:15" x14ac:dyDescent="0.25">
      <c r="A13" s="60" t="s">
        <v>303</v>
      </c>
      <c r="B13" s="67">
        <f t="shared" ref="B13:O13" si="9">B4*B4*B4*B4*B4*B4*B4*B4*B4*B4</f>
        <v>1.1446501462962999</v>
      </c>
      <c r="C13" s="68">
        <f t="shared" si="9"/>
        <v>1.159231763038</v>
      </c>
      <c r="D13" s="68">
        <f t="shared" si="9"/>
        <v>1.0414963426982999</v>
      </c>
      <c r="E13" s="68">
        <f t="shared" si="9"/>
        <v>1.0662354789713</v>
      </c>
      <c r="F13" s="68">
        <f t="shared" si="9"/>
        <v>1.0728131283374001</v>
      </c>
      <c r="G13" s="68">
        <f t="shared" si="9"/>
        <v>1.0563537472508</v>
      </c>
      <c r="H13" s="68">
        <f t="shared" si="9"/>
        <v>1.0497556506667001</v>
      </c>
      <c r="I13" s="68">
        <f t="shared" si="9"/>
        <v>1.0406696926729999</v>
      </c>
      <c r="J13" s="68">
        <f t="shared" si="9"/>
        <v>1.0924980136941</v>
      </c>
      <c r="K13" s="68">
        <f t="shared" si="9"/>
        <v>1.0522309061829</v>
      </c>
      <c r="L13" s="68">
        <f t="shared" si="9"/>
        <v>1.0365344693703</v>
      </c>
      <c r="M13" s="68">
        <f t="shared" si="9"/>
        <v>1.0381889539132001</v>
      </c>
      <c r="N13" s="68">
        <f t="shared" si="9"/>
        <v>1.0365344693703</v>
      </c>
      <c r="O13" s="68">
        <f t="shared" si="9"/>
        <v>1.0348794564909001</v>
      </c>
    </row>
    <row r="14" spans="1:15" x14ac:dyDescent="0.25">
      <c r="A14" s="63" t="s">
        <v>304</v>
      </c>
      <c r="B14" s="61">
        <f t="shared" ref="B14:O14" si="10">B4*B4*B4*B4*B4*B4*B4*B4*B4*B4*B4</f>
        <v>1.1602191913791</v>
      </c>
      <c r="C14" s="62">
        <f t="shared" si="10"/>
        <v>1.1764874521504001</v>
      </c>
      <c r="D14" s="62">
        <f t="shared" si="10"/>
        <v>1.0457395277185999</v>
      </c>
      <c r="E14" s="62">
        <f t="shared" si="10"/>
        <v>1.0730956701473999</v>
      </c>
      <c r="F14" s="62">
        <f t="shared" si="10"/>
        <v>1.0803798793160999</v>
      </c>
      <c r="G14" s="62">
        <f t="shared" si="10"/>
        <v>1.0621609115684001</v>
      </c>
      <c r="H14" s="62">
        <f t="shared" si="10"/>
        <v>1.0548653893776001</v>
      </c>
      <c r="I14" s="62">
        <f t="shared" si="10"/>
        <v>1.0448265442714</v>
      </c>
      <c r="J14" s="62">
        <f t="shared" si="10"/>
        <v>1.1022058751557</v>
      </c>
      <c r="K14" s="62">
        <f t="shared" si="10"/>
        <v>1.0576017460614999</v>
      </c>
      <c r="L14" s="62">
        <f t="shared" si="10"/>
        <v>1.0402605375686</v>
      </c>
      <c r="M14" s="62">
        <f t="shared" si="10"/>
        <v>1.0420871584436999</v>
      </c>
      <c r="N14" s="62">
        <f t="shared" si="10"/>
        <v>1.0402605375686</v>
      </c>
      <c r="O14" s="62">
        <f t="shared" si="10"/>
        <v>1.0384336250640001</v>
      </c>
    </row>
    <row r="15" spans="1:15" ht="15.75" customHeight="1" x14ac:dyDescent="0.25">
      <c r="A15" s="69" t="s">
        <v>305</v>
      </c>
      <c r="B15" s="70">
        <f>117.6/100</f>
        <v>1.1759999999999999</v>
      </c>
      <c r="C15" s="71">
        <v>1.194</v>
      </c>
      <c r="D15" s="71">
        <v>1.05</v>
      </c>
      <c r="E15" s="71">
        <f>1.08</f>
        <v>1.08</v>
      </c>
      <c r="F15" s="71">
        <v>1.0880000000000001</v>
      </c>
      <c r="G15" s="71">
        <v>1.0680000000000001</v>
      </c>
      <c r="H15" s="71">
        <v>1.06</v>
      </c>
      <c r="I15" s="71">
        <v>1.0489999999999999</v>
      </c>
      <c r="J15" s="71">
        <v>1.1120000000000001</v>
      </c>
      <c r="K15" s="71">
        <v>1.0629999999999999</v>
      </c>
      <c r="L15" s="71">
        <v>1.044</v>
      </c>
      <c r="M15" s="71">
        <v>1.046</v>
      </c>
      <c r="N15" s="71">
        <v>1.044</v>
      </c>
      <c r="O15" s="71">
        <v>1.042</v>
      </c>
    </row>
    <row r="16" spans="1:15" ht="29.25" customHeight="1" x14ac:dyDescent="0.25">
      <c r="A16" s="184" t="s">
        <v>306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</row>
    <row r="18" spans="13:13" x14ac:dyDescent="0.25">
      <c r="M18" s="72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307</v>
      </c>
      <c r="B2" s="181"/>
      <c r="C2" s="181"/>
      <c r="D2" s="181"/>
      <c r="E2" s="181"/>
      <c r="F2" s="181"/>
    </row>
    <row r="4" spans="1:7" ht="18" customHeight="1" x14ac:dyDescent="0.25">
      <c r="A4" s="20" t="s">
        <v>255</v>
      </c>
    </row>
    <row r="5" spans="1:7" x14ac:dyDescent="0.25">
      <c r="A5" s="21" t="s">
        <v>185</v>
      </c>
      <c r="B5" s="21" t="s">
        <v>256</v>
      </c>
      <c r="C5" s="21" t="s">
        <v>257</v>
      </c>
      <c r="D5" s="21" t="s">
        <v>258</v>
      </c>
      <c r="E5" s="21" t="s">
        <v>259</v>
      </c>
      <c r="F5" s="21" t="s">
        <v>260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261</v>
      </c>
      <c r="B7" s="24" t="s">
        <v>262</v>
      </c>
      <c r="C7" s="23" t="s">
        <v>263</v>
      </c>
      <c r="D7" s="23" t="s">
        <v>264</v>
      </c>
      <c r="E7" s="25">
        <v>43361</v>
      </c>
      <c r="F7" s="24" t="s">
        <v>308</v>
      </c>
    </row>
    <row r="8" spans="1:7" ht="30" customHeight="1" x14ac:dyDescent="0.25">
      <c r="A8" s="22" t="s">
        <v>266</v>
      </c>
      <c r="B8" s="24" t="s">
        <v>267</v>
      </c>
      <c r="C8" s="23" t="s">
        <v>268</v>
      </c>
      <c r="D8" s="23" t="s">
        <v>269</v>
      </c>
      <c r="E8" s="25">
        <f>1973/12</f>
        <v>164.41666666667001</v>
      </c>
      <c r="F8" s="24" t="s">
        <v>270</v>
      </c>
      <c r="G8" s="26"/>
    </row>
    <row r="9" spans="1:7" x14ac:dyDescent="0.25">
      <c r="A9" s="22" t="s">
        <v>271</v>
      </c>
      <c r="B9" s="24" t="s">
        <v>272</v>
      </c>
      <c r="C9" s="23" t="s">
        <v>273</v>
      </c>
      <c r="D9" s="23" t="s">
        <v>264</v>
      </c>
      <c r="E9" s="25">
        <v>1</v>
      </c>
      <c r="F9" s="24"/>
      <c r="G9" s="27"/>
    </row>
    <row r="10" spans="1:7" x14ac:dyDescent="0.25">
      <c r="A10" s="22" t="s">
        <v>274</v>
      </c>
      <c r="B10" s="24" t="s">
        <v>275</v>
      </c>
      <c r="C10" s="23"/>
      <c r="D10" s="23"/>
      <c r="E10" s="28">
        <v>1</v>
      </c>
      <c r="F10" s="24" t="s">
        <v>276</v>
      </c>
      <c r="G10" s="27"/>
    </row>
    <row r="11" spans="1:7" ht="75" customHeight="1" x14ac:dyDescent="0.25">
      <c r="A11" s="22" t="s">
        <v>277</v>
      </c>
      <c r="B11" s="24" t="s">
        <v>278</v>
      </c>
      <c r="C11" s="23" t="s">
        <v>279</v>
      </c>
      <c r="D11" s="23" t="s">
        <v>264</v>
      </c>
      <c r="E11" s="29">
        <v>2.15</v>
      </c>
      <c r="F11" s="24" t="s">
        <v>309</v>
      </c>
    </row>
    <row r="12" spans="1:7" ht="75" customHeight="1" x14ac:dyDescent="0.25">
      <c r="A12" s="22" t="s">
        <v>281</v>
      </c>
      <c r="B12" s="30" t="s">
        <v>282</v>
      </c>
      <c r="C12" s="23" t="s">
        <v>283</v>
      </c>
      <c r="D12" s="23" t="s">
        <v>264</v>
      </c>
      <c r="E12" s="31">
        <v>1.139</v>
      </c>
      <c r="F12" s="32" t="s">
        <v>284</v>
      </c>
      <c r="G12" s="27" t="s">
        <v>285</v>
      </c>
    </row>
    <row r="13" spans="1:7" ht="60" customHeight="1" x14ac:dyDescent="0.25">
      <c r="A13" s="22" t="s">
        <v>286</v>
      </c>
      <c r="B13" s="33" t="s">
        <v>310</v>
      </c>
      <c r="C13" s="23" t="s">
        <v>288</v>
      </c>
      <c r="D13" s="23" t="s">
        <v>289</v>
      </c>
      <c r="E13" s="34">
        <f>((E7*E9/E8)*E11)*E12</f>
        <v>645.82616229093003</v>
      </c>
      <c r="F13" s="24" t="s">
        <v>290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zoomScaleNormal="70" workbookViewId="0">
      <selection activeCell="D31" sqref="D31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C3" s="76"/>
      <c r="D3" s="76"/>
      <c r="E3" s="76"/>
      <c r="F3" s="76"/>
      <c r="G3" s="76"/>
      <c r="H3" s="76"/>
      <c r="I3" s="76"/>
      <c r="J3" s="82" t="s">
        <v>35</v>
      </c>
      <c r="K3" s="76"/>
    </row>
    <row r="4" spans="2:11" ht="15.75" customHeight="1" x14ac:dyDescent="0.25">
      <c r="B4" s="148" t="s">
        <v>36</v>
      </c>
      <c r="C4" s="148"/>
      <c r="D4" s="148"/>
      <c r="E4" s="148"/>
      <c r="F4" s="148"/>
      <c r="G4" s="148"/>
      <c r="H4" s="148"/>
      <c r="I4" s="148"/>
      <c r="J4" s="148"/>
      <c r="K4" s="148"/>
    </row>
    <row r="5" spans="2:11" ht="15.7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2:11" ht="15.75" customHeight="1" x14ac:dyDescent="0.25">
      <c r="B6" s="147" t="str">
        <f>'Прил.1 Сравнит табл'!B6</f>
        <v>Наименование разрабатываемого показателя УНЦ - Однополюсный разъединитель без устройства фундамента напряжение 220(150) кВ</v>
      </c>
      <c r="C6" s="147"/>
      <c r="D6" s="147"/>
      <c r="E6" s="147"/>
      <c r="F6" s="147"/>
      <c r="G6" s="147"/>
      <c r="H6" s="147"/>
      <c r="I6" s="147"/>
      <c r="J6" s="147"/>
      <c r="K6" s="76"/>
    </row>
    <row r="7" spans="2:11" ht="15.75" customHeight="1" x14ac:dyDescent="0.25">
      <c r="B7" s="76" t="str">
        <f>'Прил.1 Сравнит табл'!B8</f>
        <v>Единица измерения  — 1 ед.</v>
      </c>
      <c r="C7" s="76"/>
      <c r="D7" s="76"/>
      <c r="E7" s="76"/>
      <c r="F7" s="76"/>
      <c r="G7" s="76"/>
      <c r="H7" s="76"/>
      <c r="I7" s="76"/>
      <c r="J7" s="76"/>
      <c r="K7" s="76"/>
    </row>
    <row r="8" spans="2:11" ht="18.75" customHeight="1" x14ac:dyDescent="0.25">
      <c r="B8" s="36"/>
    </row>
    <row r="9" spans="2:11" ht="15.75" customHeight="1" x14ac:dyDescent="0.25">
      <c r="B9" s="151" t="s">
        <v>6</v>
      </c>
      <c r="C9" s="151" t="s">
        <v>37</v>
      </c>
      <c r="D9" s="151" t="s">
        <v>38</v>
      </c>
      <c r="E9" s="151"/>
      <c r="F9" s="151"/>
      <c r="G9" s="151"/>
      <c r="H9" s="151"/>
      <c r="I9" s="151"/>
      <c r="J9" s="151"/>
    </row>
    <row r="10" spans="2:11" ht="15.75" customHeight="1" x14ac:dyDescent="0.25">
      <c r="B10" s="151"/>
      <c r="C10" s="151"/>
      <c r="D10" s="151" t="s">
        <v>39</v>
      </c>
      <c r="E10" s="151" t="s">
        <v>40</v>
      </c>
      <c r="F10" s="151" t="s">
        <v>41</v>
      </c>
      <c r="G10" s="151"/>
      <c r="H10" s="151"/>
      <c r="I10" s="151"/>
      <c r="J10" s="151"/>
    </row>
    <row r="11" spans="2:11" ht="31.5" customHeight="1" x14ac:dyDescent="0.25">
      <c r="B11" s="151"/>
      <c r="C11" s="151"/>
      <c r="D11" s="151"/>
      <c r="E11" s="151"/>
      <c r="F11" s="135" t="s">
        <v>42</v>
      </c>
      <c r="G11" s="135" t="s">
        <v>43</v>
      </c>
      <c r="H11" s="135" t="s">
        <v>44</v>
      </c>
      <c r="I11" s="135" t="s">
        <v>45</v>
      </c>
      <c r="J11" s="135" t="s">
        <v>46</v>
      </c>
    </row>
    <row r="12" spans="2:11" ht="163.15" customHeight="1" x14ac:dyDescent="0.25">
      <c r="B12" s="136">
        <v>1</v>
      </c>
      <c r="C12" s="120" t="s">
        <v>17</v>
      </c>
      <c r="D12" s="137" t="s">
        <v>47</v>
      </c>
      <c r="E12" s="136" t="s">
        <v>48</v>
      </c>
      <c r="F12" s="138"/>
      <c r="G12" s="139">
        <f>3823.92*6.37/1000</f>
        <v>24.358370399999998</v>
      </c>
      <c r="H12" s="139">
        <f>794650.89*4.18/1000</f>
        <v>3321.6407202</v>
      </c>
      <c r="I12" s="139"/>
      <c r="J12" s="139">
        <f>SUM(F12:I12)</f>
        <v>3345.9990905999998</v>
      </c>
    </row>
    <row r="13" spans="2:11" ht="15" customHeight="1" x14ac:dyDescent="0.25">
      <c r="B13" s="149" t="s">
        <v>49</v>
      </c>
      <c r="C13" s="149"/>
      <c r="D13" s="149"/>
      <c r="E13" s="149"/>
      <c r="F13" s="140"/>
      <c r="G13" s="140">
        <f>SUM(G12)</f>
        <v>24.358370399999998</v>
      </c>
      <c r="H13" s="140">
        <f>SUM(H12)</f>
        <v>3321.6407202</v>
      </c>
      <c r="I13" s="140"/>
      <c r="J13" s="140">
        <f>SUM(J12)</f>
        <v>3345.9990905999998</v>
      </c>
    </row>
    <row r="14" spans="2:11" ht="15.75" customHeight="1" x14ac:dyDescent="0.25">
      <c r="B14" s="150" t="s">
        <v>50</v>
      </c>
      <c r="C14" s="150"/>
      <c r="D14" s="150"/>
      <c r="E14" s="150"/>
      <c r="F14" s="141"/>
      <c r="G14" s="141">
        <f>G13</f>
        <v>24.358370399999998</v>
      </c>
      <c r="H14" s="141">
        <f>H13</f>
        <v>3321.6407202</v>
      </c>
      <c r="I14" s="141"/>
      <c r="J14" s="141">
        <f>J13</f>
        <v>3345.9990905999998</v>
      </c>
    </row>
    <row r="18" spans="2:3" x14ac:dyDescent="0.25">
      <c r="B18" s="122" t="s">
        <v>311</v>
      </c>
      <c r="C18" s="127"/>
    </row>
    <row r="19" spans="2:3" x14ac:dyDescent="0.25">
      <c r="B19" s="119" t="s">
        <v>33</v>
      </c>
      <c r="C19" s="127"/>
    </row>
    <row r="20" spans="2:3" x14ac:dyDescent="0.25">
      <c r="B20" s="122"/>
      <c r="C20" s="127"/>
    </row>
    <row r="21" spans="2:3" x14ac:dyDescent="0.25">
      <c r="B21" s="122" t="s">
        <v>312</v>
      </c>
      <c r="C21" s="127"/>
    </row>
    <row r="22" spans="2:3" x14ac:dyDescent="0.25">
      <c r="B22" s="119" t="s">
        <v>34</v>
      </c>
      <c r="C22" s="127"/>
    </row>
  </sheetData>
  <mergeCells count="10">
    <mergeCell ref="B4:K4"/>
    <mergeCell ref="B6:J6"/>
    <mergeCell ref="B13:E13"/>
    <mergeCell ref="B14:E14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view="pageBreakPreview" topLeftCell="A33" zoomScaleSheetLayoutView="100" workbookViewId="0">
      <selection activeCell="C13" sqref="C1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1" spans="1:12" ht="15.75" customHeight="1" x14ac:dyDescent="0.25">
      <c r="A1" s="144" t="s">
        <v>51</v>
      </c>
      <c r="B1" s="144"/>
      <c r="C1" s="144"/>
      <c r="D1" s="144"/>
      <c r="E1" s="144"/>
      <c r="F1" s="144"/>
      <c r="G1" s="144"/>
      <c r="H1" s="144"/>
    </row>
    <row r="2" spans="1:12" ht="18.75" customHeight="1" x14ac:dyDescent="0.25">
      <c r="A2" s="145" t="s">
        <v>52</v>
      </c>
      <c r="B2" s="145"/>
      <c r="C2" s="145"/>
      <c r="D2" s="145"/>
      <c r="E2" s="145"/>
      <c r="F2" s="145"/>
      <c r="G2" s="145"/>
      <c r="H2" s="145"/>
    </row>
    <row r="3" spans="1:12" x14ac:dyDescent="0.25">
      <c r="B3" s="79"/>
    </row>
    <row r="4" spans="1:12" ht="18.75" customHeight="1" x14ac:dyDescent="0.25">
      <c r="A4" s="80"/>
      <c r="B4" s="80"/>
      <c r="C4" s="155"/>
      <c r="D4" s="155"/>
      <c r="E4" s="155"/>
      <c r="F4" s="155"/>
      <c r="G4" s="155"/>
      <c r="H4" s="155"/>
    </row>
    <row r="5" spans="1:12" ht="18.75" customHeight="1" x14ac:dyDescent="0.25">
      <c r="A5" s="36"/>
    </row>
    <row r="6" spans="1:12" ht="15.75" customHeight="1" x14ac:dyDescent="0.25">
      <c r="A6" s="147" t="s">
        <v>3</v>
      </c>
      <c r="B6" s="147"/>
      <c r="C6" s="147"/>
      <c r="D6" s="147"/>
      <c r="E6" s="147"/>
      <c r="F6" s="147"/>
      <c r="G6" s="147"/>
      <c r="H6" s="147"/>
    </row>
    <row r="7" spans="1:12" ht="15.75" customHeight="1" x14ac:dyDescent="0.25">
      <c r="A7" s="142"/>
      <c r="B7" s="142"/>
      <c r="C7" s="142"/>
      <c r="D7" s="142"/>
      <c r="E7" s="142"/>
      <c r="F7" s="142"/>
      <c r="G7" s="142"/>
      <c r="H7" s="142"/>
    </row>
    <row r="8" spans="1:12" ht="15.75" customHeight="1" x14ac:dyDescent="0.25">
      <c r="A8" s="40"/>
      <c r="B8" s="40"/>
      <c r="C8" s="40"/>
      <c r="D8" s="40"/>
      <c r="E8" s="40"/>
      <c r="F8" s="40"/>
      <c r="G8" s="40"/>
      <c r="H8" s="52"/>
    </row>
    <row r="9" spans="1:12" ht="38.25" customHeight="1" x14ac:dyDescent="0.25">
      <c r="A9" s="156" t="s">
        <v>53</v>
      </c>
      <c r="B9" s="156" t="s">
        <v>54</v>
      </c>
      <c r="C9" s="156" t="s">
        <v>55</v>
      </c>
      <c r="D9" s="156" t="s">
        <v>56</v>
      </c>
      <c r="E9" s="156" t="s">
        <v>57</v>
      </c>
      <c r="F9" s="156" t="s">
        <v>58</v>
      </c>
      <c r="G9" s="156" t="s">
        <v>59</v>
      </c>
      <c r="H9" s="156"/>
    </row>
    <row r="10" spans="1:12" ht="40.5" customHeight="1" x14ac:dyDescent="0.25">
      <c r="A10" s="156"/>
      <c r="B10" s="156"/>
      <c r="C10" s="156"/>
      <c r="D10" s="156"/>
      <c r="E10" s="156"/>
      <c r="F10" s="156"/>
      <c r="G10" s="37" t="s">
        <v>60</v>
      </c>
      <c r="H10" s="37" t="s">
        <v>61</v>
      </c>
    </row>
    <row r="11" spans="1:12" ht="15.75" customHeight="1" x14ac:dyDescent="0.25">
      <c r="A11" s="37">
        <v>1</v>
      </c>
      <c r="B11" s="43"/>
      <c r="C11" s="37">
        <v>2</v>
      </c>
      <c r="D11" s="37" t="s">
        <v>62</v>
      </c>
      <c r="E11" s="37">
        <v>4</v>
      </c>
      <c r="F11" s="37">
        <v>5</v>
      </c>
      <c r="G11" s="43">
        <v>6</v>
      </c>
      <c r="H11" s="43">
        <v>7</v>
      </c>
    </row>
    <row r="12" spans="1:12" ht="15" customHeight="1" x14ac:dyDescent="0.25">
      <c r="A12" s="153" t="s">
        <v>63</v>
      </c>
      <c r="B12" s="154"/>
      <c r="C12" s="154"/>
      <c r="D12" s="154"/>
      <c r="E12" s="154"/>
      <c r="F12" s="44">
        <f>SUM(F13:F14)</f>
        <v>214.68864369427999</v>
      </c>
      <c r="G12" s="45"/>
      <c r="H12" s="44">
        <f>SUM(H13:H14)</f>
        <v>2064.44</v>
      </c>
      <c r="J12" s="55"/>
      <c r="K12" s="18"/>
    </row>
    <row r="13" spans="1:12" x14ac:dyDescent="0.25">
      <c r="A13" s="49">
        <v>1</v>
      </c>
      <c r="B13" s="21"/>
      <c r="C13" s="49" t="s">
        <v>64</v>
      </c>
      <c r="D13" s="112" t="s">
        <v>65</v>
      </c>
      <c r="E13" s="110" t="s">
        <v>66</v>
      </c>
      <c r="F13" s="129">
        <v>210.75144216856</v>
      </c>
      <c r="G13" s="14">
        <v>9.6199999999999992</v>
      </c>
      <c r="H13" s="14">
        <f>ROUND(F13*G13,2)</f>
        <v>2027.43</v>
      </c>
    </row>
    <row r="14" spans="1:12" x14ac:dyDescent="0.25">
      <c r="A14" s="130">
        <f>A13+1</f>
        <v>2</v>
      </c>
      <c r="B14" s="21"/>
      <c r="C14" s="49" t="s">
        <v>67</v>
      </c>
      <c r="D14" s="112" t="s">
        <v>68</v>
      </c>
      <c r="E14" s="110" t="s">
        <v>66</v>
      </c>
      <c r="F14" s="129">
        <v>3.9372015257219002</v>
      </c>
      <c r="G14" s="14">
        <v>9.4</v>
      </c>
      <c r="H14" s="14">
        <f>ROUND(F14*G14,2)</f>
        <v>37.01</v>
      </c>
    </row>
    <row r="15" spans="1:12" ht="15" customHeight="1" x14ac:dyDescent="0.25">
      <c r="A15" s="152" t="s">
        <v>69</v>
      </c>
      <c r="B15" s="152"/>
      <c r="C15" s="152"/>
      <c r="D15" s="152"/>
      <c r="E15" s="152"/>
      <c r="F15" s="45"/>
      <c r="G15" s="45"/>
      <c r="H15" s="44">
        <f>H16</f>
        <v>513.63120000000004</v>
      </c>
    </row>
    <row r="16" spans="1:12" x14ac:dyDescent="0.25">
      <c r="A16" s="130">
        <f>A14+1</f>
        <v>3</v>
      </c>
      <c r="B16" s="21"/>
      <c r="C16" s="49">
        <v>2</v>
      </c>
      <c r="D16" s="112" t="s">
        <v>69</v>
      </c>
      <c r="E16" s="110" t="s">
        <v>66</v>
      </c>
      <c r="F16" s="110">
        <f>'Прил.5 Расчет СМР и ОБ'!E16</f>
        <v>44.37</v>
      </c>
      <c r="G16" s="14"/>
      <c r="H16" s="131">
        <f>'Прил.5 Расчет СМР и ОБ'!G16</f>
        <v>513.63120000000004</v>
      </c>
      <c r="L16" s="42"/>
    </row>
    <row r="17" spans="1:11" ht="15" customHeight="1" x14ac:dyDescent="0.25">
      <c r="A17" s="152" t="s">
        <v>70</v>
      </c>
      <c r="B17" s="152"/>
      <c r="C17" s="152"/>
      <c r="D17" s="152"/>
      <c r="E17" s="152"/>
      <c r="F17" s="45"/>
      <c r="G17" s="45"/>
      <c r="H17" s="44">
        <f>SUM(H18:H24)</f>
        <v>3746.53</v>
      </c>
      <c r="K17" s="18"/>
    </row>
    <row r="18" spans="1:11" ht="25.5" customHeight="1" x14ac:dyDescent="0.25">
      <c r="A18" s="49">
        <f>A16+1</f>
        <v>4</v>
      </c>
      <c r="B18" s="21"/>
      <c r="C18" s="49" t="s">
        <v>71</v>
      </c>
      <c r="D18" s="112" t="s">
        <v>72</v>
      </c>
      <c r="E18" s="110" t="s">
        <v>73</v>
      </c>
      <c r="F18" s="110">
        <v>16.28</v>
      </c>
      <c r="G18" s="114">
        <v>115.4</v>
      </c>
      <c r="H18" s="14">
        <f t="shared" ref="H18:H24" si="0">ROUND(F18*G18,2)</f>
        <v>1878.71</v>
      </c>
    </row>
    <row r="19" spans="1:11" x14ac:dyDescent="0.25">
      <c r="A19" s="49">
        <f t="shared" ref="A19:A24" si="1">A18+1</f>
        <v>5</v>
      </c>
      <c r="B19" s="21"/>
      <c r="C19" s="49" t="s">
        <v>74</v>
      </c>
      <c r="D19" s="112" t="s">
        <v>75</v>
      </c>
      <c r="E19" s="110" t="s">
        <v>73</v>
      </c>
      <c r="F19" s="113">
        <v>3.2</v>
      </c>
      <c r="G19" s="114">
        <v>287.99</v>
      </c>
      <c r="H19" s="14">
        <f t="shared" si="0"/>
        <v>921.57</v>
      </c>
    </row>
    <row r="20" spans="1:11" x14ac:dyDescent="0.25">
      <c r="A20" s="49">
        <f t="shared" si="1"/>
        <v>6</v>
      </c>
      <c r="B20" s="21"/>
      <c r="C20" s="49" t="s">
        <v>76</v>
      </c>
      <c r="D20" s="112" t="s">
        <v>77</v>
      </c>
      <c r="E20" s="110" t="s">
        <v>73</v>
      </c>
      <c r="F20" s="110">
        <v>20.69</v>
      </c>
      <c r="G20" s="114">
        <v>29.6</v>
      </c>
      <c r="H20" s="14">
        <f t="shared" si="0"/>
        <v>612.41999999999996</v>
      </c>
    </row>
    <row r="21" spans="1:11" x14ac:dyDescent="0.25">
      <c r="A21" s="49">
        <f t="shared" si="1"/>
        <v>7</v>
      </c>
      <c r="B21" s="21"/>
      <c r="C21" s="49" t="s">
        <v>78</v>
      </c>
      <c r="D21" s="112" t="s">
        <v>79</v>
      </c>
      <c r="E21" s="110" t="s">
        <v>73</v>
      </c>
      <c r="F21" s="110">
        <v>3.02</v>
      </c>
      <c r="G21" s="114">
        <v>65.709999999999994</v>
      </c>
      <c r="H21" s="14">
        <f t="shared" si="0"/>
        <v>198.44</v>
      </c>
    </row>
    <row r="22" spans="1:11" ht="25.5" customHeight="1" x14ac:dyDescent="0.25">
      <c r="A22" s="49">
        <f t="shared" si="1"/>
        <v>8</v>
      </c>
      <c r="B22" s="21"/>
      <c r="C22" s="49" t="s">
        <v>80</v>
      </c>
      <c r="D22" s="112" t="s">
        <v>81</v>
      </c>
      <c r="E22" s="110" t="s">
        <v>73</v>
      </c>
      <c r="F22" s="110">
        <v>10.98</v>
      </c>
      <c r="G22" s="114">
        <v>8.1</v>
      </c>
      <c r="H22" s="14">
        <f t="shared" si="0"/>
        <v>88.94</v>
      </c>
    </row>
    <row r="23" spans="1:11" ht="25.5" customHeight="1" x14ac:dyDescent="0.25">
      <c r="A23" s="49">
        <f t="shared" si="1"/>
        <v>9</v>
      </c>
      <c r="B23" s="21"/>
      <c r="C23" s="49" t="s">
        <v>82</v>
      </c>
      <c r="D23" s="112" t="s">
        <v>83</v>
      </c>
      <c r="E23" s="110" t="s">
        <v>73</v>
      </c>
      <c r="F23" s="110">
        <v>0.3</v>
      </c>
      <c r="G23" s="114">
        <v>131.44</v>
      </c>
      <c r="H23" s="14">
        <f t="shared" si="0"/>
        <v>39.43</v>
      </c>
    </row>
    <row r="24" spans="1:11" x14ac:dyDescent="0.25">
      <c r="A24" s="49">
        <f t="shared" si="1"/>
        <v>10</v>
      </c>
      <c r="B24" s="21"/>
      <c r="C24" s="49" t="s">
        <v>84</v>
      </c>
      <c r="D24" s="112" t="s">
        <v>85</v>
      </c>
      <c r="E24" s="110" t="s">
        <v>73</v>
      </c>
      <c r="F24" s="110">
        <v>7.8</v>
      </c>
      <c r="G24" s="114">
        <v>0.9</v>
      </c>
      <c r="H24" s="14">
        <f t="shared" si="0"/>
        <v>7.02</v>
      </c>
    </row>
    <row r="25" spans="1:11" ht="15" customHeight="1" x14ac:dyDescent="0.25">
      <c r="A25" s="152" t="s">
        <v>44</v>
      </c>
      <c r="B25" s="152"/>
      <c r="C25" s="152"/>
      <c r="D25" s="152"/>
      <c r="E25" s="152"/>
      <c r="F25" s="45"/>
      <c r="G25" s="45"/>
      <c r="H25" s="44">
        <f>SUM(H26:H27)</f>
        <v>1729696.47</v>
      </c>
    </row>
    <row r="26" spans="1:11" ht="63.75" customHeight="1" x14ac:dyDescent="0.25">
      <c r="A26" s="130">
        <f>A24+1</f>
        <v>11</v>
      </c>
      <c r="B26" s="109"/>
      <c r="C26" s="49" t="s">
        <v>86</v>
      </c>
      <c r="D26" s="134" t="s">
        <v>87</v>
      </c>
      <c r="E26" s="110" t="s">
        <v>88</v>
      </c>
      <c r="F26" s="110">
        <v>3</v>
      </c>
      <c r="G26" s="14">
        <v>518146.96</v>
      </c>
      <c r="H26" s="14">
        <f>ROUND(F26*G26,2)</f>
        <v>1554440.88</v>
      </c>
    </row>
    <row r="27" spans="1:11" x14ac:dyDescent="0.25">
      <c r="A27" s="130">
        <f>A26+1</f>
        <v>12</v>
      </c>
      <c r="B27" s="109"/>
      <c r="C27" s="49" t="s">
        <v>86</v>
      </c>
      <c r="D27" s="112" t="s">
        <v>89</v>
      </c>
      <c r="E27" s="110" t="s">
        <v>90</v>
      </c>
      <c r="F27" s="110">
        <v>3</v>
      </c>
      <c r="G27" s="14">
        <v>58418.53</v>
      </c>
      <c r="H27" s="14">
        <f>ROUND(F27*G27,2)</f>
        <v>175255.59</v>
      </c>
    </row>
    <row r="28" spans="1:11" ht="15" customHeight="1" x14ac:dyDescent="0.25">
      <c r="A28" s="152" t="s">
        <v>91</v>
      </c>
      <c r="B28" s="152"/>
      <c r="C28" s="152"/>
      <c r="D28" s="152"/>
      <c r="E28" s="152"/>
      <c r="F28" s="45"/>
      <c r="G28" s="45"/>
      <c r="H28" s="44">
        <f>SUM(H29:H49)</f>
        <v>12347.46</v>
      </c>
      <c r="K28" s="18"/>
    </row>
    <row r="29" spans="1:11" ht="25.5" customHeight="1" x14ac:dyDescent="0.25">
      <c r="A29" s="130">
        <f>A27+1</f>
        <v>13</v>
      </c>
      <c r="B29" s="21"/>
      <c r="C29" s="49" t="s">
        <v>92</v>
      </c>
      <c r="D29" s="112" t="s">
        <v>93</v>
      </c>
      <c r="E29" s="110" t="s">
        <v>94</v>
      </c>
      <c r="F29" s="110">
        <v>0.17</v>
      </c>
      <c r="G29" s="14">
        <v>34240.97</v>
      </c>
      <c r="H29" s="14">
        <f t="shared" ref="H29:H49" si="2">ROUND(F29*G29,2)</f>
        <v>5820.96</v>
      </c>
    </row>
    <row r="30" spans="1:11" ht="25.5" customHeight="1" x14ac:dyDescent="0.25">
      <c r="A30" s="130">
        <f t="shared" ref="A30:A49" si="3">A29+1</f>
        <v>14</v>
      </c>
      <c r="B30" s="21"/>
      <c r="C30" s="49" t="s">
        <v>95</v>
      </c>
      <c r="D30" s="112" t="s">
        <v>96</v>
      </c>
      <c r="E30" s="110" t="s">
        <v>97</v>
      </c>
      <c r="F30" s="110">
        <v>1.8700000000000001E-2</v>
      </c>
      <c r="G30" s="14">
        <v>98440.41</v>
      </c>
      <c r="H30" s="14">
        <f t="shared" si="2"/>
        <v>1840.84</v>
      </c>
    </row>
    <row r="31" spans="1:11" x14ac:dyDescent="0.25">
      <c r="A31" s="130">
        <f t="shared" si="3"/>
        <v>15</v>
      </c>
      <c r="B31" s="21"/>
      <c r="C31" s="49" t="s">
        <v>98</v>
      </c>
      <c r="D31" s="112" t="s">
        <v>99</v>
      </c>
      <c r="E31" s="110" t="s">
        <v>97</v>
      </c>
      <c r="F31" s="110">
        <v>3.0599999999999999E-2</v>
      </c>
      <c r="G31" s="14">
        <v>38348.22</v>
      </c>
      <c r="H31" s="14">
        <f t="shared" si="2"/>
        <v>1173.46</v>
      </c>
    </row>
    <row r="32" spans="1:11" ht="25.5" customHeight="1" x14ac:dyDescent="0.25">
      <c r="A32" s="130">
        <f t="shared" si="3"/>
        <v>16</v>
      </c>
      <c r="B32" s="21"/>
      <c r="C32" s="49" t="s">
        <v>100</v>
      </c>
      <c r="D32" s="112" t="s">
        <v>101</v>
      </c>
      <c r="E32" s="110" t="s">
        <v>102</v>
      </c>
      <c r="F32" s="110">
        <v>0.54400000000000004</v>
      </c>
      <c r="G32" s="14">
        <v>1837.28</v>
      </c>
      <c r="H32" s="14">
        <f t="shared" si="2"/>
        <v>999.48</v>
      </c>
    </row>
    <row r="33" spans="1:8" x14ac:dyDescent="0.25">
      <c r="A33" s="130">
        <f t="shared" si="3"/>
        <v>17</v>
      </c>
      <c r="B33" s="21"/>
      <c r="C33" s="49" t="s">
        <v>103</v>
      </c>
      <c r="D33" s="112" t="s">
        <v>104</v>
      </c>
      <c r="E33" s="110" t="s">
        <v>105</v>
      </c>
      <c r="F33" s="110">
        <v>66.078999999999994</v>
      </c>
      <c r="G33" s="14">
        <v>9.0399999999999991</v>
      </c>
      <c r="H33" s="14">
        <f t="shared" si="2"/>
        <v>597.35</v>
      </c>
    </row>
    <row r="34" spans="1:8" ht="25.5" customHeight="1" x14ac:dyDescent="0.25">
      <c r="A34" s="130">
        <f t="shared" si="3"/>
        <v>18</v>
      </c>
      <c r="B34" s="21"/>
      <c r="C34" s="49" t="s">
        <v>106</v>
      </c>
      <c r="D34" s="112" t="s">
        <v>107</v>
      </c>
      <c r="E34" s="110" t="s">
        <v>94</v>
      </c>
      <c r="F34" s="110">
        <v>6.6299999999999998E-2</v>
      </c>
      <c r="G34" s="14">
        <v>5000</v>
      </c>
      <c r="H34" s="14">
        <f t="shared" si="2"/>
        <v>331.5</v>
      </c>
    </row>
    <row r="35" spans="1:8" x14ac:dyDescent="0.25">
      <c r="A35" s="130">
        <f t="shared" si="3"/>
        <v>19</v>
      </c>
      <c r="B35" s="21"/>
      <c r="C35" s="49" t="s">
        <v>108</v>
      </c>
      <c r="D35" s="112" t="s">
        <v>109</v>
      </c>
      <c r="E35" s="110" t="s">
        <v>105</v>
      </c>
      <c r="F35" s="110">
        <v>9.9960000000000004</v>
      </c>
      <c r="G35" s="14">
        <v>28.6</v>
      </c>
      <c r="H35" s="14">
        <f t="shared" si="2"/>
        <v>285.89</v>
      </c>
    </row>
    <row r="36" spans="1:8" x14ac:dyDescent="0.25">
      <c r="A36" s="130">
        <f t="shared" si="3"/>
        <v>20</v>
      </c>
      <c r="B36" s="21"/>
      <c r="C36" s="49" t="s">
        <v>110</v>
      </c>
      <c r="D36" s="112" t="s">
        <v>111</v>
      </c>
      <c r="E36" s="110" t="s">
        <v>105</v>
      </c>
      <c r="F36" s="110">
        <v>24.99</v>
      </c>
      <c r="G36" s="14">
        <v>10.57</v>
      </c>
      <c r="H36" s="14">
        <f t="shared" si="2"/>
        <v>264.14</v>
      </c>
    </row>
    <row r="37" spans="1:8" x14ac:dyDescent="0.25">
      <c r="A37" s="130">
        <f t="shared" si="3"/>
        <v>21</v>
      </c>
      <c r="B37" s="21"/>
      <c r="C37" s="49" t="s">
        <v>112</v>
      </c>
      <c r="D37" s="112" t="s">
        <v>113</v>
      </c>
      <c r="E37" s="110" t="s">
        <v>114</v>
      </c>
      <c r="F37" s="110">
        <v>3.4000000000000002E-2</v>
      </c>
      <c r="G37" s="14">
        <v>6505</v>
      </c>
      <c r="H37" s="14">
        <f t="shared" si="2"/>
        <v>221.17</v>
      </c>
    </row>
    <row r="38" spans="1:8" ht="25.5" customHeight="1" x14ac:dyDescent="0.25">
      <c r="A38" s="130">
        <f t="shared" si="3"/>
        <v>22</v>
      </c>
      <c r="B38" s="21"/>
      <c r="C38" s="49" t="s">
        <v>115</v>
      </c>
      <c r="D38" s="112" t="s">
        <v>116</v>
      </c>
      <c r="E38" s="110" t="s">
        <v>94</v>
      </c>
      <c r="F38" s="110">
        <v>1.1016E-2</v>
      </c>
      <c r="G38" s="14">
        <v>17500</v>
      </c>
      <c r="H38" s="14">
        <f t="shared" si="2"/>
        <v>192.78</v>
      </c>
    </row>
    <row r="39" spans="1:8" x14ac:dyDescent="0.25">
      <c r="A39" s="130">
        <f t="shared" si="3"/>
        <v>23</v>
      </c>
      <c r="B39" s="21"/>
      <c r="C39" s="49" t="s">
        <v>117</v>
      </c>
      <c r="D39" s="112" t="s">
        <v>118</v>
      </c>
      <c r="E39" s="110" t="s">
        <v>119</v>
      </c>
      <c r="F39" s="110">
        <v>0.61199999999999999</v>
      </c>
      <c r="G39" s="14">
        <v>254</v>
      </c>
      <c r="H39" s="14">
        <f t="shared" si="2"/>
        <v>155.44999999999999</v>
      </c>
    </row>
    <row r="40" spans="1:8" ht="25.5" customHeight="1" x14ac:dyDescent="0.25">
      <c r="A40" s="130">
        <f t="shared" si="3"/>
        <v>24</v>
      </c>
      <c r="B40" s="21"/>
      <c r="C40" s="49" t="s">
        <v>120</v>
      </c>
      <c r="D40" s="112" t="s">
        <v>121</v>
      </c>
      <c r="E40" s="110" t="s">
        <v>94</v>
      </c>
      <c r="F40" s="110">
        <v>2.0400000000000001E-2</v>
      </c>
      <c r="G40" s="14">
        <v>7418.82</v>
      </c>
      <c r="H40" s="14">
        <f t="shared" si="2"/>
        <v>151.34</v>
      </c>
    </row>
    <row r="41" spans="1:8" ht="25.5" customHeight="1" x14ac:dyDescent="0.25">
      <c r="A41" s="130">
        <f t="shared" si="3"/>
        <v>25</v>
      </c>
      <c r="B41" s="21"/>
      <c r="C41" s="49" t="s">
        <v>122</v>
      </c>
      <c r="D41" s="112" t="s">
        <v>123</v>
      </c>
      <c r="E41" s="110" t="s">
        <v>119</v>
      </c>
      <c r="F41" s="110">
        <v>3.4680000000000002E-2</v>
      </c>
      <c r="G41" s="14">
        <v>3986</v>
      </c>
      <c r="H41" s="14">
        <f t="shared" si="2"/>
        <v>138.22999999999999</v>
      </c>
    </row>
    <row r="42" spans="1:8" ht="25.5" customHeight="1" x14ac:dyDescent="0.25">
      <c r="A42" s="130">
        <f t="shared" si="3"/>
        <v>26</v>
      </c>
      <c r="B42" s="21"/>
      <c r="C42" s="49" t="s">
        <v>124</v>
      </c>
      <c r="D42" s="112" t="s">
        <v>125</v>
      </c>
      <c r="E42" s="110" t="s">
        <v>126</v>
      </c>
      <c r="F42" s="110">
        <v>68.843199999999996</v>
      </c>
      <c r="G42" s="14">
        <v>1</v>
      </c>
      <c r="H42" s="14">
        <f t="shared" si="2"/>
        <v>68.84</v>
      </c>
    </row>
    <row r="43" spans="1:8" x14ac:dyDescent="0.25">
      <c r="A43" s="130">
        <f t="shared" si="3"/>
        <v>27</v>
      </c>
      <c r="B43" s="21"/>
      <c r="C43" s="49" t="s">
        <v>127</v>
      </c>
      <c r="D43" s="112" t="s">
        <v>128</v>
      </c>
      <c r="E43" s="110" t="s">
        <v>129</v>
      </c>
      <c r="F43" s="110">
        <v>0.71399999999999997</v>
      </c>
      <c r="G43" s="14">
        <v>79.099999999999994</v>
      </c>
      <c r="H43" s="14">
        <f t="shared" si="2"/>
        <v>56.48</v>
      </c>
    </row>
    <row r="44" spans="1:8" x14ac:dyDescent="0.25">
      <c r="A44" s="130">
        <f t="shared" si="3"/>
        <v>28</v>
      </c>
      <c r="B44" s="21"/>
      <c r="C44" s="49" t="s">
        <v>130</v>
      </c>
      <c r="D44" s="112" t="s">
        <v>131</v>
      </c>
      <c r="E44" s="110" t="s">
        <v>119</v>
      </c>
      <c r="F44" s="110">
        <v>0.41615999999999997</v>
      </c>
      <c r="G44" s="14">
        <v>86</v>
      </c>
      <c r="H44" s="14">
        <f t="shared" si="2"/>
        <v>35.79</v>
      </c>
    </row>
    <row r="45" spans="1:8" x14ac:dyDescent="0.25">
      <c r="A45" s="130">
        <f t="shared" si="3"/>
        <v>29</v>
      </c>
      <c r="B45" s="21"/>
      <c r="C45" s="49" t="s">
        <v>132</v>
      </c>
      <c r="D45" s="112" t="s">
        <v>133</v>
      </c>
      <c r="E45" s="110" t="s">
        <v>134</v>
      </c>
      <c r="F45" s="110">
        <v>0.17</v>
      </c>
      <c r="G45" s="14">
        <v>39</v>
      </c>
      <c r="H45" s="14">
        <f t="shared" si="2"/>
        <v>6.63</v>
      </c>
    </row>
    <row r="46" spans="1:8" x14ac:dyDescent="0.25">
      <c r="A46" s="130">
        <f t="shared" si="3"/>
        <v>30</v>
      </c>
      <c r="B46" s="21"/>
      <c r="C46" s="49" t="s">
        <v>135</v>
      </c>
      <c r="D46" s="112" t="s">
        <v>136</v>
      </c>
      <c r="E46" s="110" t="s">
        <v>90</v>
      </c>
      <c r="F46" s="110">
        <v>0.34</v>
      </c>
      <c r="G46" s="14">
        <v>13.55</v>
      </c>
      <c r="H46" s="14">
        <f t="shared" si="2"/>
        <v>4.6100000000000003</v>
      </c>
    </row>
    <row r="47" spans="1:8" x14ac:dyDescent="0.25">
      <c r="A47" s="130">
        <f t="shared" si="3"/>
        <v>31</v>
      </c>
      <c r="B47" s="21"/>
      <c r="C47" s="49" t="s">
        <v>137</v>
      </c>
      <c r="D47" s="112" t="s">
        <v>138</v>
      </c>
      <c r="E47" s="110" t="s">
        <v>105</v>
      </c>
      <c r="F47" s="110">
        <v>2.7199999999999998E-2</v>
      </c>
      <c r="G47" s="14">
        <v>41.7</v>
      </c>
      <c r="H47" s="14">
        <f t="shared" si="2"/>
        <v>1.1299999999999999</v>
      </c>
    </row>
    <row r="48" spans="1:8" ht="38.25" customHeight="1" x14ac:dyDescent="0.25">
      <c r="A48" s="130">
        <f t="shared" si="3"/>
        <v>32</v>
      </c>
      <c r="B48" s="21"/>
      <c r="C48" s="49" t="s">
        <v>139</v>
      </c>
      <c r="D48" s="112" t="s">
        <v>140</v>
      </c>
      <c r="E48" s="110" t="s">
        <v>119</v>
      </c>
      <c r="F48" s="110">
        <v>0.41615999999999997</v>
      </c>
      <c r="G48" s="14">
        <v>2</v>
      </c>
      <c r="H48" s="14">
        <f t="shared" si="2"/>
        <v>0.83</v>
      </c>
    </row>
    <row r="49" spans="1:11" x14ac:dyDescent="0.25">
      <c r="A49" s="130">
        <f t="shared" si="3"/>
        <v>33</v>
      </c>
      <c r="B49" s="21"/>
      <c r="C49" s="49" t="s">
        <v>141</v>
      </c>
      <c r="D49" s="112" t="s">
        <v>142</v>
      </c>
      <c r="E49" s="110" t="s">
        <v>143</v>
      </c>
      <c r="F49" s="110">
        <v>8.1600000000000006E-2</v>
      </c>
      <c r="G49" s="14">
        <v>6.9</v>
      </c>
      <c r="H49" s="14">
        <f t="shared" si="2"/>
        <v>0.56000000000000005</v>
      </c>
    </row>
    <row r="50" spans="1:11" x14ac:dyDescent="0.25">
      <c r="K50" s="78"/>
    </row>
    <row r="52" spans="1:11" x14ac:dyDescent="0.25">
      <c r="B52" s="122" t="s">
        <v>311</v>
      </c>
      <c r="C52" s="127"/>
    </row>
    <row r="53" spans="1:11" x14ac:dyDescent="0.25">
      <c r="B53" s="119" t="s">
        <v>33</v>
      </c>
      <c r="C53" s="127"/>
    </row>
    <row r="54" spans="1:11" x14ac:dyDescent="0.25">
      <c r="B54" s="122"/>
      <c r="C54" s="127"/>
    </row>
    <row r="55" spans="1:11" x14ac:dyDescent="0.25">
      <c r="B55" s="122" t="s">
        <v>312</v>
      </c>
      <c r="C55" s="127"/>
    </row>
    <row r="56" spans="1:11" x14ac:dyDescent="0.25">
      <c r="B56" s="119" t="s">
        <v>34</v>
      </c>
      <c r="C56" s="127"/>
    </row>
  </sheetData>
  <mergeCells count="16">
    <mergeCell ref="A1:H1"/>
    <mergeCell ref="A2:H2"/>
    <mergeCell ref="E9:E10"/>
    <mergeCell ref="F9:F10"/>
    <mergeCell ref="A9:A10"/>
    <mergeCell ref="B9:B10"/>
    <mergeCell ref="C9:C10"/>
    <mergeCell ref="D9:D10"/>
    <mergeCell ref="A6:H6"/>
    <mergeCell ref="A25:E25"/>
    <mergeCell ref="A28:E28"/>
    <mergeCell ref="A12:E12"/>
    <mergeCell ref="C4:H4"/>
    <mergeCell ref="G9:H9"/>
    <mergeCell ref="A15:E15"/>
    <mergeCell ref="A17:E17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9"/>
  <sheetViews>
    <sheetView view="pageBreakPreview" topLeftCell="A34" workbookViewId="0">
      <selection activeCell="D31" sqref="D3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7" x14ac:dyDescent="0.25">
      <c r="B1" s="6"/>
      <c r="C1" s="6"/>
      <c r="D1" s="6"/>
      <c r="E1" s="15" t="s">
        <v>144</v>
      </c>
    </row>
    <row r="2" spans="2:7" x14ac:dyDescent="0.25">
      <c r="B2" s="6"/>
      <c r="C2" s="6"/>
      <c r="D2" s="6"/>
      <c r="E2" s="6"/>
    </row>
    <row r="3" spans="2:7" x14ac:dyDescent="0.25">
      <c r="B3" s="6"/>
      <c r="C3" s="6"/>
      <c r="D3" s="6"/>
      <c r="E3" s="6"/>
    </row>
    <row r="4" spans="2:7" x14ac:dyDescent="0.25">
      <c r="B4" s="157" t="s">
        <v>145</v>
      </c>
      <c r="C4" s="157"/>
      <c r="D4" s="157"/>
      <c r="E4" s="157"/>
    </row>
    <row r="5" spans="2:7" x14ac:dyDescent="0.25">
      <c r="B5" s="16"/>
      <c r="C5" s="6"/>
      <c r="D5" s="6"/>
      <c r="E5" s="6"/>
    </row>
    <row r="6" spans="2:7" ht="31.5" customHeight="1" x14ac:dyDescent="0.25">
      <c r="B6" s="147" t="s">
        <v>3</v>
      </c>
      <c r="C6" s="147"/>
      <c r="D6" s="147"/>
      <c r="E6" s="147"/>
    </row>
    <row r="7" spans="2:7" ht="15.75" customHeight="1" x14ac:dyDescent="0.25">
      <c r="B7" s="83" t="str">
        <f>'Прил.1 Сравнит табл'!B8</f>
        <v>Единица измерения  — 1 ед.</v>
      </c>
      <c r="C7" s="83"/>
      <c r="D7" s="83"/>
      <c r="E7" s="83"/>
    </row>
    <row r="8" spans="2:7" x14ac:dyDescent="0.25">
      <c r="B8" s="16"/>
      <c r="C8" s="6"/>
      <c r="D8" s="6"/>
      <c r="E8" s="6"/>
    </row>
    <row r="9" spans="2:7" ht="51" customHeight="1" x14ac:dyDescent="0.25">
      <c r="B9" s="2" t="s">
        <v>146</v>
      </c>
      <c r="C9" s="2" t="s">
        <v>147</v>
      </c>
      <c r="D9" s="2" t="s">
        <v>148</v>
      </c>
      <c r="E9" s="2" t="s">
        <v>149</v>
      </c>
    </row>
    <row r="10" spans="2:7" x14ac:dyDescent="0.25">
      <c r="B10" s="7" t="s">
        <v>150</v>
      </c>
      <c r="C10" s="90">
        <f>'Прил.5 Расчет СМР и ОБ'!J14</f>
        <v>95367.41</v>
      </c>
      <c r="D10" s="91">
        <f t="shared" ref="D10:D17" si="0">C10/$C$23</f>
        <v>0.22904184393755</v>
      </c>
      <c r="E10" s="91">
        <f t="shared" ref="E10:E17" si="1">C10/$C$39</f>
        <v>8.3004567887093993E-3</v>
      </c>
    </row>
    <row r="11" spans="2:7" x14ac:dyDescent="0.25">
      <c r="B11" s="7" t="s">
        <v>151</v>
      </c>
      <c r="C11" s="90">
        <f>'Прил.5 Расчет СМР и ОБ'!J22</f>
        <v>45969.13</v>
      </c>
      <c r="D11" s="91">
        <f t="shared" si="0"/>
        <v>0.11040306431101</v>
      </c>
      <c r="E11" s="91">
        <f t="shared" si="1"/>
        <v>4.0009975858584E-3</v>
      </c>
    </row>
    <row r="12" spans="2:7" x14ac:dyDescent="0.25">
      <c r="B12" s="7" t="s">
        <v>152</v>
      </c>
      <c r="C12" s="90">
        <f>'Прил.5 Расчет СМР и ОБ'!J27</f>
        <v>4496.75</v>
      </c>
      <c r="D12" s="91">
        <f t="shared" si="0"/>
        <v>1.0799747122483E-2</v>
      </c>
      <c r="E12" s="91">
        <f t="shared" si="1"/>
        <v>3.9138190986447998E-4</v>
      </c>
    </row>
    <row r="13" spans="2:7" x14ac:dyDescent="0.25">
      <c r="B13" s="7" t="s">
        <v>153</v>
      </c>
      <c r="C13" s="90">
        <f>C12+C11</f>
        <v>50465.88</v>
      </c>
      <c r="D13" s="91">
        <f t="shared" si="0"/>
        <v>0.12120281143349999</v>
      </c>
      <c r="E13" s="91">
        <f t="shared" si="1"/>
        <v>4.3923794957229003E-3</v>
      </c>
    </row>
    <row r="14" spans="2:7" x14ac:dyDescent="0.25">
      <c r="B14" s="7" t="s">
        <v>154</v>
      </c>
      <c r="C14" s="90">
        <f>'Прил.5 Расчет СМР и ОБ'!J16</f>
        <v>22748.94</v>
      </c>
      <c r="D14" s="91">
        <f t="shared" si="0"/>
        <v>5.4635636694177002E-2</v>
      </c>
      <c r="E14" s="91">
        <f t="shared" si="1"/>
        <v>1.9799907899243998E-3</v>
      </c>
    </row>
    <row r="15" spans="2:7" x14ac:dyDescent="0.25">
      <c r="B15" s="7" t="s">
        <v>155</v>
      </c>
      <c r="C15" s="90">
        <f>'Прил.5 Расчет СМР и ОБ'!J45</f>
        <v>86539.16</v>
      </c>
      <c r="D15" s="91">
        <f t="shared" si="0"/>
        <v>0.20783922703999999</v>
      </c>
      <c r="E15" s="91">
        <f t="shared" si="1"/>
        <v>7.5320757700268002E-3</v>
      </c>
    </row>
    <row r="16" spans="2:7" x14ac:dyDescent="0.25">
      <c r="B16" s="7" t="s">
        <v>156</v>
      </c>
      <c r="C16" s="90">
        <f>'Прил.5 Расчет СМР и ОБ'!J61</f>
        <v>12734.33</v>
      </c>
      <c r="D16" s="91">
        <f t="shared" si="0"/>
        <v>3.0583764668761001E-2</v>
      </c>
      <c r="E16" s="91">
        <f t="shared" si="1"/>
        <v>1.1083530096724001E-3</v>
      </c>
      <c r="G16" s="17"/>
    </row>
    <row r="17" spans="2:5" x14ac:dyDescent="0.25">
      <c r="B17" s="7" t="s">
        <v>157</v>
      </c>
      <c r="C17" s="90">
        <f>C16+C15</f>
        <v>99273.49</v>
      </c>
      <c r="D17" s="91">
        <f t="shared" si="0"/>
        <v>0.23842299170876</v>
      </c>
      <c r="E17" s="91">
        <f t="shared" si="1"/>
        <v>8.6404287796991996E-3</v>
      </c>
    </row>
    <row r="18" spans="2:5" x14ac:dyDescent="0.25">
      <c r="B18" s="7" t="s">
        <v>158</v>
      </c>
      <c r="C18" s="90">
        <f>C17+C13+C10</f>
        <v>245106.78</v>
      </c>
      <c r="D18" s="91"/>
      <c r="E18" s="7"/>
    </row>
    <row r="19" spans="2:5" x14ac:dyDescent="0.25">
      <c r="B19" s="7" t="s">
        <v>159</v>
      </c>
      <c r="C19" s="90">
        <f>ROUND(C20*(C10+C14),2)</f>
        <v>59058.18</v>
      </c>
      <c r="D19" s="91">
        <f>C19/$C$23</f>
        <v>0.14183875232425</v>
      </c>
      <c r="E19" s="91">
        <f>C19/$C$39</f>
        <v>5.1402242244999998E-3</v>
      </c>
    </row>
    <row r="20" spans="2:5" x14ac:dyDescent="0.25">
      <c r="B20" s="7" t="s">
        <v>160</v>
      </c>
      <c r="C20" s="92">
        <f>'Прил.5 Расчет СМР и ОБ'!E65</f>
        <v>0.5</v>
      </c>
      <c r="D20" s="91"/>
      <c r="E20" s="7"/>
    </row>
    <row r="21" spans="2:5" x14ac:dyDescent="0.25">
      <c r="B21" s="7" t="s">
        <v>161</v>
      </c>
      <c r="C21" s="90">
        <f>ROUND(C22*(C10+C14),2)</f>
        <v>112210.53</v>
      </c>
      <c r="D21" s="91">
        <f>C21/$C$23</f>
        <v>0.26949360059594002</v>
      </c>
      <c r="E21" s="91">
        <f>C21/$C$39</f>
        <v>9.7664249821106004E-3</v>
      </c>
    </row>
    <row r="22" spans="2:5" x14ac:dyDescent="0.25">
      <c r="B22" s="7" t="s">
        <v>162</v>
      </c>
      <c r="C22" s="92">
        <f>'Прил.5 Расчет СМР и ОБ'!E64</f>
        <v>0.95</v>
      </c>
      <c r="D22" s="91"/>
      <c r="E22" s="7"/>
    </row>
    <row r="23" spans="2:5" x14ac:dyDescent="0.25">
      <c r="B23" s="7" t="s">
        <v>163</v>
      </c>
      <c r="C23" s="90">
        <f>C18+C19+C21</f>
        <v>416375.49</v>
      </c>
      <c r="D23" s="91">
        <f>C23/$C$23</f>
        <v>1</v>
      </c>
      <c r="E23" s="91">
        <f>C23/$C$39</f>
        <v>3.6239914270742003E-2</v>
      </c>
    </row>
    <row r="24" spans="2:5" ht="25.5" customHeight="1" x14ac:dyDescent="0.25">
      <c r="B24" s="7" t="s">
        <v>164</v>
      </c>
      <c r="C24" s="90">
        <f>'Прил.5 Расчет СМР и ОБ'!J36</f>
        <v>10214999.949999999</v>
      </c>
      <c r="D24" s="91"/>
      <c r="E24" s="91">
        <f>C24/$C$39</f>
        <v>0.88907904368635005</v>
      </c>
    </row>
    <row r="25" spans="2:5" ht="25.5" customHeight="1" x14ac:dyDescent="0.25">
      <c r="B25" s="7" t="s">
        <v>165</v>
      </c>
      <c r="C25" s="90">
        <f>C24</f>
        <v>10214999.949999999</v>
      </c>
      <c r="D25" s="91"/>
      <c r="E25" s="91">
        <f>C25/$C$39</f>
        <v>0.88907904368635005</v>
      </c>
    </row>
    <row r="26" spans="2:5" x14ac:dyDescent="0.25">
      <c r="B26" s="7" t="s">
        <v>166</v>
      </c>
      <c r="C26" s="93">
        <f>C23+C24</f>
        <v>10631375.439999999</v>
      </c>
      <c r="D26" s="91"/>
      <c r="E26" s="91">
        <f>C26/$C$39</f>
        <v>0.92531895795708996</v>
      </c>
    </row>
    <row r="27" spans="2:5" ht="33" customHeight="1" x14ac:dyDescent="0.25">
      <c r="B27" s="7" t="s">
        <v>167</v>
      </c>
      <c r="C27" s="7"/>
      <c r="D27" s="7"/>
      <c r="E27" s="7"/>
    </row>
    <row r="28" spans="2:5" ht="25.5" customHeight="1" x14ac:dyDescent="0.25">
      <c r="B28" s="7" t="s">
        <v>168</v>
      </c>
      <c r="C28" s="93">
        <f>ROUND(C23*3.9%,2)</f>
        <v>16238.64</v>
      </c>
      <c r="D28" s="7"/>
      <c r="E28" s="91">
        <f t="shared" ref="E28:E37" si="2">C28/$C$39</f>
        <v>1.4133562988383999E-3</v>
      </c>
    </row>
    <row r="29" spans="2:5" ht="38.25" customHeight="1" x14ac:dyDescent="0.25">
      <c r="B29" s="7" t="s">
        <v>169</v>
      </c>
      <c r="C29" s="93">
        <f>ROUND((C23+C28)*2.1%,2)</f>
        <v>9084.9</v>
      </c>
      <c r="D29" s="7"/>
      <c r="E29" s="91">
        <f t="shared" si="2"/>
        <v>7.9071896657093E-4</v>
      </c>
    </row>
    <row r="30" spans="2:5" x14ac:dyDescent="0.25">
      <c r="B30" s="7" t="s">
        <v>170</v>
      </c>
      <c r="C30" s="93">
        <v>243021.42</v>
      </c>
      <c r="D30" s="7"/>
      <c r="E30" s="91">
        <f t="shared" si="2"/>
        <v>2.1151762383405E-2</v>
      </c>
    </row>
    <row r="31" spans="2:5" ht="25.5" customHeight="1" x14ac:dyDescent="0.25">
      <c r="B31" s="7" t="s">
        <v>171</v>
      </c>
      <c r="C31" s="93">
        <f>ROUND(C26*0%,2)</f>
        <v>0</v>
      </c>
      <c r="D31" s="7"/>
      <c r="E31" s="91">
        <f t="shared" si="2"/>
        <v>0</v>
      </c>
    </row>
    <row r="32" spans="2:5" ht="25.5" customHeight="1" x14ac:dyDescent="0.25">
      <c r="B32" s="7" t="s">
        <v>172</v>
      </c>
      <c r="C32" s="93">
        <f>ROUND(C26*0%,2)</f>
        <v>0</v>
      </c>
      <c r="D32" s="7"/>
      <c r="E32" s="91">
        <f t="shared" si="2"/>
        <v>0</v>
      </c>
    </row>
    <row r="33" spans="2:12" ht="51" customHeight="1" x14ac:dyDescent="0.25">
      <c r="B33" s="7" t="s">
        <v>173</v>
      </c>
      <c r="C33" s="93">
        <f>ROUND(C25*0%,2)</f>
        <v>0</v>
      </c>
      <c r="D33" s="7"/>
      <c r="E33" s="91">
        <f t="shared" si="2"/>
        <v>0</v>
      </c>
    </row>
    <row r="34" spans="2:12" ht="76.5" customHeight="1" x14ac:dyDescent="0.25">
      <c r="B34" s="7" t="s">
        <v>174</v>
      </c>
      <c r="C34" s="93">
        <f>ROUND(C26*0%,2)</f>
        <v>0</v>
      </c>
      <c r="D34" s="7"/>
      <c r="E34" s="91">
        <f t="shared" si="2"/>
        <v>0</v>
      </c>
    </row>
    <row r="35" spans="2:12" ht="25.5" customHeight="1" x14ac:dyDescent="0.25">
      <c r="B35" s="7" t="s">
        <v>175</v>
      </c>
      <c r="C35" s="93">
        <f>ROUND((C26+C31+C32+C33+C34+C28+C30+C29)*2.14%,2)</f>
        <v>233254.02</v>
      </c>
      <c r="D35" s="7"/>
      <c r="E35" s="91">
        <f t="shared" si="2"/>
        <v>2.0301640925372001E-2</v>
      </c>
      <c r="G35" s="53"/>
      <c r="L35" s="18"/>
    </row>
    <row r="36" spans="2:12" x14ac:dyDescent="0.25">
      <c r="B36" s="7" t="s">
        <v>176</v>
      </c>
      <c r="C36" s="93">
        <f>ROUND((C26+C31+C32+C33+C34+C28+C30+C29)*0.2%,2)</f>
        <v>21799.439999999999</v>
      </c>
      <c r="D36" s="7"/>
      <c r="E36" s="91">
        <f t="shared" si="2"/>
        <v>1.8973495215825001E-3</v>
      </c>
      <c r="G36" s="53"/>
      <c r="L36" s="18"/>
    </row>
    <row r="37" spans="2:12" ht="38.25" customHeight="1" x14ac:dyDescent="0.25">
      <c r="B37" s="7" t="s">
        <v>177</v>
      </c>
      <c r="C37" s="90">
        <f>C26+C31+C32+C33+C34+C28+C30+C29+C35+C36</f>
        <v>11154773.859999999</v>
      </c>
      <c r="D37" s="7"/>
      <c r="E37" s="91">
        <f t="shared" si="2"/>
        <v>0.97087378605286001</v>
      </c>
    </row>
    <row r="38" spans="2:12" ht="13.5" customHeight="1" x14ac:dyDescent="0.25">
      <c r="B38" s="7" t="s">
        <v>178</v>
      </c>
      <c r="C38" s="90">
        <f>ROUND(C37*3%,2)</f>
        <v>334643.21999999997</v>
      </c>
      <c r="D38" s="7"/>
      <c r="E38" s="91">
        <f>C38/$C$37</f>
        <v>3.0000000376520002E-2</v>
      </c>
    </row>
    <row r="39" spans="2:12" x14ac:dyDescent="0.25">
      <c r="B39" s="7" t="s">
        <v>179</v>
      </c>
      <c r="C39" s="90">
        <f>C38+C37</f>
        <v>11489417.08</v>
      </c>
      <c r="D39" s="7"/>
      <c r="E39" s="91">
        <f>C39/$C$39</f>
        <v>1</v>
      </c>
    </row>
    <row r="40" spans="2:12" x14ac:dyDescent="0.25">
      <c r="B40" s="7" t="s">
        <v>180</v>
      </c>
      <c r="C40" s="90">
        <f>C39/'Прил.5 Расчет СМР и ОБ'!E68</f>
        <v>3829805.6933332998</v>
      </c>
      <c r="D40" s="7"/>
      <c r="E40" s="7"/>
    </row>
    <row r="41" spans="2:12" x14ac:dyDescent="0.25">
      <c r="B41" s="19"/>
      <c r="C41" s="6"/>
      <c r="D41" s="6"/>
      <c r="E41" s="6"/>
    </row>
    <row r="42" spans="2:12" x14ac:dyDescent="0.25">
      <c r="B42" s="122" t="s">
        <v>311</v>
      </c>
      <c r="C42" s="127"/>
    </row>
    <row r="43" spans="2:12" x14ac:dyDescent="0.25">
      <c r="B43" s="119" t="s">
        <v>33</v>
      </c>
      <c r="C43" s="127"/>
    </row>
    <row r="44" spans="2:12" x14ac:dyDescent="0.25">
      <c r="B44" s="122"/>
      <c r="C44" s="127"/>
    </row>
    <row r="45" spans="2:12" x14ac:dyDescent="0.25">
      <c r="B45" s="122" t="s">
        <v>312</v>
      </c>
      <c r="C45" s="127"/>
    </row>
    <row r="46" spans="2:12" x14ac:dyDescent="0.25">
      <c r="B46" s="119" t="s">
        <v>34</v>
      </c>
      <c r="C46" s="127"/>
    </row>
    <row r="48" spans="2:12" x14ac:dyDescent="0.25">
      <c r="B48" s="6"/>
      <c r="C48" s="6"/>
      <c r="D48" s="6"/>
      <c r="E48" s="6"/>
    </row>
    <row r="49" spans="2:5" x14ac:dyDescent="0.25">
      <c r="B49" s="6"/>
      <c r="C49" s="6"/>
      <c r="D49" s="6"/>
      <c r="E49" s="6"/>
    </row>
  </sheetData>
  <mergeCells count="2">
    <mergeCell ref="B4:E4"/>
    <mergeCell ref="B6:E6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5"/>
  <sheetViews>
    <sheetView view="pageBreakPreview" zoomScale="85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73"/>
      <c r="J2" s="56" t="s">
        <v>181</v>
      </c>
    </row>
    <row r="4" spans="1:12" s="6" customFormat="1" ht="12.75" customHeight="1" x14ac:dyDescent="0.2">
      <c r="A4" s="157" t="s">
        <v>182</v>
      </c>
      <c r="B4" s="157"/>
      <c r="C4" s="157"/>
      <c r="D4" s="157"/>
      <c r="E4" s="157"/>
      <c r="F4" s="157"/>
      <c r="G4" s="157"/>
      <c r="H4" s="157"/>
      <c r="I4" s="46"/>
      <c r="J4" s="46"/>
    </row>
    <row r="5" spans="1:12" s="6" customFormat="1" ht="12.75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2" s="6" customFormat="1" ht="15.75" customHeight="1" x14ac:dyDescent="0.2">
      <c r="B6" s="76" t="s">
        <v>183</v>
      </c>
      <c r="C6" s="76"/>
      <c r="D6" s="168" t="s">
        <v>184</v>
      </c>
      <c r="E6" s="168"/>
      <c r="F6" s="168"/>
      <c r="G6" s="168"/>
      <c r="H6" s="168"/>
      <c r="I6" s="168"/>
      <c r="J6" s="168"/>
    </row>
    <row r="7" spans="1:12" s="6" customFormat="1" ht="15.75" customHeight="1" x14ac:dyDescent="0.2">
      <c r="B7" s="86" t="str">
        <f>'Прил.1 Сравнит табл'!B8</f>
        <v>Единица измерения  — 1 ед.</v>
      </c>
      <c r="C7" s="76"/>
      <c r="D7" s="76"/>
      <c r="E7" s="19"/>
      <c r="F7" s="19"/>
      <c r="G7" s="19"/>
      <c r="H7" s="19"/>
      <c r="I7" s="47"/>
      <c r="J7" s="47"/>
    </row>
    <row r="8" spans="1:12" s="6" customFormat="1" ht="12.75" customHeight="1" x14ac:dyDescent="0.2"/>
    <row r="9" spans="1:12" ht="27" customHeight="1" x14ac:dyDescent="0.25">
      <c r="A9" s="159" t="s">
        <v>185</v>
      </c>
      <c r="B9" s="159" t="s">
        <v>55</v>
      </c>
      <c r="C9" s="159" t="s">
        <v>146</v>
      </c>
      <c r="D9" s="159" t="s">
        <v>57</v>
      </c>
      <c r="E9" s="172" t="s">
        <v>186</v>
      </c>
      <c r="F9" s="166" t="s">
        <v>59</v>
      </c>
      <c r="G9" s="167"/>
      <c r="H9" s="172" t="s">
        <v>187</v>
      </c>
      <c r="I9" s="166" t="s">
        <v>188</v>
      </c>
      <c r="J9" s="167"/>
    </row>
    <row r="10" spans="1:12" ht="28.5" customHeight="1" x14ac:dyDescent="0.25">
      <c r="A10" s="159"/>
      <c r="B10" s="159"/>
      <c r="C10" s="159"/>
      <c r="D10" s="159"/>
      <c r="E10" s="173"/>
      <c r="F10" s="2" t="s">
        <v>189</v>
      </c>
      <c r="G10" s="2" t="s">
        <v>61</v>
      </c>
      <c r="H10" s="173"/>
      <c r="I10" s="2" t="s">
        <v>189</v>
      </c>
      <c r="J10" s="2" t="s">
        <v>61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52" t="s">
        <v>190</v>
      </c>
      <c r="C12" s="158"/>
      <c r="D12" s="159"/>
      <c r="E12" s="160"/>
      <c r="F12" s="161"/>
      <c r="G12" s="161"/>
      <c r="H12" s="169"/>
      <c r="I12" s="94"/>
      <c r="J12" s="94"/>
      <c r="L12" s="84"/>
    </row>
    <row r="13" spans="1:12" ht="25.5" customHeight="1" x14ac:dyDescent="0.25">
      <c r="A13" s="2">
        <v>1</v>
      </c>
      <c r="B13" s="49" t="s">
        <v>64</v>
      </c>
      <c r="C13" s="3" t="s">
        <v>191</v>
      </c>
      <c r="D13" s="2" t="s">
        <v>192</v>
      </c>
      <c r="E13" s="95">
        <f>G13/F13</f>
        <v>214.59875259875</v>
      </c>
      <c r="F13" s="14">
        <v>9.6199999999999992</v>
      </c>
      <c r="G13" s="14">
        <v>2064.44</v>
      </c>
      <c r="H13" s="96">
        <f>G13/G14</f>
        <v>1</v>
      </c>
      <c r="I13" s="14">
        <f>ФОТр.тек.!E13</f>
        <v>444.39870291576</v>
      </c>
      <c r="J13" s="14">
        <f>ROUND(I13*E13,2)</f>
        <v>95367.41</v>
      </c>
    </row>
    <row r="14" spans="1:12" s="1" customFormat="1" ht="25.5" customHeight="1" x14ac:dyDescent="0.25">
      <c r="A14" s="2"/>
      <c r="B14" s="2"/>
      <c r="C14" s="5" t="s">
        <v>193</v>
      </c>
      <c r="D14" s="2" t="s">
        <v>192</v>
      </c>
      <c r="E14" s="95">
        <f>SUM(E13:E13)</f>
        <v>214.59875259875</v>
      </c>
      <c r="F14" s="14"/>
      <c r="G14" s="14">
        <f>SUM(G13:G13)</f>
        <v>2064.44</v>
      </c>
      <c r="H14" s="96">
        <v>1</v>
      </c>
      <c r="I14" s="14"/>
      <c r="J14" s="14">
        <f>SUM(J13:J13)</f>
        <v>95367.41</v>
      </c>
      <c r="L14" s="85"/>
    </row>
    <row r="15" spans="1:12" s="1" customFormat="1" ht="14.25" customHeight="1" x14ac:dyDescent="0.2">
      <c r="A15" s="2"/>
      <c r="B15" s="158" t="s">
        <v>69</v>
      </c>
      <c r="C15" s="158"/>
      <c r="D15" s="159"/>
      <c r="E15" s="160"/>
      <c r="F15" s="161"/>
      <c r="G15" s="161"/>
      <c r="H15" s="169"/>
      <c r="I15" s="94"/>
      <c r="J15" s="94"/>
      <c r="L15" s="84"/>
    </row>
    <row r="16" spans="1:12" s="1" customFormat="1" ht="14.25" customHeight="1" x14ac:dyDescent="0.2">
      <c r="A16" s="2">
        <v>2</v>
      </c>
      <c r="B16" s="2">
        <v>2</v>
      </c>
      <c r="C16" s="3" t="s">
        <v>69</v>
      </c>
      <c r="D16" s="2" t="s">
        <v>192</v>
      </c>
      <c r="E16" s="95">
        <v>44.37</v>
      </c>
      <c r="F16" s="14">
        <f>G16/E16</f>
        <v>11.576091954022999</v>
      </c>
      <c r="G16" s="14">
        <v>513.63120000000004</v>
      </c>
      <c r="H16" s="96">
        <v>1</v>
      </c>
      <c r="I16" s="14">
        <f>ROUND(F16*Прил.10!D10,2)</f>
        <v>512.71</v>
      </c>
      <c r="J16" s="14">
        <f>ROUND(I16*E16,2)</f>
        <v>22748.94</v>
      </c>
      <c r="L16" s="51"/>
    </row>
    <row r="17" spans="1:12" s="1" customFormat="1" ht="14.25" customHeight="1" x14ac:dyDescent="0.2">
      <c r="A17" s="2"/>
      <c r="B17" s="152" t="s">
        <v>70</v>
      </c>
      <c r="C17" s="158"/>
      <c r="D17" s="159"/>
      <c r="E17" s="160"/>
      <c r="F17" s="161"/>
      <c r="G17" s="161"/>
      <c r="H17" s="162"/>
      <c r="I17" s="96"/>
      <c r="J17" s="96"/>
    </row>
    <row r="18" spans="1:12" s="1" customFormat="1" ht="14.25" customHeight="1" x14ac:dyDescent="0.2">
      <c r="A18" s="2"/>
      <c r="B18" s="158" t="s">
        <v>194</v>
      </c>
      <c r="C18" s="158"/>
      <c r="D18" s="159"/>
      <c r="E18" s="160"/>
      <c r="F18" s="161"/>
      <c r="G18" s="161"/>
      <c r="H18" s="169"/>
      <c r="I18" s="94"/>
      <c r="J18" s="94"/>
    </row>
    <row r="19" spans="1:12" s="1" customFormat="1" ht="25.5" customHeight="1" x14ac:dyDescent="0.2">
      <c r="A19" s="2">
        <v>3</v>
      </c>
      <c r="B19" s="49" t="s">
        <v>71</v>
      </c>
      <c r="C19" s="3" t="s">
        <v>72</v>
      </c>
      <c r="D19" s="2" t="s">
        <v>73</v>
      </c>
      <c r="E19" s="95">
        <v>16.28</v>
      </c>
      <c r="F19" s="9">
        <v>115.4</v>
      </c>
      <c r="G19" s="14">
        <f>ROUND(E19*F19,2)</f>
        <v>1878.71</v>
      </c>
      <c r="H19" s="96">
        <f>G19/$G$28</f>
        <v>0.50145334482840997</v>
      </c>
      <c r="I19" s="14">
        <f>ROUND(F19*Прил.10!$D$11,2)</f>
        <v>1554.44</v>
      </c>
      <c r="J19" s="14">
        <f>ROUND(I19*E19,2)</f>
        <v>25306.28</v>
      </c>
    </row>
    <row r="20" spans="1:12" s="1" customFormat="1" ht="25.5" customHeight="1" x14ac:dyDescent="0.2">
      <c r="A20" s="2">
        <v>4</v>
      </c>
      <c r="B20" s="49" t="s">
        <v>74</v>
      </c>
      <c r="C20" s="3" t="s">
        <v>75</v>
      </c>
      <c r="D20" s="2" t="s">
        <v>73</v>
      </c>
      <c r="E20" s="95">
        <v>3.2</v>
      </c>
      <c r="F20" s="9">
        <v>287.99</v>
      </c>
      <c r="G20" s="14">
        <f>ROUND(E20*F20,2)</f>
        <v>921.57</v>
      </c>
      <c r="H20" s="96">
        <f>G20/$G$28</f>
        <v>0.24597961313534999</v>
      </c>
      <c r="I20" s="14">
        <f>ROUND(F20*Прил.10!$D$11,2)</f>
        <v>3879.23</v>
      </c>
      <c r="J20" s="14">
        <f>ROUND(I20*E20,2)</f>
        <v>12413.54</v>
      </c>
    </row>
    <row r="21" spans="1:12" s="1" customFormat="1" ht="25.5" customHeight="1" x14ac:dyDescent="0.2">
      <c r="A21" s="2">
        <v>5</v>
      </c>
      <c r="B21" s="49" t="s">
        <v>76</v>
      </c>
      <c r="C21" s="3" t="s">
        <v>77</v>
      </c>
      <c r="D21" s="2" t="s">
        <v>73</v>
      </c>
      <c r="E21" s="95">
        <v>20.69</v>
      </c>
      <c r="F21" s="9">
        <v>29.6</v>
      </c>
      <c r="G21" s="14">
        <f>ROUND(E21*F21,2)</f>
        <v>612.41999999999996</v>
      </c>
      <c r="H21" s="96">
        <f>G21/$G$28</f>
        <v>0.16346325800139999</v>
      </c>
      <c r="I21" s="14">
        <f>ROUND(F21*Прил.10!$D$11,2)</f>
        <v>398.71</v>
      </c>
      <c r="J21" s="14">
        <f>ROUND(I21*E21,2)</f>
        <v>8249.31</v>
      </c>
    </row>
    <row r="22" spans="1:12" s="1" customFormat="1" ht="14.25" customHeight="1" x14ac:dyDescent="0.2">
      <c r="A22" s="2"/>
      <c r="B22" s="2"/>
      <c r="C22" s="3" t="s">
        <v>195</v>
      </c>
      <c r="D22" s="2"/>
      <c r="E22" s="97"/>
      <c r="F22" s="14"/>
      <c r="G22" s="14">
        <f>SUM(G19:G21)</f>
        <v>3412.7</v>
      </c>
      <c r="H22" s="96">
        <f>G22/G28</f>
        <v>0.91089621596517001</v>
      </c>
      <c r="I22" s="14"/>
      <c r="J22" s="14">
        <f>SUM(J19:J21)</f>
        <v>45969.13</v>
      </c>
      <c r="L22" s="48"/>
    </row>
    <row r="23" spans="1:12" s="1" customFormat="1" ht="25.5" customHeight="1" outlineLevel="1" x14ac:dyDescent="0.2">
      <c r="A23" s="2">
        <v>6</v>
      </c>
      <c r="B23" s="49" t="s">
        <v>78</v>
      </c>
      <c r="C23" s="3" t="s">
        <v>79</v>
      </c>
      <c r="D23" s="2" t="s">
        <v>73</v>
      </c>
      <c r="E23" s="95">
        <v>3.02</v>
      </c>
      <c r="F23" s="9">
        <v>65.709999999999994</v>
      </c>
      <c r="G23" s="14">
        <f>ROUND(E23*F23,2)</f>
        <v>198.44</v>
      </c>
      <c r="H23" s="96">
        <f>G23/$G$28</f>
        <v>5.2966344857775002E-2</v>
      </c>
      <c r="I23" s="14">
        <f>ROUND(F23*Прил.10!$D$11,2)</f>
        <v>885.11</v>
      </c>
      <c r="J23" s="14">
        <f>ROUND(I23*E23,2)</f>
        <v>2673.03</v>
      </c>
      <c r="L23" s="48"/>
    </row>
    <row r="24" spans="1:12" s="1" customFormat="1" ht="25.5" customHeight="1" outlineLevel="1" x14ac:dyDescent="0.2">
      <c r="A24" s="2">
        <v>7</v>
      </c>
      <c r="B24" s="49" t="s">
        <v>80</v>
      </c>
      <c r="C24" s="3" t="s">
        <v>81</v>
      </c>
      <c r="D24" s="2" t="s">
        <v>73</v>
      </c>
      <c r="E24" s="95">
        <v>10.98</v>
      </c>
      <c r="F24" s="9">
        <v>8.1</v>
      </c>
      <c r="G24" s="14">
        <f>ROUND(E24*F24,2)</f>
        <v>88.94</v>
      </c>
      <c r="H24" s="96">
        <f>G24/$G$28</f>
        <v>2.3739300099025001E-2</v>
      </c>
      <c r="I24" s="14">
        <f>ROUND(F24*Прил.10!$D$11,2)</f>
        <v>109.11</v>
      </c>
      <c r="J24" s="14">
        <f>ROUND(I24*E24,2)</f>
        <v>1198.03</v>
      </c>
      <c r="L24" s="48"/>
    </row>
    <row r="25" spans="1:12" s="1" customFormat="1" ht="25.5" customHeight="1" outlineLevel="1" x14ac:dyDescent="0.2">
      <c r="A25" s="2">
        <v>8</v>
      </c>
      <c r="B25" s="49" t="s">
        <v>82</v>
      </c>
      <c r="C25" s="3" t="s">
        <v>83</v>
      </c>
      <c r="D25" s="2" t="s">
        <v>73</v>
      </c>
      <c r="E25" s="95">
        <v>0.3</v>
      </c>
      <c r="F25" s="9">
        <v>131.44</v>
      </c>
      <c r="G25" s="14">
        <f>ROUND(E25*F25,2)</f>
        <v>39.43</v>
      </c>
      <c r="H25" s="96">
        <f>G25/$G$28</f>
        <v>1.0524405249658E-2</v>
      </c>
      <c r="I25" s="14">
        <f>ROUND(F25*Прил.10!$D$11,2)</f>
        <v>1770.5</v>
      </c>
      <c r="J25" s="14">
        <f>ROUND(I25*E25,2)</f>
        <v>531.15</v>
      </c>
      <c r="L25" s="48"/>
    </row>
    <row r="26" spans="1:12" s="1" customFormat="1" ht="25.5" customHeight="1" outlineLevel="1" x14ac:dyDescent="0.2">
      <c r="A26" s="2">
        <v>9</v>
      </c>
      <c r="B26" s="49" t="s">
        <v>84</v>
      </c>
      <c r="C26" s="3" t="s">
        <v>85</v>
      </c>
      <c r="D26" s="2" t="s">
        <v>73</v>
      </c>
      <c r="E26" s="95">
        <v>7.8</v>
      </c>
      <c r="F26" s="9">
        <v>0.9</v>
      </c>
      <c r="G26" s="14">
        <f>ROUND(E26*F26,2)</f>
        <v>7.02</v>
      </c>
      <c r="H26" s="96">
        <f>G26/$G$28</f>
        <v>1.8737338283692001E-3</v>
      </c>
      <c r="I26" s="14">
        <f>ROUND(F26*Прил.10!$D$11,2)</f>
        <v>12.12</v>
      </c>
      <c r="J26" s="14">
        <f>ROUND(I26*E26,2)</f>
        <v>94.54</v>
      </c>
      <c r="L26" s="48"/>
    </row>
    <row r="27" spans="1:12" s="1" customFormat="1" ht="14.25" customHeight="1" x14ac:dyDescent="0.2">
      <c r="A27" s="2"/>
      <c r="B27" s="2"/>
      <c r="C27" s="3" t="s">
        <v>196</v>
      </c>
      <c r="D27" s="2"/>
      <c r="E27" s="98"/>
      <c r="F27" s="14"/>
      <c r="G27" s="14">
        <f>SUM(G23:G26)</f>
        <v>333.83</v>
      </c>
      <c r="H27" s="96">
        <f>G27/G28</f>
        <v>8.9103784034826994E-2</v>
      </c>
      <c r="I27" s="14"/>
      <c r="J27" s="14">
        <f>SUM(J23:J26)</f>
        <v>4496.75</v>
      </c>
      <c r="K27" s="48"/>
      <c r="L27" s="84"/>
    </row>
    <row r="28" spans="1:12" s="1" customFormat="1" ht="25.5" customHeight="1" x14ac:dyDescent="0.2">
      <c r="A28" s="2"/>
      <c r="B28" s="99"/>
      <c r="C28" s="100" t="s">
        <v>197</v>
      </c>
      <c r="D28" s="99"/>
      <c r="E28" s="101"/>
      <c r="F28" s="102"/>
      <c r="G28" s="102">
        <f>G22+G27</f>
        <v>3746.53</v>
      </c>
      <c r="H28" s="103">
        <v>1</v>
      </c>
      <c r="I28" s="102"/>
      <c r="J28" s="102">
        <f>J22+J27</f>
        <v>50465.88</v>
      </c>
    </row>
    <row r="29" spans="1:12" x14ac:dyDescent="0.25">
      <c r="A29" s="104"/>
      <c r="B29" s="152" t="s">
        <v>198</v>
      </c>
      <c r="C29" s="152"/>
      <c r="D29" s="152"/>
      <c r="E29" s="152"/>
      <c r="F29" s="152"/>
      <c r="G29" s="152"/>
      <c r="H29" s="152"/>
      <c r="I29" s="152"/>
      <c r="J29" s="152"/>
    </row>
    <row r="30" spans="1:12" ht="15" customHeight="1" x14ac:dyDescent="0.25">
      <c r="A30" s="2"/>
      <c r="B30" s="170" t="s">
        <v>199</v>
      </c>
      <c r="C30" s="171"/>
      <c r="D30" s="171"/>
      <c r="E30" s="171"/>
      <c r="F30" s="171"/>
      <c r="G30" s="171"/>
      <c r="H30" s="171"/>
      <c r="I30" s="171"/>
      <c r="J30" s="171"/>
    </row>
    <row r="31" spans="1:12" x14ac:dyDescent="0.25">
      <c r="A31" s="2">
        <v>10</v>
      </c>
      <c r="B31" s="49" t="s">
        <v>200</v>
      </c>
      <c r="C31" s="3" t="s">
        <v>87</v>
      </c>
      <c r="D31" s="2" t="s">
        <v>88</v>
      </c>
      <c r="E31" s="133">
        <v>3</v>
      </c>
      <c r="F31" s="14">
        <f>ROUND(I31/Прил.10!$D$13,2)</f>
        <v>488817.89</v>
      </c>
      <c r="G31" s="14">
        <f>ROUND(E31*F31,2)</f>
        <v>1466453.67</v>
      </c>
      <c r="H31" s="96">
        <f>G31/$G$35</f>
        <v>0.89867841563573003</v>
      </c>
      <c r="I31" s="14">
        <v>3060000</v>
      </c>
      <c r="J31" s="14">
        <f>ROUND(I31*E31,2)</f>
        <v>9180000</v>
      </c>
    </row>
    <row r="32" spans="1:12" x14ac:dyDescent="0.25">
      <c r="A32" s="2"/>
      <c r="B32" s="2"/>
      <c r="C32" s="3" t="s">
        <v>201</v>
      </c>
      <c r="D32" s="2"/>
      <c r="E32" s="95"/>
      <c r="F32" s="14"/>
      <c r="G32" s="14">
        <f>SUM(G31:G31)</f>
        <v>1466453.67</v>
      </c>
      <c r="H32" s="96">
        <f>G32/$G$35</f>
        <v>0.89867841563573003</v>
      </c>
      <c r="I32" s="14"/>
      <c r="J32" s="14">
        <f>SUM(J31:J31)</f>
        <v>9180000</v>
      </c>
      <c r="K32" s="48"/>
    </row>
    <row r="33" spans="1:12" outlineLevel="1" x14ac:dyDescent="0.25">
      <c r="A33" s="2">
        <v>11</v>
      </c>
      <c r="B33" s="49" t="s">
        <v>202</v>
      </c>
      <c r="C33" s="3" t="s">
        <v>89</v>
      </c>
      <c r="D33" s="2" t="s">
        <v>90</v>
      </c>
      <c r="E33" s="133">
        <v>3</v>
      </c>
      <c r="F33" s="14">
        <f>ROUND(I33/Прил.10!$D$13,2)</f>
        <v>55111.82</v>
      </c>
      <c r="G33" s="14">
        <f>ROUND(E33*F33,2)</f>
        <v>165335.46</v>
      </c>
      <c r="H33" s="96">
        <f>G33/$G$35</f>
        <v>0.10132158436427</v>
      </c>
      <c r="I33" s="14">
        <v>345000</v>
      </c>
      <c r="J33" s="14">
        <f>ROUND(I33*E33,2)</f>
        <v>1035000</v>
      </c>
      <c r="K33" s="48"/>
    </row>
    <row r="34" spans="1:12" x14ac:dyDescent="0.25">
      <c r="A34" s="2"/>
      <c r="B34" s="2"/>
      <c r="C34" s="3" t="s">
        <v>203</v>
      </c>
      <c r="D34" s="2"/>
      <c r="E34" s="98"/>
      <c r="F34" s="14"/>
      <c r="G34" s="14">
        <f>SUM(G33:G33)</f>
        <v>165335.46</v>
      </c>
      <c r="H34" s="96">
        <f>G34/$G$35</f>
        <v>0.10132158436427</v>
      </c>
      <c r="I34" s="14"/>
      <c r="J34" s="14">
        <f>SUM(J33:J33)</f>
        <v>1035000</v>
      </c>
      <c r="K34" s="48"/>
      <c r="L34" s="84"/>
    </row>
    <row r="35" spans="1:12" x14ac:dyDescent="0.25">
      <c r="A35" s="2"/>
      <c r="B35" s="2"/>
      <c r="C35" s="5" t="s">
        <v>204</v>
      </c>
      <c r="D35" s="2"/>
      <c r="E35" s="98"/>
      <c r="F35" s="14"/>
      <c r="G35" s="14">
        <f>G32+G34</f>
        <v>1631789.13</v>
      </c>
      <c r="H35" s="96">
        <f>(G32+G34)/G35</f>
        <v>1</v>
      </c>
      <c r="I35" s="14"/>
      <c r="J35" s="14">
        <f>J34+J32</f>
        <v>10215000</v>
      </c>
      <c r="K35" s="48"/>
    </row>
    <row r="36" spans="1:12" ht="25.5" customHeight="1" x14ac:dyDescent="0.25">
      <c r="A36" s="2"/>
      <c r="B36" s="2"/>
      <c r="C36" s="3" t="s">
        <v>205</v>
      </c>
      <c r="D36" s="2"/>
      <c r="E36" s="98"/>
      <c r="F36" s="14"/>
      <c r="G36" s="14">
        <f>'Прил.6 Расчет ОБ'!G16</f>
        <v>1631789.13</v>
      </c>
      <c r="H36" s="96">
        <f>G36/$G$35</f>
        <v>1</v>
      </c>
      <c r="I36" s="14"/>
      <c r="J36" s="14">
        <f>ROUND(G36*Прил.10!$D$13,2)</f>
        <v>10214999.949999999</v>
      </c>
      <c r="K36" s="48"/>
    </row>
    <row r="37" spans="1:12" s="1" customFormat="1" ht="14.25" customHeight="1" x14ac:dyDescent="0.2">
      <c r="A37" s="2"/>
      <c r="B37" s="163" t="s">
        <v>91</v>
      </c>
      <c r="C37" s="164"/>
      <c r="D37" s="164"/>
      <c r="E37" s="164"/>
      <c r="F37" s="164"/>
      <c r="G37" s="164"/>
      <c r="H37" s="164"/>
      <c r="I37" s="164"/>
      <c r="J37" s="165"/>
      <c r="K37" s="48"/>
    </row>
    <row r="38" spans="1:12" s="1" customFormat="1" ht="14.25" customHeight="1" x14ac:dyDescent="0.2">
      <c r="A38" s="2"/>
      <c r="B38" s="158" t="s">
        <v>206</v>
      </c>
      <c r="C38" s="158"/>
      <c r="D38" s="159"/>
      <c r="E38" s="160"/>
      <c r="F38" s="161"/>
      <c r="G38" s="161"/>
      <c r="H38" s="162"/>
      <c r="I38" s="96"/>
      <c r="J38" s="96"/>
    </row>
    <row r="39" spans="1:12" s="1" customFormat="1" ht="25.5" customHeight="1" x14ac:dyDescent="0.2">
      <c r="A39" s="2">
        <v>12</v>
      </c>
      <c r="B39" s="49" t="s">
        <v>92</v>
      </c>
      <c r="C39" s="3" t="s">
        <v>93</v>
      </c>
      <c r="D39" s="2" t="s">
        <v>94</v>
      </c>
      <c r="E39" s="9">
        <v>0.17</v>
      </c>
      <c r="F39" s="14">
        <v>34240.97</v>
      </c>
      <c r="G39" s="14">
        <f t="shared" ref="G39:G44" si="0">ROUND(E39*F39,2)</f>
        <v>5820.96</v>
      </c>
      <c r="H39" s="96">
        <f t="shared" ref="H39:H60" si="1">G39/$G$62</f>
        <v>0.47142975154403999</v>
      </c>
      <c r="I39" s="14">
        <f>ROUND(F39*Прил.10!$D$12,2)</f>
        <v>275297.40000000002</v>
      </c>
      <c r="J39" s="14">
        <f t="shared" ref="J39:J44" si="2">ROUND(I39*E39,2)</f>
        <v>46800.56</v>
      </c>
    </row>
    <row r="40" spans="1:12" s="1" customFormat="1" ht="25.5" customHeight="1" x14ac:dyDescent="0.2">
      <c r="A40" s="2">
        <v>13</v>
      </c>
      <c r="B40" s="49" t="s">
        <v>95</v>
      </c>
      <c r="C40" s="3" t="s">
        <v>96</v>
      </c>
      <c r="D40" s="2" t="s">
        <v>97</v>
      </c>
      <c r="E40" s="9">
        <v>1.8700000000000001E-2</v>
      </c>
      <c r="F40" s="14">
        <v>98440.41</v>
      </c>
      <c r="G40" s="14">
        <f t="shared" si="0"/>
        <v>1840.84</v>
      </c>
      <c r="H40" s="96">
        <f t="shared" si="1"/>
        <v>0.14908653277678</v>
      </c>
      <c r="I40" s="14">
        <f>ROUND(F40*Прил.10!$D$12,2)</f>
        <v>791460.9</v>
      </c>
      <c r="J40" s="14">
        <f t="shared" si="2"/>
        <v>14800.32</v>
      </c>
    </row>
    <row r="41" spans="1:12" s="1" customFormat="1" ht="14.25" customHeight="1" x14ac:dyDescent="0.2">
      <c r="A41" s="2">
        <v>14</v>
      </c>
      <c r="B41" s="49" t="s">
        <v>98</v>
      </c>
      <c r="C41" s="3" t="s">
        <v>99</v>
      </c>
      <c r="D41" s="2" t="s">
        <v>97</v>
      </c>
      <c r="E41" s="9">
        <v>3.0599999999999999E-2</v>
      </c>
      <c r="F41" s="14">
        <v>38348.22</v>
      </c>
      <c r="G41" s="14">
        <f t="shared" si="0"/>
        <v>1173.46</v>
      </c>
      <c r="H41" s="96">
        <f t="shared" si="1"/>
        <v>9.5036550027292999E-2</v>
      </c>
      <c r="I41" s="14">
        <f>ROUND(F41*Прил.10!$D$12,2)</f>
        <v>308319.69</v>
      </c>
      <c r="J41" s="14">
        <f t="shared" si="2"/>
        <v>9434.58</v>
      </c>
    </row>
    <row r="42" spans="1:12" s="1" customFormat="1" ht="25.5" customHeight="1" x14ac:dyDescent="0.2">
      <c r="A42" s="2">
        <v>15</v>
      </c>
      <c r="B42" s="49" t="s">
        <v>100</v>
      </c>
      <c r="C42" s="3" t="s">
        <v>101</v>
      </c>
      <c r="D42" s="2" t="s">
        <v>102</v>
      </c>
      <c r="E42" s="9">
        <v>0.54400000000000004</v>
      </c>
      <c r="F42" s="14">
        <v>1837.28</v>
      </c>
      <c r="G42" s="14">
        <f t="shared" si="0"/>
        <v>999.48</v>
      </c>
      <c r="H42" s="96">
        <f t="shared" si="1"/>
        <v>8.0946202700797998E-2</v>
      </c>
      <c r="I42" s="14">
        <f>ROUND(F42*Прил.10!$D$12,2)</f>
        <v>14771.73</v>
      </c>
      <c r="J42" s="14">
        <f t="shared" si="2"/>
        <v>8035.82</v>
      </c>
    </row>
    <row r="43" spans="1:12" s="1" customFormat="1" ht="14.25" customHeight="1" x14ac:dyDescent="0.2">
      <c r="A43" s="2">
        <v>16</v>
      </c>
      <c r="B43" s="49" t="s">
        <v>103</v>
      </c>
      <c r="C43" s="3" t="s">
        <v>104</v>
      </c>
      <c r="D43" s="2" t="s">
        <v>105</v>
      </c>
      <c r="E43" s="9">
        <v>66.078999999999994</v>
      </c>
      <c r="F43" s="14">
        <v>9.0399999999999991</v>
      </c>
      <c r="G43" s="14">
        <f t="shared" si="0"/>
        <v>597.35</v>
      </c>
      <c r="H43" s="96">
        <f t="shared" si="1"/>
        <v>4.8378370936209003E-2</v>
      </c>
      <c r="I43" s="14">
        <f>ROUND(F43*Прил.10!$D$12,2)</f>
        <v>72.680000000000007</v>
      </c>
      <c r="J43" s="14">
        <f t="shared" si="2"/>
        <v>4802.62</v>
      </c>
    </row>
    <row r="44" spans="1:12" s="1" customFormat="1" ht="38.25" customHeight="1" x14ac:dyDescent="0.2">
      <c r="A44" s="2">
        <v>17</v>
      </c>
      <c r="B44" s="49" t="s">
        <v>106</v>
      </c>
      <c r="C44" s="3" t="s">
        <v>107</v>
      </c>
      <c r="D44" s="2" t="s">
        <v>94</v>
      </c>
      <c r="E44" s="9">
        <v>6.6299999999999998E-2</v>
      </c>
      <c r="F44" s="14">
        <v>5000</v>
      </c>
      <c r="G44" s="14">
        <f t="shared" si="0"/>
        <v>331.5</v>
      </c>
      <c r="H44" s="96">
        <f t="shared" si="1"/>
        <v>2.6847626961335001E-2</v>
      </c>
      <c r="I44" s="14">
        <f>ROUND(F44*Прил.10!$D$12,2)</f>
        <v>40200</v>
      </c>
      <c r="J44" s="14">
        <f t="shared" si="2"/>
        <v>2665.26</v>
      </c>
    </row>
    <row r="45" spans="1:12" s="1" customFormat="1" ht="14.25" customHeight="1" x14ac:dyDescent="0.2">
      <c r="A45" s="2"/>
      <c r="B45" s="2"/>
      <c r="C45" s="3" t="s">
        <v>207</v>
      </c>
      <c r="D45" s="2"/>
      <c r="E45" s="9"/>
      <c r="F45" s="14"/>
      <c r="G45" s="14">
        <f>SUM(G39:G44)</f>
        <v>10763.59</v>
      </c>
      <c r="H45" s="96">
        <f t="shared" si="1"/>
        <v>0.87172503494646003</v>
      </c>
      <c r="I45" s="14"/>
      <c r="J45" s="14">
        <f>SUM(J39:J44)</f>
        <v>86539.16</v>
      </c>
      <c r="K45" s="48"/>
    </row>
    <row r="46" spans="1:12" s="1" customFormat="1" ht="14.25" customHeight="1" outlineLevel="1" x14ac:dyDescent="0.2">
      <c r="A46" s="2">
        <v>18</v>
      </c>
      <c r="B46" s="49" t="s">
        <v>108</v>
      </c>
      <c r="C46" s="3" t="s">
        <v>109</v>
      </c>
      <c r="D46" s="2" t="s">
        <v>105</v>
      </c>
      <c r="E46" s="9">
        <v>9.9960000000000004</v>
      </c>
      <c r="F46" s="14">
        <v>28.6</v>
      </c>
      <c r="G46" s="14">
        <f t="shared" ref="G46:G60" si="3">ROUND(F46*E46,2)</f>
        <v>285.89</v>
      </c>
      <c r="H46" s="96">
        <f t="shared" si="1"/>
        <v>2.3153749840048001E-2</v>
      </c>
      <c r="I46" s="14">
        <f>ROUND(F46*Прил.10!$D$12,2)</f>
        <v>229.94</v>
      </c>
      <c r="J46" s="14">
        <f t="shared" ref="J46:J60" si="4">ROUND(I46*E46,2)</f>
        <v>2298.48</v>
      </c>
    </row>
    <row r="47" spans="1:12" s="1" customFormat="1" ht="25.5" customHeight="1" outlineLevel="1" x14ac:dyDescent="0.2">
      <c r="A47" s="2">
        <v>19</v>
      </c>
      <c r="B47" s="49" t="s">
        <v>110</v>
      </c>
      <c r="C47" s="3" t="s">
        <v>111</v>
      </c>
      <c r="D47" s="2" t="s">
        <v>105</v>
      </c>
      <c r="E47" s="9">
        <v>24.99</v>
      </c>
      <c r="F47" s="14">
        <v>10.57</v>
      </c>
      <c r="G47" s="14">
        <f t="shared" si="3"/>
        <v>264.14</v>
      </c>
      <c r="H47" s="96">
        <f t="shared" si="1"/>
        <v>2.1392253953445E-2</v>
      </c>
      <c r="I47" s="14">
        <f>ROUND(F47*Прил.10!$D$12,2)</f>
        <v>84.98</v>
      </c>
      <c r="J47" s="14">
        <f t="shared" si="4"/>
        <v>2123.65</v>
      </c>
    </row>
    <row r="48" spans="1:12" s="1" customFormat="1" ht="25.5" customHeight="1" outlineLevel="1" x14ac:dyDescent="0.2">
      <c r="A48" s="2">
        <v>20</v>
      </c>
      <c r="B48" s="49" t="s">
        <v>112</v>
      </c>
      <c r="C48" s="3" t="s">
        <v>113</v>
      </c>
      <c r="D48" s="2" t="s">
        <v>114</v>
      </c>
      <c r="E48" s="9">
        <v>3.4000000000000002E-2</v>
      </c>
      <c r="F48" s="14">
        <v>6505</v>
      </c>
      <c r="G48" s="14">
        <f t="shared" si="3"/>
        <v>221.17</v>
      </c>
      <c r="H48" s="96">
        <f t="shared" si="1"/>
        <v>1.7912185988049001E-2</v>
      </c>
      <c r="I48" s="14">
        <f>ROUND(F48*Прил.10!$D$12,2)</f>
        <v>52300.2</v>
      </c>
      <c r="J48" s="14">
        <f t="shared" si="4"/>
        <v>1778.21</v>
      </c>
    </row>
    <row r="49" spans="1:12" s="1" customFormat="1" ht="25.5" customHeight="1" outlineLevel="1" x14ac:dyDescent="0.2">
      <c r="A49" s="2">
        <v>21</v>
      </c>
      <c r="B49" s="49" t="s">
        <v>115</v>
      </c>
      <c r="C49" s="3" t="s">
        <v>116</v>
      </c>
      <c r="D49" s="2" t="s">
        <v>94</v>
      </c>
      <c r="E49" s="9">
        <v>1.1016E-2</v>
      </c>
      <c r="F49" s="14">
        <v>17500</v>
      </c>
      <c r="G49" s="14">
        <f t="shared" si="3"/>
        <v>192.78</v>
      </c>
      <c r="H49" s="96">
        <f t="shared" si="1"/>
        <v>1.5612927679053E-2</v>
      </c>
      <c r="I49" s="14">
        <f>ROUND(F49*Прил.10!$D$12,2)</f>
        <v>140700</v>
      </c>
      <c r="J49" s="14">
        <f t="shared" si="4"/>
        <v>1549.95</v>
      </c>
    </row>
    <row r="50" spans="1:12" s="1" customFormat="1" ht="14.25" customHeight="1" outlineLevel="1" x14ac:dyDescent="0.2">
      <c r="A50" s="2">
        <v>22</v>
      </c>
      <c r="B50" s="49" t="s">
        <v>117</v>
      </c>
      <c r="C50" s="3" t="s">
        <v>118</v>
      </c>
      <c r="D50" s="2" t="s">
        <v>119</v>
      </c>
      <c r="E50" s="9">
        <v>0.61199999999999999</v>
      </c>
      <c r="F50" s="14">
        <v>254</v>
      </c>
      <c r="G50" s="14">
        <f t="shared" si="3"/>
        <v>155.44999999999999</v>
      </c>
      <c r="H50" s="96">
        <f t="shared" si="1"/>
        <v>1.2589633819424999E-2</v>
      </c>
      <c r="I50" s="14">
        <f>ROUND(F50*Прил.10!$D$12,2)</f>
        <v>2042.16</v>
      </c>
      <c r="J50" s="14">
        <f t="shared" si="4"/>
        <v>1249.8</v>
      </c>
    </row>
    <row r="51" spans="1:12" s="1" customFormat="1" ht="25.5" customHeight="1" outlineLevel="1" x14ac:dyDescent="0.2">
      <c r="A51" s="2">
        <v>23</v>
      </c>
      <c r="B51" s="49" t="s">
        <v>120</v>
      </c>
      <c r="C51" s="3" t="s">
        <v>121</v>
      </c>
      <c r="D51" s="2" t="s">
        <v>94</v>
      </c>
      <c r="E51" s="9">
        <v>2.0400000000000001E-2</v>
      </c>
      <c r="F51" s="14">
        <v>7418.82</v>
      </c>
      <c r="G51" s="14">
        <f t="shared" si="3"/>
        <v>151.34</v>
      </c>
      <c r="H51" s="96">
        <f t="shared" si="1"/>
        <v>1.2256771838094999E-2</v>
      </c>
      <c r="I51" s="14">
        <f>ROUND(F51*Прил.10!$D$12,2)</f>
        <v>59647.31</v>
      </c>
      <c r="J51" s="14">
        <f t="shared" si="4"/>
        <v>1216.81</v>
      </c>
    </row>
    <row r="52" spans="1:12" s="1" customFormat="1" ht="25.5" customHeight="1" outlineLevel="1" x14ac:dyDescent="0.2">
      <c r="A52" s="2">
        <v>24</v>
      </c>
      <c r="B52" s="49" t="s">
        <v>122</v>
      </c>
      <c r="C52" s="3" t="s">
        <v>123</v>
      </c>
      <c r="D52" s="2" t="s">
        <v>119</v>
      </c>
      <c r="E52" s="9">
        <v>3.4680000000000002E-2</v>
      </c>
      <c r="F52" s="14">
        <v>3986</v>
      </c>
      <c r="G52" s="14">
        <f t="shared" si="3"/>
        <v>138.22999999999999</v>
      </c>
      <c r="H52" s="96">
        <f t="shared" si="1"/>
        <v>1.1195015007135E-2</v>
      </c>
      <c r="I52" s="14">
        <f>ROUND(F52*Прил.10!$D$12,2)</f>
        <v>32047.439999999999</v>
      </c>
      <c r="J52" s="14">
        <f t="shared" si="4"/>
        <v>1111.4100000000001</v>
      </c>
    </row>
    <row r="53" spans="1:12" s="1" customFormat="1" ht="25.5" customHeight="1" outlineLevel="1" x14ac:dyDescent="0.2">
      <c r="A53" s="2">
        <v>25</v>
      </c>
      <c r="B53" s="49" t="s">
        <v>124</v>
      </c>
      <c r="C53" s="3" t="s">
        <v>125</v>
      </c>
      <c r="D53" s="2" t="s">
        <v>126</v>
      </c>
      <c r="E53" s="9">
        <v>68.843199999999996</v>
      </c>
      <c r="F53" s="14">
        <v>1</v>
      </c>
      <c r="G53" s="14">
        <f t="shared" si="3"/>
        <v>68.84</v>
      </c>
      <c r="H53" s="96">
        <f t="shared" si="1"/>
        <v>5.5752357164954996E-3</v>
      </c>
      <c r="I53" s="14">
        <f>ROUND(F53*Прил.10!$D$12,2)</f>
        <v>8.0399999999999991</v>
      </c>
      <c r="J53" s="14">
        <f t="shared" si="4"/>
        <v>553.5</v>
      </c>
    </row>
    <row r="54" spans="1:12" s="1" customFormat="1" ht="14.25" customHeight="1" outlineLevel="1" x14ac:dyDescent="0.2">
      <c r="A54" s="2">
        <v>26</v>
      </c>
      <c r="B54" s="49" t="s">
        <v>127</v>
      </c>
      <c r="C54" s="3" t="s">
        <v>128</v>
      </c>
      <c r="D54" s="2" t="s">
        <v>129</v>
      </c>
      <c r="E54" s="9">
        <v>0.71399999999999997</v>
      </c>
      <c r="F54" s="14">
        <v>79.099999999999994</v>
      </c>
      <c r="G54" s="14">
        <f t="shared" si="3"/>
        <v>56.48</v>
      </c>
      <c r="H54" s="96">
        <f t="shared" si="1"/>
        <v>4.5742201230051004E-3</v>
      </c>
      <c r="I54" s="14">
        <f>ROUND(F54*Прил.10!$D$12,2)</f>
        <v>635.96</v>
      </c>
      <c r="J54" s="14">
        <f t="shared" si="4"/>
        <v>454.08</v>
      </c>
    </row>
    <row r="55" spans="1:12" s="1" customFormat="1" ht="14.25" customHeight="1" outlineLevel="1" x14ac:dyDescent="0.2">
      <c r="A55" s="2">
        <v>27</v>
      </c>
      <c r="B55" s="49" t="s">
        <v>130</v>
      </c>
      <c r="C55" s="3" t="s">
        <v>131</v>
      </c>
      <c r="D55" s="2" t="s">
        <v>119</v>
      </c>
      <c r="E55" s="9">
        <v>0.41615999999999997</v>
      </c>
      <c r="F55" s="14">
        <v>86</v>
      </c>
      <c r="G55" s="14">
        <f t="shared" si="3"/>
        <v>35.79</v>
      </c>
      <c r="H55" s="96">
        <f t="shared" si="1"/>
        <v>2.8985718520246001E-3</v>
      </c>
      <c r="I55" s="14">
        <f>ROUND(F55*Прил.10!$D$12,2)</f>
        <v>691.44</v>
      </c>
      <c r="J55" s="14">
        <f t="shared" si="4"/>
        <v>287.75</v>
      </c>
    </row>
    <row r="56" spans="1:12" s="1" customFormat="1" ht="14.25" customHeight="1" outlineLevel="1" x14ac:dyDescent="0.2">
      <c r="A56" s="2">
        <v>28</v>
      </c>
      <c r="B56" s="49" t="s">
        <v>132</v>
      </c>
      <c r="C56" s="3" t="s">
        <v>133</v>
      </c>
      <c r="D56" s="2" t="s">
        <v>134</v>
      </c>
      <c r="E56" s="9">
        <v>0.17</v>
      </c>
      <c r="F56" s="14">
        <v>39</v>
      </c>
      <c r="G56" s="14">
        <f t="shared" si="3"/>
        <v>6.63</v>
      </c>
      <c r="H56" s="96">
        <f t="shared" si="1"/>
        <v>5.3695253922669004E-4</v>
      </c>
      <c r="I56" s="14">
        <f>ROUND(F56*Прил.10!$D$12,2)</f>
        <v>313.56</v>
      </c>
      <c r="J56" s="14">
        <f t="shared" si="4"/>
        <v>53.31</v>
      </c>
    </row>
    <row r="57" spans="1:12" s="1" customFormat="1" ht="14.25" customHeight="1" outlineLevel="1" x14ac:dyDescent="0.2">
      <c r="A57" s="2">
        <v>29</v>
      </c>
      <c r="B57" s="49" t="s">
        <v>135</v>
      </c>
      <c r="C57" s="3" t="s">
        <v>136</v>
      </c>
      <c r="D57" s="2" t="s">
        <v>90</v>
      </c>
      <c r="E57" s="9">
        <v>0.34</v>
      </c>
      <c r="F57" s="14">
        <v>13.55</v>
      </c>
      <c r="G57" s="14">
        <f t="shared" si="3"/>
        <v>4.6100000000000003</v>
      </c>
      <c r="H57" s="96">
        <f t="shared" si="1"/>
        <v>3.733561396433E-4</v>
      </c>
      <c r="I57" s="14">
        <f>ROUND(F57*Прил.10!$D$12,2)</f>
        <v>108.94</v>
      </c>
      <c r="J57" s="14">
        <f t="shared" si="4"/>
        <v>37.04</v>
      </c>
    </row>
    <row r="58" spans="1:12" s="1" customFormat="1" ht="14.25" customHeight="1" outlineLevel="1" x14ac:dyDescent="0.2">
      <c r="A58" s="2">
        <v>30</v>
      </c>
      <c r="B58" s="49" t="s">
        <v>137</v>
      </c>
      <c r="C58" s="3" t="s">
        <v>138</v>
      </c>
      <c r="D58" s="2" t="s">
        <v>105</v>
      </c>
      <c r="E58" s="9">
        <v>2.7199999999999998E-2</v>
      </c>
      <c r="F58" s="14">
        <v>41.7</v>
      </c>
      <c r="G58" s="14">
        <f t="shared" si="3"/>
        <v>1.1299999999999999</v>
      </c>
      <c r="H58" s="96">
        <f t="shared" si="1"/>
        <v>9.1516797786751004E-5</v>
      </c>
      <c r="I58" s="14">
        <f>ROUND(F58*Прил.10!$D$12,2)</f>
        <v>335.27</v>
      </c>
      <c r="J58" s="14">
        <f t="shared" si="4"/>
        <v>9.1199999999999992</v>
      </c>
    </row>
    <row r="59" spans="1:12" s="1" customFormat="1" ht="51" customHeight="1" outlineLevel="1" x14ac:dyDescent="0.2">
      <c r="A59" s="2">
        <v>31</v>
      </c>
      <c r="B59" s="49" t="s">
        <v>139</v>
      </c>
      <c r="C59" s="3" t="s">
        <v>140</v>
      </c>
      <c r="D59" s="2" t="s">
        <v>119</v>
      </c>
      <c r="E59" s="9">
        <v>0.41615999999999997</v>
      </c>
      <c r="F59" s="14">
        <v>2</v>
      </c>
      <c r="G59" s="14">
        <f t="shared" si="3"/>
        <v>0.83</v>
      </c>
      <c r="H59" s="96">
        <f t="shared" si="1"/>
        <v>6.7220302799117997E-5</v>
      </c>
      <c r="I59" s="14">
        <f>ROUND(F59*Прил.10!$D$12,2)</f>
        <v>16.079999999999998</v>
      </c>
      <c r="J59" s="14">
        <f t="shared" si="4"/>
        <v>6.69</v>
      </c>
    </row>
    <row r="60" spans="1:12" s="1" customFormat="1" ht="14.25" customHeight="1" outlineLevel="1" x14ac:dyDescent="0.2">
      <c r="A60" s="2">
        <v>32</v>
      </c>
      <c r="B60" s="49" t="s">
        <v>141</v>
      </c>
      <c r="C60" s="3" t="s">
        <v>142</v>
      </c>
      <c r="D60" s="2" t="s">
        <v>143</v>
      </c>
      <c r="E60" s="9">
        <v>8.1600000000000006E-2</v>
      </c>
      <c r="F60" s="14">
        <v>6.9</v>
      </c>
      <c r="G60" s="14">
        <f t="shared" si="3"/>
        <v>0.56000000000000005</v>
      </c>
      <c r="H60" s="96">
        <f t="shared" si="1"/>
        <v>4.5353457310247997E-5</v>
      </c>
      <c r="I60" s="14">
        <f>ROUND(F60*Прил.10!$D$12,2)</f>
        <v>55.48</v>
      </c>
      <c r="J60" s="14">
        <f t="shared" si="4"/>
        <v>4.53</v>
      </c>
    </row>
    <row r="61" spans="1:12" s="1" customFormat="1" ht="14.25" customHeight="1" x14ac:dyDescent="0.2">
      <c r="A61" s="2"/>
      <c r="B61" s="2"/>
      <c r="C61" s="3" t="s">
        <v>208</v>
      </c>
      <c r="D61" s="2"/>
      <c r="E61" s="98"/>
      <c r="F61" s="4"/>
      <c r="G61" s="14">
        <f>SUM(G46:G60)</f>
        <v>1583.87</v>
      </c>
      <c r="H61" s="96">
        <f>G61/G62</f>
        <v>0.12827496505354</v>
      </c>
      <c r="I61" s="14"/>
      <c r="J61" s="14">
        <f>SUM(J46:J60)</f>
        <v>12734.33</v>
      </c>
      <c r="L61" s="84"/>
    </row>
    <row r="62" spans="1:12" s="1" customFormat="1" ht="14.25" customHeight="1" x14ac:dyDescent="0.2">
      <c r="A62" s="2"/>
      <c r="B62" s="2"/>
      <c r="C62" s="5" t="s">
        <v>209</v>
      </c>
      <c r="D62" s="2"/>
      <c r="E62" s="98"/>
      <c r="F62" s="4"/>
      <c r="G62" s="14">
        <f>G45+G61</f>
        <v>12347.46</v>
      </c>
      <c r="H62" s="96">
        <v>1</v>
      </c>
      <c r="I62" s="4"/>
      <c r="J62" s="14">
        <f>J45+J61</f>
        <v>99273.49</v>
      </c>
      <c r="K62" s="48"/>
    </row>
    <row r="63" spans="1:12" s="1" customFormat="1" ht="14.25" customHeight="1" x14ac:dyDescent="0.2">
      <c r="A63" s="2"/>
      <c r="B63" s="2"/>
      <c r="C63" s="3" t="s">
        <v>210</v>
      </c>
      <c r="D63" s="2"/>
      <c r="E63" s="98"/>
      <c r="F63" s="4"/>
      <c r="G63" s="14">
        <f>G14+G28+G62</f>
        <v>18158.43</v>
      </c>
      <c r="H63" s="96"/>
      <c r="I63" s="4"/>
      <c r="J63" s="14">
        <f>J14+J28+J62</f>
        <v>245106.78</v>
      </c>
    </row>
    <row r="64" spans="1:12" s="1" customFormat="1" ht="14.25" customHeight="1" x14ac:dyDescent="0.2">
      <c r="A64" s="2"/>
      <c r="B64" s="2"/>
      <c r="C64" s="3" t="s">
        <v>211</v>
      </c>
      <c r="D64" s="2" t="s">
        <v>212</v>
      </c>
      <c r="E64" s="105">
        <v>0.95</v>
      </c>
      <c r="F64" s="4"/>
      <c r="G64" s="14">
        <f>ROUND(E64*(G14+G16),2)</f>
        <v>2449.17</v>
      </c>
      <c r="H64" s="96"/>
      <c r="I64" s="4"/>
      <c r="J64" s="14">
        <f>ROUND(E64*(J14+J16),2)</f>
        <v>112210.53</v>
      </c>
      <c r="K64" s="50"/>
    </row>
    <row r="65" spans="1:14" s="1" customFormat="1" ht="14.25" customHeight="1" x14ac:dyDescent="0.2">
      <c r="A65" s="2"/>
      <c r="B65" s="2"/>
      <c r="C65" s="3" t="s">
        <v>213</v>
      </c>
      <c r="D65" s="2" t="s">
        <v>212</v>
      </c>
      <c r="E65" s="105">
        <v>0.5</v>
      </c>
      <c r="F65" s="4"/>
      <c r="G65" s="14">
        <f>ROUND(E65*(G14+G16),2)</f>
        <v>1289.04</v>
      </c>
      <c r="H65" s="96"/>
      <c r="I65" s="4"/>
      <c r="J65" s="14">
        <f>ROUND(E65*(J14+J16),2)</f>
        <v>59058.18</v>
      </c>
      <c r="K65" s="50"/>
    </row>
    <row r="66" spans="1:14" s="1" customFormat="1" ht="14.25" customHeight="1" x14ac:dyDescent="0.2">
      <c r="A66" s="2"/>
      <c r="B66" s="2"/>
      <c r="C66" s="3" t="s">
        <v>214</v>
      </c>
      <c r="D66" s="2"/>
      <c r="E66" s="98"/>
      <c r="F66" s="4"/>
      <c r="G66" s="14">
        <f>G14+G28+G62+G64+G65</f>
        <v>21896.639999999999</v>
      </c>
      <c r="H66" s="96"/>
      <c r="I66" s="4"/>
      <c r="J66" s="14">
        <f>J14+J28+J62+J64+J65</f>
        <v>416375.49</v>
      </c>
      <c r="L66" s="51"/>
    </row>
    <row r="67" spans="1:14" s="1" customFormat="1" ht="14.25" customHeight="1" x14ac:dyDescent="0.2">
      <c r="A67" s="2"/>
      <c r="B67" s="2"/>
      <c r="C67" s="3" t="s">
        <v>215</v>
      </c>
      <c r="D67" s="2"/>
      <c r="E67" s="98"/>
      <c r="F67" s="4"/>
      <c r="G67" s="14">
        <f>G66+G35</f>
        <v>1653685.77</v>
      </c>
      <c r="H67" s="96"/>
      <c r="I67" s="4"/>
      <c r="J67" s="14">
        <f>J66+J35</f>
        <v>10631375.49</v>
      </c>
      <c r="L67" s="50"/>
    </row>
    <row r="68" spans="1:14" s="1" customFormat="1" ht="14.25" customHeight="1" x14ac:dyDescent="0.2">
      <c r="A68" s="2"/>
      <c r="B68" s="2"/>
      <c r="C68" s="3" t="s">
        <v>180</v>
      </c>
      <c r="D68" s="2" t="s">
        <v>216</v>
      </c>
      <c r="E68" s="106">
        <f>'Прил.1 Сравнит табл'!D14</f>
        <v>3</v>
      </c>
      <c r="F68" s="4"/>
      <c r="G68" s="14">
        <f>G67/E68</f>
        <v>551228.59</v>
      </c>
      <c r="H68" s="96"/>
      <c r="I68" s="4"/>
      <c r="J68" s="14">
        <f>J67/E68</f>
        <v>3543791.83</v>
      </c>
      <c r="L68" s="84"/>
    </row>
    <row r="70" spans="1:14" s="1" customFormat="1" ht="14.25" customHeight="1" x14ac:dyDescent="0.2">
      <c r="A70" s="10"/>
    </row>
    <row r="71" spans="1:14" x14ac:dyDescent="0.25">
      <c r="A71"/>
      <c r="B71" s="122" t="s">
        <v>311</v>
      </c>
      <c r="C71" s="127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/>
      <c r="B72" s="119" t="s">
        <v>33</v>
      </c>
      <c r="C72" s="127"/>
      <c r="D72"/>
      <c r="E72"/>
      <c r="F72"/>
      <c r="G72"/>
      <c r="H72"/>
      <c r="I72"/>
      <c r="J72"/>
      <c r="K72"/>
      <c r="L72"/>
      <c r="M72"/>
      <c r="N72"/>
    </row>
    <row r="73" spans="1:14" x14ac:dyDescent="0.25">
      <c r="A73"/>
      <c r="B73" s="122"/>
      <c r="C73" s="127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/>
      <c r="B74" s="122" t="s">
        <v>312</v>
      </c>
      <c r="C74" s="127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/>
      <c r="B75" s="119" t="s">
        <v>34</v>
      </c>
      <c r="C75" s="127"/>
      <c r="D75"/>
      <c r="E75"/>
      <c r="F75"/>
      <c r="G75"/>
      <c r="H75"/>
      <c r="I75"/>
      <c r="J75"/>
      <c r="K75"/>
      <c r="L75"/>
      <c r="M75"/>
      <c r="N75"/>
    </row>
  </sheetData>
  <sheetProtection formatCells="0" formatColumns="0" formatRows="0" insertColumns="0" insertRows="0" insertHyperlinks="0" deleteColumns="0" deleteRows="0" sort="0" autoFilter="0" pivotTables="0"/>
  <mergeCells count="18">
    <mergeCell ref="A4:H4"/>
    <mergeCell ref="A9:A10"/>
    <mergeCell ref="B9:B10"/>
    <mergeCell ref="C9:C10"/>
    <mergeCell ref="D9:D10"/>
    <mergeCell ref="E9:E10"/>
    <mergeCell ref="F9:G9"/>
    <mergeCell ref="H9:H10"/>
    <mergeCell ref="B38:H38"/>
    <mergeCell ref="B29:J29"/>
    <mergeCell ref="B37:J37"/>
    <mergeCell ref="I9:J9"/>
    <mergeCell ref="D6:J6"/>
    <mergeCell ref="B17:H17"/>
    <mergeCell ref="B18:H18"/>
    <mergeCell ref="B30:J30"/>
    <mergeCell ref="B12:H12"/>
    <mergeCell ref="B15:H1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workbookViewId="0">
      <selection activeCell="D31" sqref="D31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8" t="s">
        <v>217</v>
      </c>
      <c r="B1" s="178"/>
      <c r="C1" s="178"/>
      <c r="D1" s="178"/>
      <c r="E1" s="178"/>
      <c r="F1" s="178"/>
      <c r="G1" s="178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7" t="s">
        <v>218</v>
      </c>
      <c r="B5" s="157"/>
      <c r="C5" s="157"/>
      <c r="D5" s="157"/>
      <c r="E5" s="157"/>
      <c r="F5" s="157"/>
      <c r="G5" s="157"/>
    </row>
    <row r="6" spans="1:7" ht="30.75" customHeight="1" x14ac:dyDescent="0.25">
      <c r="A6" s="147" t="s">
        <v>3</v>
      </c>
      <c r="B6" s="147"/>
      <c r="C6" s="147"/>
      <c r="D6" s="147"/>
      <c r="E6" s="147"/>
      <c r="F6" s="147"/>
      <c r="G6" s="147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59" t="s">
        <v>185</v>
      </c>
      <c r="B8" s="159" t="s">
        <v>55</v>
      </c>
      <c r="C8" s="159" t="s">
        <v>146</v>
      </c>
      <c r="D8" s="159" t="s">
        <v>57</v>
      </c>
      <c r="E8" s="172" t="s">
        <v>186</v>
      </c>
      <c r="F8" s="179" t="s">
        <v>59</v>
      </c>
      <c r="G8" s="179"/>
    </row>
    <row r="9" spans="1:7" x14ac:dyDescent="0.25">
      <c r="A9" s="159"/>
      <c r="B9" s="159"/>
      <c r="C9" s="159"/>
      <c r="D9" s="159"/>
      <c r="E9" s="173"/>
      <c r="F9" s="2" t="s">
        <v>189</v>
      </c>
      <c r="G9" s="2" t="s">
        <v>61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74" t="s">
        <v>219</v>
      </c>
      <c r="C11" s="175"/>
      <c r="D11" s="175"/>
      <c r="E11" s="175"/>
      <c r="F11" s="175"/>
      <c r="G11" s="176"/>
    </row>
    <row r="12" spans="1:7" ht="27" customHeight="1" x14ac:dyDescent="0.25">
      <c r="A12" s="2"/>
      <c r="B12" s="5"/>
      <c r="C12" s="3" t="s">
        <v>220</v>
      </c>
      <c r="D12" s="5"/>
      <c r="E12" s="8"/>
      <c r="F12" s="4"/>
      <c r="G12" s="4">
        <v>0</v>
      </c>
    </row>
    <row r="13" spans="1:7" x14ac:dyDescent="0.25">
      <c r="A13" s="2"/>
      <c r="B13" s="158" t="s">
        <v>221</v>
      </c>
      <c r="C13" s="158"/>
      <c r="D13" s="158"/>
      <c r="E13" s="177"/>
      <c r="F13" s="161"/>
      <c r="G13" s="161"/>
    </row>
    <row r="14" spans="1:7" x14ac:dyDescent="0.25">
      <c r="A14" s="2">
        <v>1</v>
      </c>
      <c r="B14" s="49" t="s">
        <v>200</v>
      </c>
      <c r="C14" s="3" t="s">
        <v>87</v>
      </c>
      <c r="D14" s="111" t="str">
        <f>'Прил.5 Расчет СМР и ОБ'!D31</f>
        <v>компл</v>
      </c>
      <c r="E14" s="132">
        <f>'Прил.5 Расчет СМР и ОБ'!E31</f>
        <v>3</v>
      </c>
      <c r="F14" s="14">
        <f>'Прил.5 Расчет СМР и ОБ'!F31</f>
        <v>488817.89</v>
      </c>
      <c r="G14" s="14">
        <f>ROUND(E14*F14,2)</f>
        <v>1466453.67</v>
      </c>
    </row>
    <row r="15" spans="1:7" x14ac:dyDescent="0.25">
      <c r="A15" s="2">
        <f>A14+1</f>
        <v>2</v>
      </c>
      <c r="B15" s="107" t="str">
        <f>'Прил.5 Расчет СМР и ОБ'!B33</f>
        <v>БЦ.30_1.159</v>
      </c>
      <c r="C15" s="12" t="str">
        <f>'Прил.5 Расчет СМР и ОБ'!C33</f>
        <v>Шкаф управления разъединителями</v>
      </c>
      <c r="D15" s="111" t="str">
        <f>'Прил.5 Расчет СМР и ОБ'!D33</f>
        <v>шт</v>
      </c>
      <c r="E15" s="132">
        <f>'Прил.5 Расчет СМР и ОБ'!E33</f>
        <v>3</v>
      </c>
      <c r="F15" s="14">
        <f>'Прил.5 Расчет СМР и ОБ'!F33</f>
        <v>55111.82</v>
      </c>
      <c r="G15" s="14">
        <f>ROUND(E15*F15,2)</f>
        <v>165335.46</v>
      </c>
    </row>
    <row r="16" spans="1:7" ht="25.5" customHeight="1" x14ac:dyDescent="0.25">
      <c r="A16" s="2"/>
      <c r="B16" s="12"/>
      <c r="C16" s="12" t="s">
        <v>222</v>
      </c>
      <c r="D16" s="12"/>
      <c r="E16" s="13"/>
      <c r="F16" s="4"/>
      <c r="G16" s="14">
        <f>SUM(G14:G15)</f>
        <v>1631789.13</v>
      </c>
    </row>
    <row r="17" spans="1:7" ht="19.5" customHeight="1" x14ac:dyDescent="0.25">
      <c r="A17" s="2"/>
      <c r="B17" s="3"/>
      <c r="C17" s="3" t="s">
        <v>223</v>
      </c>
      <c r="D17" s="3"/>
      <c r="E17" s="9"/>
      <c r="F17" s="4"/>
      <c r="G17" s="14">
        <f>G12+G16</f>
        <v>1631789.13</v>
      </c>
    </row>
    <row r="18" spans="1:7" x14ac:dyDescent="0.25">
      <c r="A18" s="10"/>
      <c r="B18" s="11"/>
      <c r="C18" s="10"/>
      <c r="D18" s="10"/>
      <c r="E18" s="10"/>
      <c r="F18" s="10"/>
      <c r="G18" s="10"/>
    </row>
    <row r="19" spans="1:7" x14ac:dyDescent="0.25">
      <c r="B19" s="122" t="s">
        <v>311</v>
      </c>
      <c r="C19" s="127"/>
    </row>
    <row r="20" spans="1:7" x14ac:dyDescent="0.25">
      <c r="B20" s="119" t="s">
        <v>33</v>
      </c>
      <c r="C20" s="127"/>
    </row>
    <row r="21" spans="1:7" x14ac:dyDescent="0.25">
      <c r="B21" s="122"/>
      <c r="C21" s="127"/>
    </row>
    <row r="22" spans="1:7" x14ac:dyDescent="0.25">
      <c r="B22" s="122" t="s">
        <v>312</v>
      </c>
      <c r="C22" s="127"/>
    </row>
    <row r="23" spans="1:7" x14ac:dyDescent="0.25">
      <c r="B23" s="119" t="s">
        <v>34</v>
      </c>
      <c r="C23" s="127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D31" sqref="D31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15"/>
      <c r="C1" s="115"/>
      <c r="D1" s="116" t="s">
        <v>224</v>
      </c>
    </row>
    <row r="2" spans="1:5" x14ac:dyDescent="0.25">
      <c r="A2" s="116"/>
      <c r="B2" s="116"/>
      <c r="C2" s="116"/>
      <c r="D2" s="116"/>
    </row>
    <row r="3" spans="1:5" ht="24.75" customHeight="1" x14ac:dyDescent="0.25">
      <c r="A3" s="157" t="s">
        <v>225</v>
      </c>
      <c r="B3" s="157"/>
      <c r="C3" s="157"/>
      <c r="D3" s="157"/>
    </row>
    <row r="4" spans="1:5" ht="24.75" customHeight="1" x14ac:dyDescent="0.25">
      <c r="A4" s="117"/>
      <c r="B4" s="117"/>
      <c r="C4" s="117"/>
      <c r="D4" s="117"/>
    </row>
    <row r="5" spans="1:5" ht="50.25" customHeight="1" x14ac:dyDescent="0.25">
      <c r="A5" s="180" t="s">
        <v>226</v>
      </c>
      <c r="B5" s="180"/>
      <c r="C5" s="180"/>
      <c r="D5" s="121" t="str">
        <f>'Прил.5 Расчет СМР и ОБ'!D6:J6</f>
        <v>Однополюсный разъединитель без устройства фундамента напряжение 220(150) кВ</v>
      </c>
    </row>
    <row r="6" spans="1:5" ht="19.899999999999999" customHeight="1" x14ac:dyDescent="0.25">
      <c r="A6" s="180" t="s">
        <v>227</v>
      </c>
      <c r="B6" s="180"/>
      <c r="C6" s="180"/>
      <c r="D6" s="121"/>
    </row>
    <row r="7" spans="1:5" x14ac:dyDescent="0.25">
      <c r="A7" s="122"/>
      <c r="B7" s="122"/>
      <c r="C7" s="122"/>
      <c r="D7" s="122"/>
    </row>
    <row r="8" spans="1:5" ht="14.45" customHeight="1" x14ac:dyDescent="0.25">
      <c r="A8" s="156" t="s">
        <v>228</v>
      </c>
      <c r="B8" s="156" t="s">
        <v>229</v>
      </c>
      <c r="C8" s="156" t="s">
        <v>230</v>
      </c>
      <c r="D8" s="156" t="s">
        <v>231</v>
      </c>
    </row>
    <row r="9" spans="1:5" ht="15" customHeight="1" x14ac:dyDescent="0.25">
      <c r="A9" s="156"/>
      <c r="B9" s="156"/>
      <c r="C9" s="156"/>
      <c r="D9" s="156"/>
    </row>
    <row r="10" spans="1:5" x14ac:dyDescent="0.25">
      <c r="A10" s="123">
        <v>1</v>
      </c>
      <c r="B10" s="123">
        <v>2</v>
      </c>
      <c r="C10" s="123">
        <v>3</v>
      </c>
      <c r="D10" s="123">
        <v>4</v>
      </c>
    </row>
    <row r="11" spans="1:5" ht="41.45" customHeight="1" x14ac:dyDescent="0.25">
      <c r="A11" s="123" t="s">
        <v>232</v>
      </c>
      <c r="B11" s="123" t="s">
        <v>233</v>
      </c>
      <c r="C11" s="128" t="str">
        <f>D5</f>
        <v>Однополюсный разъединитель без устройства фундамента напряжение 220(150) кВ</v>
      </c>
      <c r="D11" s="124">
        <f>'Прил.4 РМ'!C40/1000</f>
        <v>3829.8056933333</v>
      </c>
      <c r="E11" s="118"/>
    </row>
    <row r="12" spans="1:5" x14ac:dyDescent="0.25">
      <c r="A12" s="125"/>
      <c r="B12" s="126"/>
      <c r="C12" s="125"/>
      <c r="D12" s="125"/>
    </row>
    <row r="13" spans="1:5" x14ac:dyDescent="0.25">
      <c r="B13" s="122" t="s">
        <v>311</v>
      </c>
      <c r="C13" s="127"/>
    </row>
    <row r="14" spans="1:5" x14ac:dyDescent="0.25">
      <c r="B14" s="119" t="s">
        <v>33</v>
      </c>
      <c r="C14" s="127"/>
    </row>
    <row r="15" spans="1:5" x14ac:dyDescent="0.25">
      <c r="B15" s="122"/>
      <c r="C15" s="127"/>
    </row>
    <row r="16" spans="1:5" x14ac:dyDescent="0.25">
      <c r="B16" s="122" t="s">
        <v>312</v>
      </c>
      <c r="C16" s="127"/>
    </row>
    <row r="17" spans="2:3" x14ac:dyDescent="0.25">
      <c r="B17" s="119" t="s">
        <v>34</v>
      </c>
      <c r="C17" s="127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tabSelected="1" view="pageBreakPreview" topLeftCell="A16" zoomScale="60" zoomScaleNormal="100" workbookViewId="0">
      <selection activeCell="D31" sqref="D31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44" t="s">
        <v>234</v>
      </c>
      <c r="C4" s="144"/>
      <c r="D4" s="144"/>
    </row>
    <row r="5" spans="2:4" ht="18.75" customHeight="1" x14ac:dyDescent="0.25">
      <c r="B5" s="35"/>
    </row>
    <row r="6" spans="2:4" ht="15.75" customHeight="1" x14ac:dyDescent="0.25">
      <c r="B6" s="148" t="s">
        <v>235</v>
      </c>
      <c r="C6" s="148"/>
      <c r="D6" s="148"/>
    </row>
    <row r="7" spans="2:4" ht="18.75" customHeight="1" x14ac:dyDescent="0.25">
      <c r="B7" s="36"/>
    </row>
    <row r="8" spans="2:4" ht="47.25" customHeight="1" x14ac:dyDescent="0.25">
      <c r="B8" s="37" t="s">
        <v>236</v>
      </c>
      <c r="C8" s="37" t="s">
        <v>237</v>
      </c>
      <c r="D8" s="37" t="s">
        <v>238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31.5" customHeight="1" x14ac:dyDescent="0.25">
      <c r="B10" s="37" t="s">
        <v>239</v>
      </c>
      <c r="C10" s="37" t="s">
        <v>240</v>
      </c>
      <c r="D10" s="37">
        <v>44.29</v>
      </c>
    </row>
    <row r="11" spans="2:4" ht="31.5" customHeight="1" x14ac:dyDescent="0.25">
      <c r="B11" s="37" t="s">
        <v>241</v>
      </c>
      <c r="C11" s="37" t="s">
        <v>240</v>
      </c>
      <c r="D11" s="37">
        <v>13.47</v>
      </c>
    </row>
    <row r="12" spans="2:4" ht="31.5" customHeight="1" x14ac:dyDescent="0.25">
      <c r="B12" s="37" t="s">
        <v>242</v>
      </c>
      <c r="C12" s="37" t="s">
        <v>240</v>
      </c>
      <c r="D12" s="37">
        <v>8.0399999999999991</v>
      </c>
    </row>
    <row r="13" spans="2:4" ht="31.5" customHeight="1" x14ac:dyDescent="0.25">
      <c r="B13" s="37" t="s">
        <v>243</v>
      </c>
      <c r="C13" s="108" t="s">
        <v>244</v>
      </c>
      <c r="D13" s="37">
        <v>6.26</v>
      </c>
    </row>
    <row r="14" spans="2:4" ht="89.25" customHeight="1" x14ac:dyDescent="0.25">
      <c r="B14" s="37" t="s">
        <v>245</v>
      </c>
      <c r="C14" s="37" t="s">
        <v>246</v>
      </c>
      <c r="D14" s="41">
        <v>3.9E-2</v>
      </c>
    </row>
    <row r="15" spans="2:4" ht="78.75" customHeight="1" x14ac:dyDescent="0.25">
      <c r="B15" s="37" t="s">
        <v>247</v>
      </c>
      <c r="C15" s="37" t="s">
        <v>248</v>
      </c>
      <c r="D15" s="41">
        <v>2.1000000000000001E-2</v>
      </c>
    </row>
    <row r="16" spans="2:4" ht="15.75" customHeight="1" x14ac:dyDescent="0.25">
      <c r="B16" s="37" t="s">
        <v>170</v>
      </c>
      <c r="C16" s="37"/>
      <c r="D16" s="37" t="s">
        <v>249</v>
      </c>
    </row>
    <row r="17" spans="2:4" ht="31.5" customHeight="1" x14ac:dyDescent="0.25">
      <c r="B17" s="37" t="s">
        <v>250</v>
      </c>
      <c r="C17" s="37" t="s">
        <v>251</v>
      </c>
      <c r="D17" s="41">
        <v>2.1399999999999999E-2</v>
      </c>
    </row>
    <row r="18" spans="2:4" ht="31.5" customHeight="1" x14ac:dyDescent="0.25">
      <c r="B18" s="37" t="s">
        <v>176</v>
      </c>
      <c r="C18" s="37" t="s">
        <v>252</v>
      </c>
      <c r="D18" s="41">
        <v>2E-3</v>
      </c>
    </row>
    <row r="19" spans="2:4" ht="24" customHeight="1" x14ac:dyDescent="0.25">
      <c r="B19" s="37" t="s">
        <v>178</v>
      </c>
      <c r="C19" s="37" t="s">
        <v>253</v>
      </c>
      <c r="D19" s="41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122" t="s">
        <v>311</v>
      </c>
      <c r="C26" s="127"/>
    </row>
    <row r="27" spans="2:4" x14ac:dyDescent="0.25">
      <c r="B27" s="119" t="s">
        <v>33</v>
      </c>
      <c r="C27" s="127"/>
    </row>
    <row r="28" spans="2:4" x14ac:dyDescent="0.25">
      <c r="B28" s="122"/>
      <c r="C28" s="127"/>
    </row>
    <row r="29" spans="2:4" x14ac:dyDescent="0.25">
      <c r="B29" s="122" t="s">
        <v>312</v>
      </c>
      <c r="C29" s="127"/>
    </row>
    <row r="30" spans="2:4" x14ac:dyDescent="0.25">
      <c r="B30" s="119" t="s">
        <v>34</v>
      </c>
      <c r="C30" s="127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D31" sqref="D31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254</v>
      </c>
      <c r="B2" s="181"/>
      <c r="C2" s="181"/>
      <c r="D2" s="181"/>
      <c r="E2" s="181"/>
      <c r="F2" s="181"/>
    </row>
    <row r="4" spans="1:7" ht="18" customHeight="1" x14ac:dyDescent="0.25">
      <c r="A4" s="20" t="s">
        <v>255</v>
      </c>
    </row>
    <row r="5" spans="1:7" x14ac:dyDescent="0.25">
      <c r="A5" s="21" t="s">
        <v>185</v>
      </c>
      <c r="B5" s="21" t="s">
        <v>256</v>
      </c>
      <c r="C5" s="21" t="s">
        <v>257</v>
      </c>
      <c r="D5" s="21" t="s">
        <v>258</v>
      </c>
      <c r="E5" s="21" t="s">
        <v>259</v>
      </c>
      <c r="F5" s="21" t="s">
        <v>260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261</v>
      </c>
      <c r="B7" s="24" t="s">
        <v>262</v>
      </c>
      <c r="C7" s="23" t="s">
        <v>263</v>
      </c>
      <c r="D7" s="23" t="s">
        <v>264</v>
      </c>
      <c r="E7" s="25">
        <v>47872.94</v>
      </c>
      <c r="F7" s="24" t="s">
        <v>265</v>
      </c>
    </row>
    <row r="8" spans="1:7" ht="30" customHeight="1" x14ac:dyDescent="0.25">
      <c r="A8" s="22" t="s">
        <v>266</v>
      </c>
      <c r="B8" s="24" t="s">
        <v>267</v>
      </c>
      <c r="C8" s="23" t="s">
        <v>268</v>
      </c>
      <c r="D8" s="23" t="s">
        <v>269</v>
      </c>
      <c r="E8" s="25">
        <f>1973/12</f>
        <v>164.41666666667001</v>
      </c>
      <c r="F8" s="24" t="s">
        <v>270</v>
      </c>
      <c r="G8" s="26"/>
    </row>
    <row r="9" spans="1:7" x14ac:dyDescent="0.25">
      <c r="A9" s="22" t="s">
        <v>271</v>
      </c>
      <c r="B9" s="24" t="s">
        <v>272</v>
      </c>
      <c r="C9" s="23" t="s">
        <v>273</v>
      </c>
      <c r="D9" s="23" t="s">
        <v>264</v>
      </c>
      <c r="E9" s="25">
        <v>1</v>
      </c>
      <c r="F9" s="24"/>
      <c r="G9" s="27"/>
    </row>
    <row r="10" spans="1:7" x14ac:dyDescent="0.25">
      <c r="A10" s="22" t="s">
        <v>274</v>
      </c>
      <c r="B10" s="24" t="s">
        <v>275</v>
      </c>
      <c r="C10" s="23"/>
      <c r="D10" s="23"/>
      <c r="E10" s="28">
        <v>4</v>
      </c>
      <c r="F10" s="24" t="s">
        <v>276</v>
      </c>
      <c r="G10" s="27"/>
    </row>
    <row r="11" spans="1:7" ht="75" customHeight="1" x14ac:dyDescent="0.25">
      <c r="A11" s="22" t="s">
        <v>277</v>
      </c>
      <c r="B11" s="24" t="s">
        <v>278</v>
      </c>
      <c r="C11" s="23" t="s">
        <v>279</v>
      </c>
      <c r="D11" s="23" t="s">
        <v>264</v>
      </c>
      <c r="E11" s="29">
        <v>1.34</v>
      </c>
      <c r="F11" s="24" t="s">
        <v>280</v>
      </c>
    </row>
    <row r="12" spans="1:7" ht="75" customHeight="1" x14ac:dyDescent="0.25">
      <c r="A12" s="22" t="s">
        <v>281</v>
      </c>
      <c r="B12" s="30" t="s">
        <v>282</v>
      </c>
      <c r="C12" s="23" t="s">
        <v>283</v>
      </c>
      <c r="D12" s="23" t="s">
        <v>264</v>
      </c>
      <c r="E12" s="31">
        <v>1.139</v>
      </c>
      <c r="F12" s="32" t="s">
        <v>284</v>
      </c>
      <c r="G12" s="27" t="s">
        <v>285</v>
      </c>
    </row>
    <row r="13" spans="1:7" ht="60" customHeight="1" x14ac:dyDescent="0.25">
      <c r="A13" s="22" t="s">
        <v>286</v>
      </c>
      <c r="B13" s="33" t="s">
        <v>287</v>
      </c>
      <c r="C13" s="23" t="s">
        <v>288</v>
      </c>
      <c r="D13" s="23" t="s">
        <v>289</v>
      </c>
      <c r="E13" s="34">
        <f>((E7*E9/E8)*E11)*E12</f>
        <v>444.39870291576</v>
      </c>
      <c r="F13" s="24" t="s">
        <v>290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2023-11-30T08:45:54Z</cp:lastPrinted>
  <dcterms:created xsi:type="dcterms:W3CDTF">2020-09-30T08:50:27Z</dcterms:created>
  <dcterms:modified xsi:type="dcterms:W3CDTF">2023-11-30T08:46:17Z</dcterms:modified>
  <cp:category/>
</cp:coreProperties>
</file>