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7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2">Прил.3!$A$1:$H$58</definedName>
    <definedName name="_xlnm.Print_Area" localSheetId="3">'Прил.4 РМ'!$A$1:$E$48</definedName>
    <definedName name="_xlnm.Print_Area" localSheetId="4">'Прил.5 Расчет СМР и ОБ'!$A$1:$J$91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7" i="6"/>
  <c r="G16" i="6"/>
  <c r="G15" i="6"/>
  <c r="F15" i="6"/>
  <c r="E15" i="6"/>
  <c r="D15" i="6"/>
  <c r="C15" i="6"/>
  <c r="B15" i="6"/>
  <c r="G14" i="6"/>
  <c r="F14" i="6"/>
  <c r="E14" i="6"/>
  <c r="D14" i="6"/>
  <c r="C14" i="6"/>
  <c r="B14" i="6"/>
  <c r="J68" i="5"/>
  <c r="G68" i="5"/>
  <c r="E68" i="5"/>
  <c r="J67" i="5"/>
  <c r="G67" i="5"/>
  <c r="J66" i="5"/>
  <c r="G66" i="5"/>
  <c r="J65" i="5"/>
  <c r="G65" i="5"/>
  <c r="J64" i="5"/>
  <c r="G64" i="5"/>
  <c r="J63" i="5"/>
  <c r="G63" i="5"/>
  <c r="J62" i="5"/>
  <c r="G62" i="5"/>
  <c r="J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6" i="5"/>
  <c r="H36" i="5"/>
  <c r="G36" i="5"/>
  <c r="J35" i="5"/>
  <c r="H35" i="5"/>
  <c r="G35" i="5"/>
  <c r="J34" i="5"/>
  <c r="H34" i="5"/>
  <c r="G34" i="5"/>
  <c r="J33" i="5"/>
  <c r="H33" i="5"/>
  <c r="G33" i="5"/>
  <c r="F33" i="5"/>
  <c r="J32" i="5"/>
  <c r="H32" i="5"/>
  <c r="G32" i="5"/>
  <c r="J31" i="5"/>
  <c r="H31" i="5"/>
  <c r="G31" i="5"/>
  <c r="F31" i="5"/>
  <c r="J28" i="5"/>
  <c r="G28" i="5"/>
  <c r="J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B7" i="5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7" i="4"/>
  <c r="H51" i="3"/>
  <c r="A51" i="3"/>
  <c r="H50" i="3"/>
  <c r="A50" i="3"/>
  <c r="H49" i="3"/>
  <c r="A49" i="3"/>
  <c r="H48" i="3"/>
  <c r="A48" i="3"/>
  <c r="H47" i="3"/>
  <c r="A47" i="3"/>
  <c r="H46" i="3"/>
  <c r="A46" i="3"/>
  <c r="H45" i="3"/>
  <c r="A45" i="3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H30" i="3"/>
  <c r="H29" i="3"/>
  <c r="H28" i="3"/>
  <c r="A28" i="3"/>
  <c r="H27" i="3"/>
  <c r="H26" i="3"/>
  <c r="A26" i="3"/>
  <c r="H25" i="3"/>
  <c r="A25" i="3"/>
  <c r="H24" i="3"/>
  <c r="A24" i="3"/>
  <c r="H23" i="3"/>
  <c r="A23" i="3"/>
  <c r="H22" i="3"/>
  <c r="A22" i="3"/>
  <c r="H21" i="3"/>
  <c r="A21" i="3"/>
  <c r="H20" i="3"/>
  <c r="A20" i="3"/>
  <c r="H19" i="3"/>
  <c r="H18" i="3"/>
  <c r="F18" i="3"/>
  <c r="A18" i="3"/>
  <c r="H17" i="3"/>
  <c r="H16" i="3"/>
  <c r="A16" i="3"/>
  <c r="H15" i="3"/>
  <c r="A15" i="3"/>
  <c r="H14" i="3"/>
  <c r="A14" i="3"/>
  <c r="H13" i="3"/>
  <c r="H12" i="3"/>
  <c r="F12" i="3"/>
  <c r="A6" i="3"/>
  <c r="J14" i="2"/>
  <c r="H14" i="2"/>
  <c r="G14" i="2"/>
  <c r="J13" i="2"/>
  <c r="H13" i="2"/>
  <c r="G13" i="2"/>
  <c r="J12" i="2"/>
  <c r="H12" i="2"/>
  <c r="G12" i="2"/>
  <c r="B7" i="2"/>
  <c r="B6" i="2"/>
  <c r="D23" i="1"/>
  <c r="D22" i="1"/>
  <c r="D20" i="1"/>
  <c r="D19" i="1"/>
  <c r="D16" i="1"/>
</calcChain>
</file>

<file path=xl/sharedStrings.xml><?xml version="1.0" encoding="utf-8"?>
<sst xmlns="http://schemas.openxmlformats.org/spreadsheetml/2006/main" count="531" uniqueCount="318">
  <si>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</si>
  <si>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</si>
  <si>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</si>
  <si>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Разъединитель на три полюса без устройства фундамента напряжение 220(150) кВ</t>
  </si>
  <si>
    <t>Сопоставимый уровень цен: 3 кв. 2016 г.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</si>
  <si>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</si>
  <si>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</si>
  <si>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</si>
  <si>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</si>
  <si>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</si>
  <si>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220 кВ Звезда с заходами ВЛ 220 кВ Береговая-2 – Перевал» (в объеме ТП ОАО «ДЦСС») для нужд филиала ПАО «ФСК ЕЭС» - МЭС Востока</t>
  </si>
  <si>
    <t>Наименование субъекта Российской Федерации</t>
  </si>
  <si>
    <t>Тульская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</si>
  <si>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</si>
  <si>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</si>
  <si>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</si>
  <si>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</si>
  <si>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Разъединитель трёхполюсный с одним заземляющим ножом РГНП.1а-220/1000-40УХЛ1 - 2 компл.                           Разъединитель трёхполюсный с одним заземляющим ножом РГНП.1б-220/1000-40УХЛ1, с двигательными приводами типа ПД-14УХЛ1 - 2 компл.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</si>
  <si>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</si>
  <si>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</si>
  <si>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</si>
  <si>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</si>
  <si>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</si>
  <si>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</si>
  <si>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</si>
  <si>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</si>
  <si>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</si>
  <si>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</si>
  <si>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</si>
  <si>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</si>
  <si>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</si>
  <si>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</si>
  <si>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</si>
  <si>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</si>
  <si>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</si>
  <si>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</si>
  <si>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</si>
  <si>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</si>
  <si>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</si>
  <si>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</si>
  <si>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</si>
  <si>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2016г.,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</si>
  <si>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</si>
  <si>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</si>
  <si>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</si>
  <si>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</si>
  <si>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</si>
  <si>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02-01-02</t>
  </si>
  <si>
    <t>ОРУ 220 кВ. Первичные электрические соединения. ПС 220 кВ Звезда</t>
  </si>
  <si>
    <t>Всего по объекту:</t>
  </si>
  <si>
    <t>Всего по объекту в сопоставимом уровне цен 3 кв. 2016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</si>
  <si>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</si>
  <si>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</si>
  <si>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</si>
  <si>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</si>
  <si>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</si>
  <si>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</si>
  <si>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</si>
  <si>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</si>
  <si>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</si>
  <si>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</si>
  <si>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</si>
  <si>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</si>
  <si>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</si>
  <si>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</si>
  <si>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</si>
  <si>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</si>
  <si>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1-4-1</t>
  </si>
  <si>
    <t>Затраты труда рабочих (ср 4,1)</t>
  </si>
  <si>
    <t>1-4-7</t>
  </si>
  <si>
    <t>Затраты труда рабочих (ср 4,7)</t>
  </si>
  <si>
    <t>1-3-5</t>
  </si>
  <si>
    <t>Затраты труда рабочих (ср 3,5)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</si>
  <si>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</si>
  <si>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</si>
  <si>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</si>
  <si>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</si>
  <si>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</si>
  <si>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91.06.06-042</t>
  </si>
  <si>
    <t>Подъемники гидравлические, высота подъема 10 м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</si>
  <si>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</si>
  <si>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</si>
  <si>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</si>
  <si>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</si>
  <si>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</si>
  <si>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</si>
  <si>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</si>
  <si>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</si>
  <si>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</si>
  <si>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</si>
  <si>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</si>
  <si>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Разъединитель трёхполюсный с двумя заземляющими ножами горизонтально-поворотного типа 220 кВ, 3150 А, 63 кА</t>
  </si>
  <si>
    <t>компл.</t>
  </si>
  <si>
    <t>Шкаф управления разъединителями</t>
  </si>
  <si>
    <t>шт.</t>
  </si>
  <si>
    <t>Материалы</t>
  </si>
  <si>
    <t>21.1.06.10-0411</t>
  </si>
  <si>
    <t>Кабель силовой с медными жилами ВВГнг(A)-LS 5х16мк(N, РЕ)-1000</t>
  </si>
  <si>
    <t>1000 м</t>
  </si>
  <si>
    <t>21.2.01.02-0091</t>
  </si>
  <si>
    <t>Провод неизолированный для воздушных линий электропередачи АС 185/24</t>
  </si>
  <si>
    <t>т</t>
  </si>
  <si>
    <t>05.1.01.10-0131</t>
  </si>
  <si>
    <t>Лотки каналов и тоннелей железобетонные для прокладки коммуникаций</t>
  </si>
  <si>
    <t>м3</t>
  </si>
  <si>
    <t>20.1.01.02-0067</t>
  </si>
  <si>
    <t>Зажим аппаратный прессуемый: А4А-400-2</t>
  </si>
  <si>
    <t>100 шт.</t>
  </si>
  <si>
    <t>20.2.10.03-0002</t>
  </si>
  <si>
    <t>Наконечники кабельные медные для электротехнических установок</t>
  </si>
  <si>
    <t>100 шт</t>
  </si>
  <si>
    <t>02.2.05.04-1777</t>
  </si>
  <si>
    <t>Щебень М 800, фракция 20-40 мм, группа 2</t>
  </si>
  <si>
    <t>14.2.01.05-0003</t>
  </si>
  <si>
    <t>Композиция цинконаполненная</t>
  </si>
  <si>
    <t>кг</t>
  </si>
  <si>
    <t>21.1.08.03-0574</t>
  </si>
  <si>
    <t>Кабель контрольный КВВГЭнг(А)-LS 4x2,5</t>
  </si>
  <si>
    <t>01.7.15.03-0042</t>
  </si>
  <si>
    <t>Болты с гайками и шайбами строительные</t>
  </si>
  <si>
    <t>01.7.11.07-0032</t>
  </si>
  <si>
    <t>Электроды сварочные Э42, диаметр 4 мм</t>
  </si>
  <si>
    <t>08.3.07.01-0076</t>
  </si>
  <si>
    <t>Прокат полосовой, горячекатаный, марка стали Ст3сп, ширина 50-200 мм, толщина 4-5 мм</t>
  </si>
  <si>
    <t>14.4.02.09-0001</t>
  </si>
  <si>
    <t>Краска</t>
  </si>
  <si>
    <t>01.7.11.07-0034</t>
  </si>
  <si>
    <t>Электроды сварочные Э42А, диаметр 4 мм</t>
  </si>
  <si>
    <t>01.3.01.06-0050</t>
  </si>
  <si>
    <t>Смазка универсальная тугоплавкая УТ (консталин жировой)</t>
  </si>
  <si>
    <t>14.2.01.05-0001</t>
  </si>
  <si>
    <t>Композиция на основе термопластичных полимеров</t>
  </si>
  <si>
    <t>999-9950</t>
  </si>
  <si>
    <t>Вспомогательные ненормируемые ресурсы (2% от Оплаты труда рабочих)</t>
  </si>
  <si>
    <t>руб</t>
  </si>
  <si>
    <t>01.7.20.08-0031</t>
  </si>
  <si>
    <t>Бязь суровая</t>
  </si>
  <si>
    <t>10 м2</t>
  </si>
  <si>
    <t>20.1.02.23-0082</t>
  </si>
  <si>
    <t>Перемычки гибкие, тип ПГС-50</t>
  </si>
  <si>
    <t>10 шт</t>
  </si>
  <si>
    <t>24.3.01.01-0001</t>
  </si>
  <si>
    <t>Трубка ХВТ</t>
  </si>
  <si>
    <t>01.7.06.07-0002</t>
  </si>
  <si>
    <t>Лента монтажная, тип ЛМ-5</t>
  </si>
  <si>
    <t>10 м</t>
  </si>
  <si>
    <t>14.5.09.02-0002</t>
  </si>
  <si>
    <t>Ксилол нефтяной, марка 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</si>
  <si>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</si>
  <si>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</si>
  <si>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</si>
  <si>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</si>
  <si>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</si>
  <si>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</si>
  <si>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</si>
  <si>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</si>
  <si>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</si>
  <si>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</si>
  <si>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</si>
  <si>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</si>
  <si>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</si>
  <si>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</si>
  <si>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</si>
  <si>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</si>
  <si>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</si>
  <si>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</si>
  <si>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</si>
  <si>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</si>
  <si>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</si>
  <si>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</si>
  <si>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</si>
  <si>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</si>
  <si>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</si>
  <si>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</si>
  <si>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</si>
  <si>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</si>
  <si>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</si>
  <si>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</si>
  <si>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</si>
  <si>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</si>
  <si>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</si>
  <si>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</si>
  <si>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</si>
  <si>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</si>
  <si>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</si>
  <si>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</si>
  <si>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</si>
  <si>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</si>
  <si>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Разъединитель на три полюса без устройства фундамента напряжение 220(150)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</si>
  <si>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</si>
  <si>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</si>
  <si>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</si>
  <si>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</si>
  <si>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</si>
  <si>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</si>
  <si>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</si>
  <si>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</si>
  <si>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</si>
  <si>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</si>
  <si>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</si>
  <si>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</si>
  <si>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</si>
  <si>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</si>
  <si>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</si>
  <si>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БЦ.61.1213</t>
  </si>
  <si>
    <t>компл</t>
  </si>
  <si>
    <t>Итого основное оборудование</t>
  </si>
  <si>
    <t>БЦ.30.1.159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</si>
  <si>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</si>
  <si>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</si>
  <si>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</si>
  <si>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</si>
  <si>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</si>
  <si>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</si>
  <si>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</si>
  <si>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</si>
  <si>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</si>
  <si>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</si>
  <si>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</si>
  <si>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</si>
  <si>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</si>
  <si>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</si>
  <si>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</si>
  <si>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</si>
  <si>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</si>
  <si>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</si>
  <si>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</si>
  <si>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</si>
  <si>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</si>
  <si>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</si>
  <si>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</si>
  <si>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</si>
  <si>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</si>
  <si>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</si>
  <si>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</si>
  <si>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</si>
  <si>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</si>
  <si>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И10-06-4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</si>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</sst>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3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000000"/>
      <name val="Times New Roman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69" fontId="13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5" fillId="0" borderId="0" xfId="0" applyNumberFormat="1" applyFont="1"/>
    <xf numFmtId="0" fontId="16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8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4" fontId="9" fillId="0" borderId="0" xfId="0" applyNumberFormat="1" applyFont="1" applyAlignment="1">
      <alignment vertical="center" wrapText="1"/>
    </xf>
    <xf numFmtId="4" fontId="9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2" fontId="2" fillId="0" borderId="1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2" fontId="19" fillId="0" borderId="2" xfId="0" applyNumberFormat="1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412751</xdr:colOff>
      <xdr:row>16</xdr:row>
      <xdr:rowOff>10085</xdr:rowOff>
    </xdr:from>
    <xdr:to>
      <xdr:col>2</xdr:col>
      <xdr:colOff>1315945</xdr:colOff>
      <xdr:row>17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826" y="49154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214967</xdr:colOff>
      <xdr:row>54</xdr:row>
      <xdr:rowOff>52668</xdr:rowOff>
    </xdr:from>
    <xdr:to>
      <xdr:col>3</xdr:col>
      <xdr:colOff>19984</xdr:colOff>
      <xdr:row>57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767" y="132543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222251</xdr:colOff>
      <xdr:row>52</xdr:row>
      <xdr:rowOff>48185</xdr:rowOff>
    </xdr:from>
    <xdr:to>
      <xdr:col>2</xdr:col>
      <xdr:colOff>1125445</xdr:colOff>
      <xdr:row>54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051" y="128688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1043642</xdr:colOff>
      <xdr:row>43</xdr:row>
      <xdr:rowOff>62193</xdr:rowOff>
    </xdr:from>
    <xdr:to>
      <xdr:col>1</xdr:col>
      <xdr:colOff>1982134</xdr:colOff>
      <xdr:row>46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867" y="118065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936626</xdr:colOff>
      <xdr:row>40</xdr:row>
      <xdr:rowOff>162485</xdr:rowOff>
    </xdr:from>
    <xdr:to>
      <xdr:col>1</xdr:col>
      <xdr:colOff>1839820</xdr:colOff>
      <xdr:row>42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1" y="113353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971364</xdr:colOff>
      <xdr:row>71</xdr:row>
      <xdr:rowOff>68356</xdr:rowOff>
    </xdr:from>
    <xdr:to>
      <xdr:col>2</xdr:col>
      <xdr:colOff>408268</xdr:colOff>
      <xdr:row>74</xdr:row>
      <xdr:rowOff>52481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364" y="17258180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1002741</xdr:colOff>
      <xdr:row>68</xdr:row>
      <xdr:rowOff>159123</xdr:rowOff>
    </xdr:from>
    <xdr:to>
      <xdr:col>2</xdr:col>
      <xdr:colOff>404347</xdr:colOff>
      <xdr:row>70</xdr:row>
      <xdr:rowOff>133761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741" y="16788652"/>
          <a:ext cx="903194" cy="34443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19</xdr:row>
      <xdr:rowOff>62193</xdr:rowOff>
    </xdr:from>
    <xdr:to>
      <xdr:col>2</xdr:col>
      <xdr:colOff>934384</xdr:colOff>
      <xdr:row>22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492" y="44627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31751</xdr:colOff>
      <xdr:row>17</xdr:row>
      <xdr:rowOff>38660</xdr:rowOff>
    </xdr:from>
    <xdr:to>
      <xdr:col>2</xdr:col>
      <xdr:colOff>934945</xdr:colOff>
      <xdr:row>18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1" y="40582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976967</xdr:colOff>
      <xdr:row>13</xdr:row>
      <xdr:rowOff>62193</xdr:rowOff>
    </xdr:from>
    <xdr:to>
      <xdr:col>1</xdr:col>
      <xdr:colOff>1915459</xdr:colOff>
      <xdr:row>16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992" y="36340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11</xdr:row>
      <xdr:rowOff>10085</xdr:rowOff>
    </xdr:from>
    <xdr:to>
      <xdr:col>1</xdr:col>
      <xdr:colOff>1887445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276" y="32009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1081742</xdr:colOff>
      <xdr:row>26</xdr:row>
      <xdr:rowOff>62193</xdr:rowOff>
    </xdr:from>
    <xdr:to>
      <xdr:col>1</xdr:col>
      <xdr:colOff>2020234</xdr:colOff>
      <xdr:row>29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342" y="88728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23</xdr:row>
      <xdr:rowOff>152960</xdr:rowOff>
    </xdr:from>
    <xdr:to>
      <xdr:col>1</xdr:col>
      <xdr:colOff>1877920</xdr:colOff>
      <xdr:row>25</xdr:row>
      <xdr:rowOff>108548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326" y="839208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9" zoomScale="60" zoomScaleNormal="85" workbookViewId="0">
      <selection activeCell="G22" sqref="G22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3" t="s">
        <v>0</v>
      </c>
      <c r="C2" s="143"/>
      <c r="D2" s="143"/>
    </row>
    <row r="3" spans="2:4" ht="18.75" customHeight="1" x14ac:dyDescent="0.25">
      <c r="B3" s="144" t="s">
        <v>1</v>
      </c>
      <c r="C3" s="144"/>
      <c r="D3" s="144"/>
    </row>
    <row r="4" spans="2:4" ht="84" customHeight="1" x14ac:dyDescent="0.25">
      <c r="B4" s="145" t="s">
        <v>2</v>
      </c>
      <c r="C4" s="145"/>
      <c r="D4" s="145"/>
    </row>
    <row r="5" spans="2:4" ht="18.75" customHeight="1" x14ac:dyDescent="0.25">
      <c r="B5" s="76"/>
      <c r="C5" s="76"/>
      <c r="D5" s="76"/>
    </row>
    <row r="6" spans="2:4" ht="47.25" customHeight="1" x14ac:dyDescent="0.25">
      <c r="B6" s="146" t="s">
        <v>3</v>
      </c>
      <c r="C6" s="146"/>
      <c r="D6" s="146"/>
    </row>
    <row r="7" spans="2:4" ht="15.75" customHeight="1" x14ac:dyDescent="0.25">
      <c r="B7" s="142" t="s">
        <v>4</v>
      </c>
      <c r="C7" s="142"/>
      <c r="D7" s="142"/>
    </row>
    <row r="8" spans="2:4" ht="15.75" customHeight="1" x14ac:dyDescent="0.25">
      <c r="B8" s="142" t="s">
        <v>5</v>
      </c>
      <c r="C8" s="142"/>
      <c r="D8" s="142"/>
    </row>
    <row r="9" spans="2:4" ht="18.75" customHeight="1" x14ac:dyDescent="0.25">
      <c r="B9" s="36"/>
    </row>
    <row r="10" spans="2:4" ht="15.75" customHeight="1" x14ac:dyDescent="0.25">
      <c r="B10" s="37" t="s">
        <v>6</v>
      </c>
      <c r="C10" s="37" t="s">
        <v>7</v>
      </c>
      <c r="D10" s="37" t="s">
        <v>8</v>
      </c>
    </row>
    <row r="11" spans="2:4" ht="60" customHeight="1" x14ac:dyDescent="0.25">
      <c r="B11" s="37">
        <v>1</v>
      </c>
      <c r="C11" s="54" t="s">
        <v>9</v>
      </c>
      <c r="D11" s="91" t="s">
        <v>10</v>
      </c>
    </row>
    <row r="12" spans="2:4" ht="31.5" customHeight="1" x14ac:dyDescent="0.25">
      <c r="B12" s="37">
        <v>2</v>
      </c>
      <c r="C12" s="54" t="s">
        <v>11</v>
      </c>
      <c r="D12" s="91" t="s">
        <v>12</v>
      </c>
    </row>
    <row r="13" spans="2:4" ht="15.75" customHeight="1" x14ac:dyDescent="0.25">
      <c r="B13" s="37">
        <v>3</v>
      </c>
      <c r="C13" s="54" t="s">
        <v>13</v>
      </c>
      <c r="D13" s="23" t="s">
        <v>14</v>
      </c>
    </row>
    <row r="14" spans="2:4" ht="15.75" customHeight="1" x14ac:dyDescent="0.25">
      <c r="B14" s="37">
        <v>4</v>
      </c>
      <c r="C14" s="54" t="s">
        <v>15</v>
      </c>
      <c r="D14" s="91">
        <v>4</v>
      </c>
    </row>
    <row r="15" spans="2:4" ht="136.5" customHeight="1" x14ac:dyDescent="0.25">
      <c r="B15" s="37">
        <v>5</v>
      </c>
      <c r="C15" s="38" t="s">
        <v>16</v>
      </c>
      <c r="D15" s="91" t="s">
        <v>17</v>
      </c>
    </row>
    <row r="16" spans="2:4" ht="78.75" customHeight="1" x14ac:dyDescent="0.25">
      <c r="B16" s="37">
        <v>6</v>
      </c>
      <c r="C16" s="38" t="s">
        <v>18</v>
      </c>
      <c r="D16" s="56">
        <f>SUM(D17:D20)</f>
        <v>7161.0846395999997</v>
      </c>
    </row>
    <row r="17" spans="2:7" ht="15.75" customHeight="1" x14ac:dyDescent="0.25">
      <c r="B17" s="77" t="s">
        <v>19</v>
      </c>
      <c r="C17" s="54" t="s">
        <v>20</v>
      </c>
      <c r="D17" s="56">
        <v>86.45</v>
      </c>
    </row>
    <row r="18" spans="2:7" ht="15.75" customHeight="1" x14ac:dyDescent="0.25">
      <c r="B18" s="77" t="s">
        <v>21</v>
      </c>
      <c r="C18" s="54" t="s">
        <v>22</v>
      </c>
      <c r="D18" s="56">
        <v>6693.55</v>
      </c>
    </row>
    <row r="19" spans="2:7" ht="15.75" customHeight="1" x14ac:dyDescent="0.25">
      <c r="B19" s="77" t="s">
        <v>23</v>
      </c>
      <c r="C19" s="54" t="s">
        <v>24</v>
      </c>
      <c r="D19" s="56">
        <f>D18*0.07*0.8</f>
        <v>374.83879999999999</v>
      </c>
    </row>
    <row r="20" spans="2:7" ht="15.75" customHeight="1" x14ac:dyDescent="0.25">
      <c r="B20" s="77" t="s">
        <v>25</v>
      </c>
      <c r="C20" s="54" t="s">
        <v>26</v>
      </c>
      <c r="D20" s="56">
        <f>D17*3.9%+(D17+D17*3.9%)*3.2%</f>
        <v>6.2458396</v>
      </c>
    </row>
    <row r="21" spans="2:7" ht="15.75" customHeight="1" x14ac:dyDescent="0.25">
      <c r="B21" s="37">
        <v>7</v>
      </c>
      <c r="C21" s="54" t="s">
        <v>27</v>
      </c>
      <c r="D21" s="55" t="s">
        <v>28</v>
      </c>
      <c r="G21" s="83"/>
    </row>
    <row r="22" spans="2:7" ht="110.25" customHeight="1" x14ac:dyDescent="0.25">
      <c r="B22" s="37">
        <v>8</v>
      </c>
      <c r="C22" s="38" t="s">
        <v>29</v>
      </c>
      <c r="D22" s="56">
        <f>D16</f>
        <v>7161.0846395999997</v>
      </c>
    </row>
    <row r="23" spans="2:7" ht="47.25" customHeight="1" x14ac:dyDescent="0.25">
      <c r="B23" s="37">
        <v>9</v>
      </c>
      <c r="C23" s="38" t="s">
        <v>30</v>
      </c>
      <c r="D23" s="56">
        <f>D22/D14</f>
        <v>1790.2711598999999</v>
      </c>
      <c r="G23" s="83"/>
    </row>
    <row r="24" spans="2:7" ht="110.25" hidden="1" customHeight="1" x14ac:dyDescent="0.25">
      <c r="B24" s="37">
        <v>10</v>
      </c>
      <c r="C24" s="54" t="s">
        <v>31</v>
      </c>
      <c r="D24" s="54" t="s">
        <v>32</v>
      </c>
    </row>
    <row r="25" spans="2:7" ht="37.5" customHeight="1" x14ac:dyDescent="0.25">
      <c r="B25" s="78"/>
      <c r="C25" s="79"/>
      <c r="D25" s="79"/>
    </row>
    <row r="26" spans="2:7" x14ac:dyDescent="0.25">
      <c r="B26" s="123" t="s">
        <v>316</v>
      </c>
      <c r="C26" s="128"/>
    </row>
    <row r="27" spans="2:7" x14ac:dyDescent="0.25">
      <c r="B27" s="120" t="s">
        <v>33</v>
      </c>
      <c r="C27" s="128"/>
    </row>
    <row r="28" spans="2:7" x14ac:dyDescent="0.25">
      <c r="B28" s="123"/>
      <c r="C28" s="128"/>
    </row>
    <row r="29" spans="2:7" x14ac:dyDescent="0.25">
      <c r="B29" s="123" t="s">
        <v>317</v>
      </c>
      <c r="C29" s="128"/>
    </row>
    <row r="30" spans="2:7" x14ac:dyDescent="0.25">
      <c r="B30" s="120" t="s">
        <v>34</v>
      </c>
      <c r="C30" s="128"/>
    </row>
    <row r="31" spans="2:7" ht="15.75" customHeight="1" x14ac:dyDescent="0.25">
      <c r="B31" s="79"/>
      <c r="C31" s="79"/>
      <c r="D31" s="79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2" t="s">
        <v>296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ht="29.25" customHeight="1" x14ac:dyDescent="0.25">
      <c r="A2" s="183" t="s">
        <v>297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ht="30.75" customHeight="1" x14ac:dyDescent="0.25">
      <c r="A3" s="59" t="s">
        <v>298</v>
      </c>
      <c r="B3" s="60">
        <v>2007</v>
      </c>
      <c r="C3" s="60">
        <v>2008</v>
      </c>
      <c r="D3" s="60">
        <v>2009</v>
      </c>
      <c r="E3" s="60">
        <v>2010</v>
      </c>
      <c r="F3" s="60">
        <v>2011</v>
      </c>
      <c r="G3" s="61">
        <v>2012</v>
      </c>
      <c r="H3" s="61">
        <v>2013</v>
      </c>
      <c r="I3" s="61">
        <v>2014</v>
      </c>
      <c r="J3" s="61">
        <v>2015</v>
      </c>
      <c r="K3" s="61">
        <v>2016</v>
      </c>
      <c r="L3" s="61">
        <v>2017</v>
      </c>
      <c r="M3" s="61">
        <v>2018</v>
      </c>
      <c r="N3" s="61">
        <v>2019</v>
      </c>
      <c r="O3" s="61">
        <v>2020</v>
      </c>
    </row>
    <row r="4" spans="1:15" x14ac:dyDescent="0.25">
      <c r="A4" s="62" t="s">
        <v>299</v>
      </c>
      <c r="B4" s="63">
        <f t="shared" ref="B4:O4" si="0">B15^(1/12)</f>
        <v>1.0136015752351999</v>
      </c>
      <c r="C4" s="64">
        <f t="shared" si="0"/>
        <v>1.0148854522991999</v>
      </c>
      <c r="D4" s="64">
        <f t="shared" si="0"/>
        <v>1.0040741237835999</v>
      </c>
      <c r="E4" s="64">
        <f t="shared" si="0"/>
        <v>1.0064340301100001</v>
      </c>
      <c r="F4" s="64">
        <f t="shared" si="0"/>
        <v>1.0070531864112999</v>
      </c>
      <c r="G4" s="64">
        <f t="shared" si="0"/>
        <v>1.0054973670825</v>
      </c>
      <c r="H4" s="64">
        <f t="shared" si="0"/>
        <v>1.0048675505653</v>
      </c>
      <c r="I4" s="64">
        <f t="shared" si="0"/>
        <v>1.0039944005553001</v>
      </c>
      <c r="J4" s="64">
        <f t="shared" si="0"/>
        <v>1.0088859305371001</v>
      </c>
      <c r="K4" s="64">
        <f t="shared" si="0"/>
        <v>1.0051042407585</v>
      </c>
      <c r="L4" s="64">
        <f t="shared" si="0"/>
        <v>1.0035947364110001</v>
      </c>
      <c r="M4" s="64">
        <f t="shared" si="0"/>
        <v>1.0037548121811</v>
      </c>
      <c r="N4" s="64">
        <f t="shared" si="0"/>
        <v>1.0035947364110001</v>
      </c>
      <c r="O4" s="64">
        <f t="shared" si="0"/>
        <v>1.00343437929</v>
      </c>
    </row>
    <row r="5" spans="1:15" x14ac:dyDescent="0.25">
      <c r="A5" s="65" t="s">
        <v>300</v>
      </c>
      <c r="B5" s="63">
        <f t="shared" ref="B5:O5" si="1">B4*B4</f>
        <v>1.0273881533192999</v>
      </c>
      <c r="C5" s="64">
        <f t="shared" si="1"/>
        <v>1.0299924812886001</v>
      </c>
      <c r="D5" s="64">
        <f t="shared" si="1"/>
        <v>1.0081648460518999</v>
      </c>
      <c r="E5" s="64">
        <f t="shared" si="1"/>
        <v>1.0129094569635</v>
      </c>
      <c r="F5" s="64">
        <f t="shared" si="1"/>
        <v>1.0141561202611999</v>
      </c>
      <c r="G5" s="64">
        <f t="shared" si="1"/>
        <v>1.0110249552099</v>
      </c>
      <c r="H5" s="64">
        <f t="shared" si="1"/>
        <v>1.0097587941791999</v>
      </c>
      <c r="I5" s="64">
        <f t="shared" si="1"/>
        <v>1.0080047563464001</v>
      </c>
      <c r="J5" s="64">
        <f t="shared" si="1"/>
        <v>1.0178508208357999</v>
      </c>
      <c r="K5" s="64">
        <f t="shared" si="1"/>
        <v>1.0102345347906001</v>
      </c>
      <c r="L5" s="64">
        <f t="shared" si="1"/>
        <v>1.0072023949519999</v>
      </c>
      <c r="M5" s="64">
        <f t="shared" si="1"/>
        <v>1.0075237229767999</v>
      </c>
      <c r="N5" s="64">
        <f t="shared" si="1"/>
        <v>1.0072023949519999</v>
      </c>
      <c r="O5" s="64">
        <f t="shared" si="1"/>
        <v>1.0068805535412</v>
      </c>
    </row>
    <row r="6" spans="1:15" ht="15.75" customHeight="1" x14ac:dyDescent="0.25">
      <c r="A6" s="66" t="s">
        <v>301</v>
      </c>
      <c r="B6" s="67">
        <f t="shared" ref="B6:O6" si="2">B4*B4*B4</f>
        <v>1.0413622505824001</v>
      </c>
      <c r="C6" s="68">
        <f t="shared" si="2"/>
        <v>1.0453243852373</v>
      </c>
      <c r="D6" s="68">
        <f t="shared" si="2"/>
        <v>1.0122722344290001</v>
      </c>
      <c r="E6" s="68">
        <f t="shared" si="2"/>
        <v>1.0194265469082999</v>
      </c>
      <c r="F6" s="68">
        <f t="shared" si="2"/>
        <v>1.0213091524275999</v>
      </c>
      <c r="G6" s="68">
        <f t="shared" si="2"/>
        <v>1.0165829305183001</v>
      </c>
      <c r="H6" s="68">
        <f t="shared" si="2"/>
        <v>1.0146738461686999</v>
      </c>
      <c r="I6" s="68">
        <f t="shared" si="2"/>
        <v>1.0120311311049</v>
      </c>
      <c r="J6" s="68">
        <f t="shared" si="2"/>
        <v>1.0268953725269001</v>
      </c>
      <c r="K6" s="68">
        <f t="shared" si="2"/>
        <v>1.0153910150787</v>
      </c>
      <c r="L6" s="68">
        <f t="shared" si="2"/>
        <v>1.0108230220743999</v>
      </c>
      <c r="M6" s="68">
        <f t="shared" si="2"/>
        <v>1.0113067853246001</v>
      </c>
      <c r="N6" s="68">
        <f t="shared" si="2"/>
        <v>1.0108230220743999</v>
      </c>
      <c r="O6" s="68">
        <f t="shared" si="2"/>
        <v>1.0103385632618</v>
      </c>
    </row>
    <row r="7" spans="1:15" x14ac:dyDescent="0.25">
      <c r="A7" s="62" t="s">
        <v>302</v>
      </c>
      <c r="B7" s="69">
        <f t="shared" ref="B7:O7" si="3">B4*B4*B4*B4</f>
        <v>1.0555264175807999</v>
      </c>
      <c r="C7" s="70">
        <f t="shared" si="3"/>
        <v>1.0608845115109999</v>
      </c>
      <c r="D7" s="70">
        <f t="shared" si="3"/>
        <v>1.0163963568148999</v>
      </c>
      <c r="E7" s="70">
        <f t="shared" si="3"/>
        <v>1.0259855680059999</v>
      </c>
      <c r="F7" s="70">
        <f t="shared" si="3"/>
        <v>1.0285126362632999</v>
      </c>
      <c r="G7" s="70">
        <f t="shared" si="3"/>
        <v>1.0221714600572001</v>
      </c>
      <c r="H7" s="70">
        <f t="shared" si="3"/>
        <v>1.0196128224222001</v>
      </c>
      <c r="I7" s="70">
        <f t="shared" si="3"/>
        <v>1.0160735888170001</v>
      </c>
      <c r="J7" s="70">
        <f t="shared" si="3"/>
        <v>1.0360202934761</v>
      </c>
      <c r="K7" s="70">
        <f t="shared" si="3"/>
        <v>1.0205738152835999</v>
      </c>
      <c r="L7" s="70">
        <f t="shared" si="3"/>
        <v>1.0144566643970001</v>
      </c>
      <c r="M7" s="70">
        <f t="shared" si="3"/>
        <v>1.015104052361</v>
      </c>
      <c r="N7" s="70">
        <f t="shared" si="3"/>
        <v>1.0144566643970001</v>
      </c>
      <c r="O7" s="70">
        <f t="shared" si="3"/>
        <v>1.0138084490993999</v>
      </c>
    </row>
    <row r="8" spans="1:15" x14ac:dyDescent="0.25">
      <c r="A8" s="65" t="s">
        <v>303</v>
      </c>
      <c r="B8" s="63">
        <f t="shared" ref="B8:O8" si="4">B4*B4*B4*B4*B4</f>
        <v>1.0698832395622999</v>
      </c>
      <c r="C8" s="64">
        <f t="shared" si="4"/>
        <v>1.0766762573021</v>
      </c>
      <c r="D8" s="64">
        <f t="shared" si="4"/>
        <v>1.0205372813858</v>
      </c>
      <c r="E8" s="64">
        <f t="shared" si="4"/>
        <v>1.0325867900429999</v>
      </c>
      <c r="F8" s="64">
        <f t="shared" si="4"/>
        <v>1.0357669276132999</v>
      </c>
      <c r="G8" s="64">
        <f t="shared" si="4"/>
        <v>1.0277907117944001</v>
      </c>
      <c r="H8" s="64">
        <f t="shared" si="4"/>
        <v>1.0245758393924</v>
      </c>
      <c r="I8" s="64">
        <f t="shared" si="4"/>
        <v>1.0201321937243999</v>
      </c>
      <c r="J8" s="64">
        <f t="shared" si="4"/>
        <v>1.0452262978389</v>
      </c>
      <c r="K8" s="64">
        <f t="shared" si="4"/>
        <v>1.0257830697485999</v>
      </c>
      <c r="L8" s="64">
        <f t="shared" si="4"/>
        <v>1.0181033687059</v>
      </c>
      <c r="M8" s="64">
        <f t="shared" si="4"/>
        <v>1.018915577422</v>
      </c>
      <c r="N8" s="64">
        <f t="shared" si="4"/>
        <v>1.0181033687059</v>
      </c>
      <c r="O8" s="64">
        <f t="shared" si="4"/>
        <v>1.0172902518411</v>
      </c>
    </row>
    <row r="9" spans="1:15" ht="15.75" customHeight="1" x14ac:dyDescent="0.25">
      <c r="A9" s="66" t="s">
        <v>304</v>
      </c>
      <c r="B9" s="67">
        <f t="shared" ref="B9:O9" si="5">B4*B4*B4*B4*B4*B4</f>
        <v>1.0844353369380999</v>
      </c>
      <c r="C9" s="68">
        <f t="shared" si="5"/>
        <v>1.0927030703717999</v>
      </c>
      <c r="D9" s="68">
        <f t="shared" si="5"/>
        <v>1.0246950765959999</v>
      </c>
      <c r="E9" s="68">
        <f t="shared" si="5"/>
        <v>1.0392304845413001</v>
      </c>
      <c r="F9" s="68">
        <f t="shared" si="5"/>
        <v>1.0430723848323999</v>
      </c>
      <c r="G9" s="68">
        <f t="shared" si="5"/>
        <v>1.0334408546211</v>
      </c>
      <c r="H9" s="68">
        <f t="shared" si="5"/>
        <v>1.0295630140987</v>
      </c>
      <c r="I9" s="68">
        <f t="shared" si="5"/>
        <v>1.0242070103255001</v>
      </c>
      <c r="J9" s="68">
        <f t="shared" si="5"/>
        <v>1.0545141061170999</v>
      </c>
      <c r="K9" s="68">
        <f t="shared" si="5"/>
        <v>1.0310189135026</v>
      </c>
      <c r="L9" s="68">
        <f t="shared" si="5"/>
        <v>1.0217631819555999</v>
      </c>
      <c r="M9" s="68">
        <f t="shared" si="5"/>
        <v>1.0227414140436</v>
      </c>
      <c r="N9" s="68">
        <f t="shared" si="5"/>
        <v>1.0217631819555999</v>
      </c>
      <c r="O9" s="68">
        <f t="shared" si="5"/>
        <v>1.020784012414</v>
      </c>
    </row>
    <row r="10" spans="1:15" x14ac:dyDescent="0.25">
      <c r="A10" s="62" t="s">
        <v>305</v>
      </c>
      <c r="B10" s="69">
        <f t="shared" ref="B10:O10" si="6">B4*B4*B4*B4*B4*B4*B4</f>
        <v>1.0991853657612001</v>
      </c>
      <c r="C10" s="70">
        <f t="shared" si="6"/>
        <v>1.1089684498029999</v>
      </c>
      <c r="D10" s="70">
        <f t="shared" si="6"/>
        <v>1.0288698111785</v>
      </c>
      <c r="E10" s="70">
        <f t="shared" si="6"/>
        <v>1.0459169247700999</v>
      </c>
      <c r="F10" s="70">
        <f t="shared" si="6"/>
        <v>1.0504293688032</v>
      </c>
      <c r="G10" s="70">
        <f t="shared" si="6"/>
        <v>1.039122058357</v>
      </c>
      <c r="H10" s="70">
        <f t="shared" si="6"/>
        <v>1.0345744641300001</v>
      </c>
      <c r="I10" s="70">
        <f t="shared" si="6"/>
        <v>1.0282981033764</v>
      </c>
      <c r="J10" s="70">
        <f t="shared" si="6"/>
        <v>1.0638844452145</v>
      </c>
      <c r="K10" s="70">
        <f t="shared" si="6"/>
        <v>1.0362814822636</v>
      </c>
      <c r="L10" s="70">
        <f t="shared" si="6"/>
        <v>1.0254361512692001</v>
      </c>
      <c r="M10" s="70">
        <f t="shared" si="6"/>
        <v>1.0265816159633001</v>
      </c>
      <c r="N10" s="70">
        <f t="shared" si="6"/>
        <v>1.0254361512692001</v>
      </c>
      <c r="O10" s="70">
        <f t="shared" si="6"/>
        <v>1.0242897718857999</v>
      </c>
    </row>
    <row r="11" spans="1:15" x14ac:dyDescent="0.25">
      <c r="A11" s="65" t="s">
        <v>306</v>
      </c>
      <c r="B11" s="63">
        <f t="shared" ref="B11:O11" si="7">B4*B4*B4*B4*B4*B4*B4*B4</f>
        <v>1.1141360182110001</v>
      </c>
      <c r="C11" s="64">
        <f t="shared" si="7"/>
        <v>1.1254759467638999</v>
      </c>
      <c r="D11" s="64">
        <f t="shared" si="7"/>
        <v>1.0330615541465</v>
      </c>
      <c r="E11" s="64">
        <f t="shared" si="7"/>
        <v>1.0526463857566</v>
      </c>
      <c r="F11" s="64">
        <f t="shared" si="7"/>
        <v>1.0578382429533</v>
      </c>
      <c r="G11" s="64">
        <f t="shared" si="7"/>
        <v>1.0448344937553999</v>
      </c>
      <c r="H11" s="64">
        <f t="shared" si="7"/>
        <v>1.0396103076478</v>
      </c>
      <c r="I11" s="64">
        <f t="shared" si="7"/>
        <v>1.0324055378915</v>
      </c>
      <c r="J11" s="64">
        <f t="shared" si="7"/>
        <v>1.0733380484941999</v>
      </c>
      <c r="K11" s="64">
        <f t="shared" si="7"/>
        <v>1.0415709124426</v>
      </c>
      <c r="L11" s="64">
        <f t="shared" si="7"/>
        <v>1.0291223239394001</v>
      </c>
      <c r="M11" s="64">
        <f t="shared" si="7"/>
        <v>1.0304362371197999</v>
      </c>
      <c r="N11" s="64">
        <f t="shared" si="7"/>
        <v>1.0291223239394001</v>
      </c>
      <c r="O11" s="64">
        <f t="shared" si="7"/>
        <v>1.0278075714654</v>
      </c>
    </row>
    <row r="12" spans="1:15" ht="15.75" customHeight="1" x14ac:dyDescent="0.25">
      <c r="A12" s="66" t="s">
        <v>307</v>
      </c>
      <c r="B12" s="67">
        <f t="shared" ref="B12:O12" si="8">B4*B4*B4*B4*B4*B4*B4*B4*B4</f>
        <v>1.1292900230848999</v>
      </c>
      <c r="C12" s="68">
        <f t="shared" si="8"/>
        <v>1.1422291652834</v>
      </c>
      <c r="D12" s="68">
        <f t="shared" si="8"/>
        <v>1.0372703747942</v>
      </c>
      <c r="E12" s="68">
        <f t="shared" si="8"/>
        <v>1.0594191442978</v>
      </c>
      <c r="F12" s="68">
        <f t="shared" si="8"/>
        <v>1.0652993732739</v>
      </c>
      <c r="G12" s="68">
        <f t="shared" si="8"/>
        <v>1.050578332508</v>
      </c>
      <c r="H12" s="68">
        <f t="shared" si="8"/>
        <v>1.0446706633884999</v>
      </c>
      <c r="I12" s="68">
        <f t="shared" si="8"/>
        <v>1.0365293791454</v>
      </c>
      <c r="J12" s="68">
        <f t="shared" si="8"/>
        <v>1.082875655836</v>
      </c>
      <c r="K12" s="68">
        <f t="shared" si="8"/>
        <v>1.0468873411466999</v>
      </c>
      <c r="L12" s="68">
        <f t="shared" si="8"/>
        <v>1.0328217474287</v>
      </c>
      <c r="M12" s="68">
        <f t="shared" si="8"/>
        <v>1.0343053316549</v>
      </c>
      <c r="N12" s="68">
        <f t="shared" si="8"/>
        <v>1.0328217474287</v>
      </c>
      <c r="O12" s="68">
        <f t="shared" si="8"/>
        <v>1.0313374525029999</v>
      </c>
    </row>
    <row r="13" spans="1:15" x14ac:dyDescent="0.25">
      <c r="A13" s="62" t="s">
        <v>308</v>
      </c>
      <c r="B13" s="69">
        <f t="shared" ref="B13:O13" si="9">B4*B4*B4*B4*B4*B4*B4*B4*B4*B4</f>
        <v>1.1446501462962999</v>
      </c>
      <c r="C13" s="70">
        <f t="shared" si="9"/>
        <v>1.159231763038</v>
      </c>
      <c r="D13" s="70">
        <f t="shared" si="9"/>
        <v>1.0414963426982999</v>
      </c>
      <c r="E13" s="70">
        <f t="shared" si="9"/>
        <v>1.0662354789713</v>
      </c>
      <c r="F13" s="70">
        <f t="shared" si="9"/>
        <v>1.0728131283374001</v>
      </c>
      <c r="G13" s="70">
        <f t="shared" si="9"/>
        <v>1.0563537472508</v>
      </c>
      <c r="H13" s="70">
        <f t="shared" si="9"/>
        <v>1.0497556506667001</v>
      </c>
      <c r="I13" s="70">
        <f t="shared" si="9"/>
        <v>1.0406696926729999</v>
      </c>
      <c r="J13" s="70">
        <f t="shared" si="9"/>
        <v>1.0924980136941</v>
      </c>
      <c r="K13" s="70">
        <f t="shared" si="9"/>
        <v>1.0522309061829</v>
      </c>
      <c r="L13" s="70">
        <f t="shared" si="9"/>
        <v>1.0365344693703</v>
      </c>
      <c r="M13" s="70">
        <f t="shared" si="9"/>
        <v>1.0381889539132001</v>
      </c>
      <c r="N13" s="70">
        <f t="shared" si="9"/>
        <v>1.0365344693703</v>
      </c>
      <c r="O13" s="70">
        <f t="shared" si="9"/>
        <v>1.0348794564909001</v>
      </c>
    </row>
    <row r="14" spans="1:15" x14ac:dyDescent="0.25">
      <c r="A14" s="65" t="s">
        <v>309</v>
      </c>
      <c r="B14" s="63">
        <f t="shared" ref="B14:O14" si="10">B4*B4*B4*B4*B4*B4*B4*B4*B4*B4*B4</f>
        <v>1.1602191913791</v>
      </c>
      <c r="C14" s="64">
        <f t="shared" si="10"/>
        <v>1.1764874521504001</v>
      </c>
      <c r="D14" s="64">
        <f t="shared" si="10"/>
        <v>1.0457395277185999</v>
      </c>
      <c r="E14" s="64">
        <f t="shared" si="10"/>
        <v>1.0730956701473999</v>
      </c>
      <c r="F14" s="64">
        <f t="shared" si="10"/>
        <v>1.0803798793160999</v>
      </c>
      <c r="G14" s="64">
        <f t="shared" si="10"/>
        <v>1.0621609115684001</v>
      </c>
      <c r="H14" s="64">
        <f t="shared" si="10"/>
        <v>1.0548653893776001</v>
      </c>
      <c r="I14" s="64">
        <f t="shared" si="10"/>
        <v>1.0448265442714</v>
      </c>
      <c r="J14" s="64">
        <f t="shared" si="10"/>
        <v>1.1022058751557</v>
      </c>
      <c r="K14" s="64">
        <f t="shared" si="10"/>
        <v>1.0576017460614999</v>
      </c>
      <c r="L14" s="64">
        <f t="shared" si="10"/>
        <v>1.0402605375686</v>
      </c>
      <c r="M14" s="64">
        <f t="shared" si="10"/>
        <v>1.0420871584436999</v>
      </c>
      <c r="N14" s="64">
        <f t="shared" si="10"/>
        <v>1.0402605375686</v>
      </c>
      <c r="O14" s="64">
        <f t="shared" si="10"/>
        <v>1.0384336250640001</v>
      </c>
    </row>
    <row r="15" spans="1:15" ht="15.75" customHeight="1" x14ac:dyDescent="0.25">
      <c r="A15" s="71" t="s">
        <v>310</v>
      </c>
      <c r="B15" s="72">
        <f>117.6/100</f>
        <v>1.1759999999999999</v>
      </c>
      <c r="C15" s="73">
        <v>1.194</v>
      </c>
      <c r="D15" s="73">
        <v>1.05</v>
      </c>
      <c r="E15" s="73">
        <f>1.08</f>
        <v>1.08</v>
      </c>
      <c r="F15" s="73">
        <v>1.0880000000000001</v>
      </c>
      <c r="G15" s="73">
        <v>1.0680000000000001</v>
      </c>
      <c r="H15" s="73">
        <v>1.06</v>
      </c>
      <c r="I15" s="73">
        <v>1.0489999999999999</v>
      </c>
      <c r="J15" s="73">
        <v>1.1120000000000001</v>
      </c>
      <c r="K15" s="73">
        <v>1.0629999999999999</v>
      </c>
      <c r="L15" s="73">
        <v>1.044</v>
      </c>
      <c r="M15" s="73">
        <v>1.046</v>
      </c>
      <c r="N15" s="73">
        <v>1.044</v>
      </c>
      <c r="O15" s="73">
        <v>1.042</v>
      </c>
    </row>
    <row r="16" spans="1:15" ht="29.25" customHeight="1" x14ac:dyDescent="0.25">
      <c r="A16" s="184" t="s">
        <v>311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</row>
    <row r="18" spans="13:13" x14ac:dyDescent="0.25">
      <c r="M18" s="74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312</v>
      </c>
      <c r="B2" s="181"/>
      <c r="C2" s="181"/>
      <c r="D2" s="181"/>
      <c r="E2" s="181"/>
      <c r="F2" s="181"/>
    </row>
    <row r="4" spans="1:7" ht="18" customHeight="1" x14ac:dyDescent="0.25">
      <c r="A4" s="20" t="s">
        <v>260</v>
      </c>
    </row>
    <row r="5" spans="1:7" x14ac:dyDescent="0.25">
      <c r="A5" s="21" t="s">
        <v>189</v>
      </c>
      <c r="B5" s="21" t="s">
        <v>261</v>
      </c>
      <c r="C5" s="21" t="s">
        <v>262</v>
      </c>
      <c r="D5" s="21" t="s">
        <v>263</v>
      </c>
      <c r="E5" s="21" t="s">
        <v>264</v>
      </c>
      <c r="F5" s="21" t="s">
        <v>265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266</v>
      </c>
      <c r="B7" s="24" t="s">
        <v>267</v>
      </c>
      <c r="C7" s="23" t="s">
        <v>268</v>
      </c>
      <c r="D7" s="23" t="s">
        <v>269</v>
      </c>
      <c r="E7" s="25">
        <v>43361</v>
      </c>
      <c r="F7" s="24" t="s">
        <v>313</v>
      </c>
    </row>
    <row r="8" spans="1:7" ht="30" customHeight="1" x14ac:dyDescent="0.25">
      <c r="A8" s="22" t="s">
        <v>271</v>
      </c>
      <c r="B8" s="24" t="s">
        <v>272</v>
      </c>
      <c r="C8" s="23" t="s">
        <v>273</v>
      </c>
      <c r="D8" s="23" t="s">
        <v>274</v>
      </c>
      <c r="E8" s="25">
        <f>1973/12</f>
        <v>164.41666666667001</v>
      </c>
      <c r="F8" s="24" t="s">
        <v>275</v>
      </c>
      <c r="G8" s="26"/>
    </row>
    <row r="9" spans="1:7" x14ac:dyDescent="0.25">
      <c r="A9" s="22" t="s">
        <v>276</v>
      </c>
      <c r="B9" s="24" t="s">
        <v>277</v>
      </c>
      <c r="C9" s="23" t="s">
        <v>278</v>
      </c>
      <c r="D9" s="23" t="s">
        <v>269</v>
      </c>
      <c r="E9" s="25">
        <v>1</v>
      </c>
      <c r="F9" s="24"/>
      <c r="G9" s="27"/>
    </row>
    <row r="10" spans="1:7" x14ac:dyDescent="0.25">
      <c r="A10" s="22" t="s">
        <v>279</v>
      </c>
      <c r="B10" s="24" t="s">
        <v>280</v>
      </c>
      <c r="C10" s="23"/>
      <c r="D10" s="23"/>
      <c r="E10" s="28">
        <v>1</v>
      </c>
      <c r="F10" s="24" t="s">
        <v>281</v>
      </c>
      <c r="G10" s="27"/>
    </row>
    <row r="11" spans="1:7" ht="75" customHeight="1" x14ac:dyDescent="0.25">
      <c r="A11" s="22" t="s">
        <v>282</v>
      </c>
      <c r="B11" s="24" t="s">
        <v>283</v>
      </c>
      <c r="C11" s="23" t="s">
        <v>284</v>
      </c>
      <c r="D11" s="23" t="s">
        <v>269</v>
      </c>
      <c r="E11" s="29">
        <v>2.15</v>
      </c>
      <c r="F11" s="24" t="s">
        <v>314</v>
      </c>
    </row>
    <row r="12" spans="1:7" ht="75" customHeight="1" x14ac:dyDescent="0.25">
      <c r="A12" s="22" t="s">
        <v>286</v>
      </c>
      <c r="B12" s="30" t="s">
        <v>287</v>
      </c>
      <c r="C12" s="23" t="s">
        <v>288</v>
      </c>
      <c r="D12" s="23" t="s">
        <v>269</v>
      </c>
      <c r="E12" s="31">
        <v>1.139</v>
      </c>
      <c r="F12" s="32" t="s">
        <v>289</v>
      </c>
      <c r="G12" s="27" t="s">
        <v>290</v>
      </c>
    </row>
    <row r="13" spans="1:7" ht="60" customHeight="1" x14ac:dyDescent="0.25">
      <c r="A13" s="22" t="s">
        <v>291</v>
      </c>
      <c r="B13" s="33" t="s">
        <v>315</v>
      </c>
      <c r="C13" s="23" t="s">
        <v>293</v>
      </c>
      <c r="D13" s="23" t="s">
        <v>294</v>
      </c>
      <c r="E13" s="34">
        <f>((E7*E9/E8)*E11)*E12</f>
        <v>645.82616229093003</v>
      </c>
      <c r="F13" s="24" t="s">
        <v>295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topLeftCell="A4" zoomScale="60" zoomScaleNormal="100" workbookViewId="0">
      <selection activeCell="G22" sqref="G22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78"/>
      <c r="D3" s="78"/>
      <c r="E3" s="78"/>
      <c r="F3" s="78"/>
      <c r="G3" s="78"/>
      <c r="H3" s="78"/>
      <c r="I3" s="78"/>
      <c r="J3" s="84" t="s">
        <v>35</v>
      </c>
      <c r="K3" s="78"/>
    </row>
    <row r="4" spans="2:11" ht="15.75" customHeight="1" x14ac:dyDescent="0.25">
      <c r="B4" s="147" t="s">
        <v>36</v>
      </c>
      <c r="C4" s="147"/>
      <c r="D4" s="147"/>
      <c r="E4" s="147"/>
      <c r="F4" s="147"/>
      <c r="G4" s="147"/>
      <c r="H4" s="147"/>
      <c r="I4" s="147"/>
      <c r="J4" s="147"/>
      <c r="K4" s="147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15.75" customHeight="1" x14ac:dyDescent="0.25">
      <c r="B6" s="146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220(150) кВ</v>
      </c>
      <c r="C6" s="146"/>
      <c r="D6" s="146"/>
      <c r="E6" s="146"/>
      <c r="F6" s="146"/>
      <c r="G6" s="146"/>
      <c r="H6" s="146"/>
      <c r="I6" s="146"/>
      <c r="J6" s="146"/>
      <c r="K6" s="78"/>
    </row>
    <row r="7" spans="2:11" ht="15.75" customHeight="1" x14ac:dyDescent="0.25">
      <c r="B7" s="78" t="str">
        <f>'Прил.1 Сравнит табл'!B8</f>
        <v>Единица измерения  — 1 ед.</v>
      </c>
      <c r="C7" s="78"/>
      <c r="D7" s="78"/>
      <c r="E7" s="78"/>
      <c r="F7" s="78"/>
      <c r="G7" s="78"/>
      <c r="H7" s="78"/>
      <c r="I7" s="78"/>
      <c r="J7" s="78"/>
      <c r="K7" s="78"/>
    </row>
    <row r="8" spans="2:11" ht="18.75" customHeight="1" x14ac:dyDescent="0.25">
      <c r="B8" s="36"/>
    </row>
    <row r="9" spans="2:11" ht="15.75" customHeight="1" x14ac:dyDescent="0.25">
      <c r="B9" s="150" t="s">
        <v>6</v>
      </c>
      <c r="C9" s="150" t="s">
        <v>37</v>
      </c>
      <c r="D9" s="150" t="s">
        <v>38</v>
      </c>
      <c r="E9" s="150"/>
      <c r="F9" s="150"/>
      <c r="G9" s="150"/>
      <c r="H9" s="150"/>
      <c r="I9" s="150"/>
      <c r="J9" s="150"/>
    </row>
    <row r="10" spans="2:11" ht="15.75" customHeight="1" x14ac:dyDescent="0.25">
      <c r="B10" s="150"/>
      <c r="C10" s="150"/>
      <c r="D10" s="150" t="s">
        <v>39</v>
      </c>
      <c r="E10" s="150" t="s">
        <v>40</v>
      </c>
      <c r="F10" s="150" t="s">
        <v>41</v>
      </c>
      <c r="G10" s="150"/>
      <c r="H10" s="150"/>
      <c r="I10" s="150"/>
      <c r="J10" s="150"/>
    </row>
    <row r="11" spans="2:11" ht="31.5" customHeight="1" x14ac:dyDescent="0.25">
      <c r="B11" s="151"/>
      <c r="C11" s="151"/>
      <c r="D11" s="151"/>
      <c r="E11" s="151"/>
      <c r="F11" s="136" t="s">
        <v>42</v>
      </c>
      <c r="G11" s="136" t="s">
        <v>43</v>
      </c>
      <c r="H11" s="136" t="s">
        <v>44</v>
      </c>
      <c r="I11" s="136" t="s">
        <v>45</v>
      </c>
      <c r="J11" s="136" t="s">
        <v>46</v>
      </c>
    </row>
    <row r="12" spans="2:11" ht="135" customHeight="1" x14ac:dyDescent="0.25">
      <c r="B12" s="137">
        <v>1</v>
      </c>
      <c r="C12" s="91" t="s">
        <v>17</v>
      </c>
      <c r="D12" s="138" t="s">
        <v>47</v>
      </c>
      <c r="E12" s="137" t="s">
        <v>48</v>
      </c>
      <c r="F12" s="139"/>
      <c r="G12" s="139">
        <f>13178.68*6.56/1000</f>
        <v>86.452140799999995</v>
      </c>
      <c r="H12" s="139">
        <f>1563913.4*4.28/1000</f>
        <v>6693.549352</v>
      </c>
      <c r="I12" s="139"/>
      <c r="J12" s="139">
        <f>SUM(F12:I12)</f>
        <v>6780.0014928000001</v>
      </c>
    </row>
    <row r="13" spans="2:11" ht="15" customHeight="1" x14ac:dyDescent="0.25">
      <c r="B13" s="148" t="s">
        <v>49</v>
      </c>
      <c r="C13" s="148"/>
      <c r="D13" s="148"/>
      <c r="E13" s="148"/>
      <c r="F13" s="140"/>
      <c r="G13" s="140">
        <f>SUM(G12:G12)</f>
        <v>86.452140799999995</v>
      </c>
      <c r="H13" s="140">
        <f>SUM(H12:H12)</f>
        <v>6693.549352</v>
      </c>
      <c r="I13" s="140"/>
      <c r="J13" s="140">
        <f>SUM(J12:J12)</f>
        <v>6780.0014928000001</v>
      </c>
    </row>
    <row r="14" spans="2:11" ht="15.75" customHeight="1" x14ac:dyDescent="0.25">
      <c r="B14" s="149" t="s">
        <v>50</v>
      </c>
      <c r="C14" s="149"/>
      <c r="D14" s="149"/>
      <c r="E14" s="149"/>
      <c r="F14" s="141"/>
      <c r="G14" s="141">
        <f>G13</f>
        <v>86.452140799999995</v>
      </c>
      <c r="H14" s="141">
        <f>H13</f>
        <v>6693.549352</v>
      </c>
      <c r="I14" s="141"/>
      <c r="J14" s="141">
        <f>J13</f>
        <v>6780.0014928000001</v>
      </c>
    </row>
    <row r="18" spans="2:3" x14ac:dyDescent="0.25">
      <c r="B18" s="123" t="s">
        <v>316</v>
      </c>
      <c r="C18" s="128"/>
    </row>
    <row r="19" spans="2:3" x14ac:dyDescent="0.25">
      <c r="B19" s="120" t="s">
        <v>33</v>
      </c>
      <c r="C19" s="128"/>
    </row>
    <row r="20" spans="2:3" x14ac:dyDescent="0.25">
      <c r="B20" s="123"/>
      <c r="C20" s="128"/>
    </row>
    <row r="21" spans="2:3" x14ac:dyDescent="0.25">
      <c r="B21" s="123" t="s">
        <v>317</v>
      </c>
      <c r="C21" s="128"/>
    </row>
    <row r="22" spans="2:3" x14ac:dyDescent="0.25">
      <c r="B22" s="120" t="s">
        <v>34</v>
      </c>
      <c r="C22" s="128"/>
    </row>
  </sheetData>
  <mergeCells count="10">
    <mergeCell ref="B4:K4"/>
    <mergeCell ref="B13:E13"/>
    <mergeCell ref="B14:E14"/>
    <mergeCell ref="B6:J6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view="pageBreakPreview" topLeftCell="A4" zoomScaleSheetLayoutView="100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1" ht="15.75" customHeight="1" x14ac:dyDescent="0.25">
      <c r="A1" s="143" t="s">
        <v>51</v>
      </c>
      <c r="B1" s="143"/>
      <c r="C1" s="143"/>
      <c r="D1" s="143"/>
      <c r="E1" s="143"/>
      <c r="F1" s="143"/>
      <c r="G1" s="143"/>
      <c r="H1" s="143"/>
    </row>
    <row r="2" spans="1:11" ht="18.75" customHeight="1" x14ac:dyDescent="0.25">
      <c r="A2" s="144" t="s">
        <v>52</v>
      </c>
      <c r="B2" s="144"/>
      <c r="C2" s="144"/>
      <c r="D2" s="144"/>
      <c r="E2" s="144"/>
      <c r="F2" s="144"/>
      <c r="G2" s="144"/>
      <c r="H2" s="144"/>
    </row>
    <row r="3" spans="1:11" x14ac:dyDescent="0.25">
      <c r="B3" s="81"/>
    </row>
    <row r="4" spans="1:11" ht="18.75" customHeight="1" x14ac:dyDescent="0.25">
      <c r="A4" s="82"/>
      <c r="B4" s="82"/>
      <c r="C4" s="155"/>
      <c r="D4" s="155"/>
      <c r="E4" s="155"/>
      <c r="F4" s="155"/>
      <c r="G4" s="155"/>
      <c r="H4" s="155"/>
    </row>
    <row r="5" spans="1:11" ht="18.75" customHeight="1" x14ac:dyDescent="0.25">
      <c r="A5" s="36"/>
    </row>
    <row r="6" spans="1:11" ht="32.25" customHeight="1" x14ac:dyDescent="0.25">
      <c r="A6" s="156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220(150) кВ</v>
      </c>
      <c r="B6" s="156"/>
      <c r="C6" s="156"/>
      <c r="D6" s="156"/>
      <c r="E6" s="156"/>
      <c r="F6" s="156"/>
      <c r="G6" s="156"/>
      <c r="H6" s="156"/>
    </row>
    <row r="7" spans="1:11" ht="15.75" customHeight="1" x14ac:dyDescent="0.25">
      <c r="A7" s="85"/>
      <c r="B7" s="85"/>
      <c r="C7" s="85"/>
      <c r="D7" s="78"/>
      <c r="E7" s="88"/>
      <c r="F7" s="88"/>
      <c r="G7" s="88"/>
      <c r="H7" s="88"/>
    </row>
    <row r="8" spans="1:11" ht="15.75" customHeight="1" x14ac:dyDescent="0.25">
      <c r="A8" s="40"/>
      <c r="B8" s="40"/>
      <c r="C8" s="40"/>
      <c r="D8" s="40"/>
      <c r="E8" s="40"/>
      <c r="F8" s="40"/>
      <c r="G8" s="40"/>
      <c r="H8" s="52"/>
    </row>
    <row r="9" spans="1:11" ht="38.25" customHeight="1" x14ac:dyDescent="0.25">
      <c r="A9" s="150" t="s">
        <v>53</v>
      </c>
      <c r="B9" s="150" t="s">
        <v>54</v>
      </c>
      <c r="C9" s="150" t="s">
        <v>55</v>
      </c>
      <c r="D9" s="150" t="s">
        <v>56</v>
      </c>
      <c r="E9" s="150" t="s">
        <v>57</v>
      </c>
      <c r="F9" s="150" t="s">
        <v>58</v>
      </c>
      <c r="G9" s="150" t="s">
        <v>59</v>
      </c>
      <c r="H9" s="150"/>
    </row>
    <row r="10" spans="1:11" ht="40.5" customHeight="1" x14ac:dyDescent="0.25">
      <c r="A10" s="150"/>
      <c r="B10" s="150"/>
      <c r="C10" s="150"/>
      <c r="D10" s="150"/>
      <c r="E10" s="150"/>
      <c r="F10" s="150"/>
      <c r="G10" s="37" t="s">
        <v>60</v>
      </c>
      <c r="H10" s="37" t="s">
        <v>61</v>
      </c>
    </row>
    <row r="11" spans="1:11" ht="15.75" customHeight="1" x14ac:dyDescent="0.25">
      <c r="A11" s="37">
        <v>1</v>
      </c>
      <c r="B11" s="43"/>
      <c r="C11" s="37">
        <v>2</v>
      </c>
      <c r="D11" s="37" t="s">
        <v>62</v>
      </c>
      <c r="E11" s="37">
        <v>4</v>
      </c>
      <c r="F11" s="37">
        <v>5</v>
      </c>
      <c r="G11" s="43">
        <v>6</v>
      </c>
      <c r="H11" s="43">
        <v>7</v>
      </c>
    </row>
    <row r="12" spans="1:11" ht="15" customHeight="1" x14ac:dyDescent="0.25">
      <c r="A12" s="153" t="s">
        <v>63</v>
      </c>
      <c r="B12" s="154"/>
      <c r="C12" s="154"/>
      <c r="D12" s="154"/>
      <c r="E12" s="154"/>
      <c r="F12" s="44">
        <f>SUM(F13:F16)</f>
        <v>334.21374166992001</v>
      </c>
      <c r="G12" s="45"/>
      <c r="H12" s="44">
        <f>SUM(H13:H16)</f>
        <v>3222.42</v>
      </c>
      <c r="J12" s="57"/>
      <c r="K12" s="18"/>
    </row>
    <row r="13" spans="1:11" x14ac:dyDescent="0.25">
      <c r="A13" s="49">
        <v>1</v>
      </c>
      <c r="B13" s="21"/>
      <c r="C13" s="49" t="s">
        <v>64</v>
      </c>
      <c r="D13" s="113" t="s">
        <v>65</v>
      </c>
      <c r="E13" s="112" t="s">
        <v>66</v>
      </c>
      <c r="F13" s="131">
        <v>286.00861347453002</v>
      </c>
      <c r="G13" s="14">
        <v>9.6199999999999992</v>
      </c>
      <c r="H13" s="14">
        <f>ROUND(F13*G13,2)</f>
        <v>2751.4</v>
      </c>
    </row>
    <row r="14" spans="1:11" x14ac:dyDescent="0.25">
      <c r="A14" s="132">
        <f>A13+1</f>
        <v>2</v>
      </c>
      <c r="B14" s="21"/>
      <c r="C14" s="49" t="s">
        <v>67</v>
      </c>
      <c r="D14" s="113" t="s">
        <v>68</v>
      </c>
      <c r="E14" s="112" t="s">
        <v>66</v>
      </c>
      <c r="F14" s="131">
        <v>47.236129638774003</v>
      </c>
      <c r="G14" s="14">
        <v>9.76</v>
      </c>
      <c r="H14" s="14">
        <f>ROUND(F14*G14,2)</f>
        <v>461.02</v>
      </c>
    </row>
    <row r="15" spans="1:11" x14ac:dyDescent="0.25">
      <c r="A15" s="132">
        <f>A14+1</f>
        <v>3</v>
      </c>
      <c r="B15" s="21"/>
      <c r="C15" s="49" t="s">
        <v>69</v>
      </c>
      <c r="D15" s="113" t="s">
        <v>70</v>
      </c>
      <c r="E15" s="112" t="s">
        <v>66</v>
      </c>
      <c r="F15" s="131">
        <v>0.76499886048542998</v>
      </c>
      <c r="G15" s="14">
        <v>10.65</v>
      </c>
      <c r="H15" s="14">
        <f>ROUND(F15*G15,2)</f>
        <v>8.15</v>
      </c>
    </row>
    <row r="16" spans="1:11" x14ac:dyDescent="0.25">
      <c r="A16" s="132">
        <f>A15+1</f>
        <v>4</v>
      </c>
      <c r="B16" s="21"/>
      <c r="C16" s="49" t="s">
        <v>71</v>
      </c>
      <c r="D16" s="113" t="s">
        <v>72</v>
      </c>
      <c r="E16" s="112" t="s">
        <v>66</v>
      </c>
      <c r="F16" s="131">
        <v>0.20399969612944999</v>
      </c>
      <c r="G16" s="14">
        <v>9.07</v>
      </c>
      <c r="H16" s="14">
        <f>ROUND(F16*G16,2)</f>
        <v>1.85</v>
      </c>
    </row>
    <row r="17" spans="1:12" ht="15" customHeight="1" x14ac:dyDescent="0.25">
      <c r="A17" s="152" t="s">
        <v>73</v>
      </c>
      <c r="B17" s="152"/>
      <c r="C17" s="152"/>
      <c r="D17" s="152"/>
      <c r="E17" s="152"/>
      <c r="F17" s="45"/>
      <c r="G17" s="45"/>
      <c r="H17" s="44">
        <f>H18</f>
        <v>778.61</v>
      </c>
    </row>
    <row r="18" spans="1:12" x14ac:dyDescent="0.25">
      <c r="A18" s="132">
        <f>A16+1</f>
        <v>5</v>
      </c>
      <c r="B18" s="21"/>
      <c r="C18" s="49">
        <v>2</v>
      </c>
      <c r="D18" s="113" t="s">
        <v>73</v>
      </c>
      <c r="E18" s="112" t="s">
        <v>66</v>
      </c>
      <c r="F18" s="112">
        <f>'Прил.5 Расчет СМР и ОБ'!E16</f>
        <v>64.923000000000002</v>
      </c>
      <c r="G18" s="14"/>
      <c r="H18" s="133">
        <f>'Прил.5 Расчет СМР и ОБ'!G16</f>
        <v>778.61</v>
      </c>
      <c r="L18" s="42"/>
    </row>
    <row r="19" spans="1:12" ht="15" customHeight="1" x14ac:dyDescent="0.25">
      <c r="A19" s="152" t="s">
        <v>74</v>
      </c>
      <c r="B19" s="152"/>
      <c r="C19" s="152"/>
      <c r="D19" s="152"/>
      <c r="E19" s="152"/>
      <c r="F19" s="45"/>
      <c r="G19" s="45"/>
      <c r="H19" s="44">
        <f>SUM(H20:H26)</f>
        <v>5223.83</v>
      </c>
      <c r="K19" s="18"/>
    </row>
    <row r="20" spans="1:12" ht="25.5" customHeight="1" x14ac:dyDescent="0.25">
      <c r="A20" s="49">
        <f>A18+1</f>
        <v>6</v>
      </c>
      <c r="B20" s="21"/>
      <c r="C20" s="49" t="s">
        <v>75</v>
      </c>
      <c r="D20" s="113" t="s">
        <v>76</v>
      </c>
      <c r="E20" s="112" t="s">
        <v>77</v>
      </c>
      <c r="F20" s="112">
        <v>32.06</v>
      </c>
      <c r="G20" s="115">
        <v>115.4</v>
      </c>
      <c r="H20" s="14">
        <f t="shared" ref="H20:H26" si="0">ROUND(F20*G20,2)</f>
        <v>3699.72</v>
      </c>
    </row>
    <row r="21" spans="1:12" x14ac:dyDescent="0.25">
      <c r="A21" s="49">
        <f t="shared" ref="A21:A26" si="1">A20+1</f>
        <v>7</v>
      </c>
      <c r="B21" s="21"/>
      <c r="C21" s="49" t="s">
        <v>78</v>
      </c>
      <c r="D21" s="113" t="s">
        <v>79</v>
      </c>
      <c r="E21" s="112" t="s">
        <v>77</v>
      </c>
      <c r="F21" s="114">
        <v>23.32</v>
      </c>
      <c r="G21" s="115">
        <v>29.6</v>
      </c>
      <c r="H21" s="14">
        <f t="shared" si="0"/>
        <v>690.27</v>
      </c>
    </row>
    <row r="22" spans="1:12" x14ac:dyDescent="0.25">
      <c r="A22" s="49">
        <f t="shared" si="1"/>
        <v>8</v>
      </c>
      <c r="B22" s="21"/>
      <c r="C22" s="49" t="s">
        <v>80</v>
      </c>
      <c r="D22" s="113" t="s">
        <v>81</v>
      </c>
      <c r="E22" s="112" t="s">
        <v>77</v>
      </c>
      <c r="F22" s="112">
        <v>8.16</v>
      </c>
      <c r="G22" s="115">
        <v>65.709999999999994</v>
      </c>
      <c r="H22" s="14">
        <f t="shared" si="0"/>
        <v>536.19000000000005</v>
      </c>
    </row>
    <row r="23" spans="1:12" ht="25.5" customHeight="1" x14ac:dyDescent="0.25">
      <c r="A23" s="49">
        <f t="shared" si="1"/>
        <v>9</v>
      </c>
      <c r="B23" s="21"/>
      <c r="C23" s="49" t="s">
        <v>82</v>
      </c>
      <c r="D23" s="113" t="s">
        <v>83</v>
      </c>
      <c r="E23" s="112" t="s">
        <v>77</v>
      </c>
      <c r="F23" s="112">
        <v>11.99</v>
      </c>
      <c r="G23" s="115">
        <v>14</v>
      </c>
      <c r="H23" s="14">
        <f t="shared" si="0"/>
        <v>167.86</v>
      </c>
    </row>
    <row r="24" spans="1:12" ht="25.5" customHeight="1" x14ac:dyDescent="0.25">
      <c r="A24" s="49">
        <f t="shared" si="1"/>
        <v>10</v>
      </c>
      <c r="B24" s="21"/>
      <c r="C24" s="49" t="s">
        <v>84</v>
      </c>
      <c r="D24" s="113" t="s">
        <v>85</v>
      </c>
      <c r="E24" s="112" t="s">
        <v>77</v>
      </c>
      <c r="F24" s="112">
        <v>14.64</v>
      </c>
      <c r="G24" s="115">
        <v>8.1</v>
      </c>
      <c r="H24" s="14">
        <f t="shared" si="0"/>
        <v>118.58</v>
      </c>
    </row>
    <row r="25" spans="1:12" x14ac:dyDescent="0.25">
      <c r="A25" s="49">
        <f t="shared" si="1"/>
        <v>11</v>
      </c>
      <c r="B25" s="21"/>
      <c r="C25" s="49" t="s">
        <v>86</v>
      </c>
      <c r="D25" s="113" t="s">
        <v>87</v>
      </c>
      <c r="E25" s="112" t="s">
        <v>77</v>
      </c>
      <c r="F25" s="112">
        <v>0.11</v>
      </c>
      <c r="G25" s="115">
        <v>85.84</v>
      </c>
      <c r="H25" s="14">
        <f t="shared" si="0"/>
        <v>9.44</v>
      </c>
    </row>
    <row r="26" spans="1:12" ht="25.5" customHeight="1" x14ac:dyDescent="0.25">
      <c r="A26" s="49">
        <f t="shared" si="1"/>
        <v>12</v>
      </c>
      <c r="B26" s="21"/>
      <c r="C26" s="49" t="s">
        <v>88</v>
      </c>
      <c r="D26" s="113" t="s">
        <v>89</v>
      </c>
      <c r="E26" s="112" t="s">
        <v>77</v>
      </c>
      <c r="F26" s="112">
        <v>0.26</v>
      </c>
      <c r="G26" s="115">
        <v>6.82</v>
      </c>
      <c r="H26" s="14">
        <f t="shared" si="0"/>
        <v>1.77</v>
      </c>
    </row>
    <row r="27" spans="1:12" ht="15" customHeight="1" x14ac:dyDescent="0.25">
      <c r="A27" s="152" t="s">
        <v>44</v>
      </c>
      <c r="B27" s="152"/>
      <c r="C27" s="152"/>
      <c r="D27" s="152"/>
      <c r="E27" s="152"/>
      <c r="F27" s="45"/>
      <c r="G27" s="45"/>
      <c r="H27" s="44">
        <f>SUM(H28:H29)</f>
        <v>991048.76</v>
      </c>
    </row>
    <row r="28" spans="1:12" ht="38.25" customHeight="1" x14ac:dyDescent="0.25">
      <c r="A28" s="132">
        <f>A26+1</f>
        <v>13</v>
      </c>
      <c r="B28" s="111"/>
      <c r="C28" s="49" t="s">
        <v>90</v>
      </c>
      <c r="D28" s="135" t="s">
        <v>91</v>
      </c>
      <c r="E28" s="121" t="s">
        <v>92</v>
      </c>
      <c r="F28" s="121">
        <v>4</v>
      </c>
      <c r="G28" s="14">
        <v>151915.54</v>
      </c>
      <c r="H28" s="14">
        <f>ROUND(F28*G28,2)</f>
        <v>607662.16</v>
      </c>
    </row>
    <row r="29" spans="1:12" ht="25.5" customHeight="1" x14ac:dyDescent="0.25">
      <c r="A29" s="132">
        <v>14</v>
      </c>
      <c r="B29" s="111"/>
      <c r="C29" s="49" t="s">
        <v>90</v>
      </c>
      <c r="D29" s="113" t="s">
        <v>93</v>
      </c>
      <c r="E29" s="112" t="s">
        <v>94</v>
      </c>
      <c r="F29" s="112">
        <v>4</v>
      </c>
      <c r="G29" s="14">
        <v>95846.65</v>
      </c>
      <c r="H29" s="14">
        <f>ROUND(F29*G29,2)</f>
        <v>383386.6</v>
      </c>
    </row>
    <row r="30" spans="1:12" ht="15" customHeight="1" x14ac:dyDescent="0.25">
      <c r="A30" s="152" t="s">
        <v>95</v>
      </c>
      <c r="B30" s="152"/>
      <c r="C30" s="152"/>
      <c r="D30" s="152"/>
      <c r="E30" s="152"/>
      <c r="F30" s="45"/>
      <c r="G30" s="45"/>
      <c r="H30" s="44">
        <f>SUM(H31:H51)</f>
        <v>28273.14</v>
      </c>
      <c r="K30" s="18"/>
    </row>
    <row r="31" spans="1:12" ht="25.5" customHeight="1" x14ac:dyDescent="0.25">
      <c r="A31" s="132">
        <v>15</v>
      </c>
      <c r="B31" s="21"/>
      <c r="C31" s="49" t="s">
        <v>96</v>
      </c>
      <c r="D31" s="113" t="s">
        <v>97</v>
      </c>
      <c r="E31" s="112" t="s">
        <v>98</v>
      </c>
      <c r="F31" s="112">
        <v>0.1188</v>
      </c>
      <c r="G31" s="14">
        <v>98440.41</v>
      </c>
      <c r="H31" s="14">
        <f t="shared" ref="H31:H51" si="2">ROUND(F31*G31,2)</f>
        <v>11694.72</v>
      </c>
    </row>
    <row r="32" spans="1:12" ht="25.5" customHeight="1" x14ac:dyDescent="0.25">
      <c r="A32" s="132">
        <f t="shared" ref="A32:A51" si="3">A31+1</f>
        <v>16</v>
      </c>
      <c r="B32" s="21"/>
      <c r="C32" s="49" t="s">
        <v>99</v>
      </c>
      <c r="D32" s="113" t="s">
        <v>100</v>
      </c>
      <c r="E32" s="112" t="s">
        <v>101</v>
      </c>
      <c r="F32" s="112">
        <v>9.3060000000000004E-2</v>
      </c>
      <c r="G32" s="14">
        <v>33046.39</v>
      </c>
      <c r="H32" s="14">
        <f t="shared" si="2"/>
        <v>3075.3</v>
      </c>
    </row>
    <row r="33" spans="1:8" ht="25.5" customHeight="1" x14ac:dyDescent="0.25">
      <c r="A33" s="132">
        <f t="shared" si="3"/>
        <v>17</v>
      </c>
      <c r="B33" s="21"/>
      <c r="C33" s="49" t="s">
        <v>102</v>
      </c>
      <c r="D33" s="113" t="s">
        <v>103</v>
      </c>
      <c r="E33" s="112" t="s">
        <v>104</v>
      </c>
      <c r="F33" s="112">
        <v>1.32</v>
      </c>
      <c r="G33" s="14">
        <v>1837.28</v>
      </c>
      <c r="H33" s="14">
        <f t="shared" si="2"/>
        <v>2425.21</v>
      </c>
    </row>
    <row r="34" spans="1:8" x14ac:dyDescent="0.25">
      <c r="A34" s="132">
        <f t="shared" si="3"/>
        <v>18</v>
      </c>
      <c r="B34" s="21"/>
      <c r="C34" s="49" t="s">
        <v>105</v>
      </c>
      <c r="D34" s="113" t="s">
        <v>106</v>
      </c>
      <c r="E34" s="112" t="s">
        <v>107</v>
      </c>
      <c r="F34" s="112">
        <v>0.26400000000000001</v>
      </c>
      <c r="G34" s="14">
        <v>6505</v>
      </c>
      <c r="H34" s="14">
        <f t="shared" si="2"/>
        <v>1717.32</v>
      </c>
    </row>
    <row r="35" spans="1:8" ht="25.5" customHeight="1" x14ac:dyDescent="0.25">
      <c r="A35" s="132">
        <f t="shared" si="3"/>
        <v>19</v>
      </c>
      <c r="B35" s="21"/>
      <c r="C35" s="49" t="s">
        <v>108</v>
      </c>
      <c r="D35" s="113" t="s">
        <v>109</v>
      </c>
      <c r="E35" s="112" t="s">
        <v>110</v>
      </c>
      <c r="F35" s="112">
        <v>0.35904000000000003</v>
      </c>
      <c r="G35" s="14">
        <v>3986</v>
      </c>
      <c r="H35" s="14">
        <f t="shared" si="2"/>
        <v>1431.13</v>
      </c>
    </row>
    <row r="36" spans="1:8" x14ac:dyDescent="0.25">
      <c r="A36" s="132">
        <f t="shared" si="3"/>
        <v>20</v>
      </c>
      <c r="B36" s="21"/>
      <c r="C36" s="49" t="s">
        <v>111</v>
      </c>
      <c r="D36" s="113" t="s">
        <v>112</v>
      </c>
      <c r="E36" s="112" t="s">
        <v>104</v>
      </c>
      <c r="F36" s="112">
        <v>13.2</v>
      </c>
      <c r="G36" s="14">
        <v>108.4</v>
      </c>
      <c r="H36" s="14">
        <f t="shared" si="2"/>
        <v>1430.88</v>
      </c>
    </row>
    <row r="37" spans="1:8" x14ac:dyDescent="0.25">
      <c r="A37" s="132">
        <f t="shared" si="3"/>
        <v>21</v>
      </c>
      <c r="B37" s="21"/>
      <c r="C37" s="49" t="s">
        <v>113</v>
      </c>
      <c r="D37" s="113" t="s">
        <v>114</v>
      </c>
      <c r="E37" s="112" t="s">
        <v>115</v>
      </c>
      <c r="F37" s="112">
        <v>12.1836</v>
      </c>
      <c r="G37" s="14">
        <v>114.42</v>
      </c>
      <c r="H37" s="14">
        <f t="shared" si="2"/>
        <v>1394.05</v>
      </c>
    </row>
    <row r="38" spans="1:8" x14ac:dyDescent="0.25">
      <c r="A38" s="132">
        <f t="shared" si="3"/>
        <v>22</v>
      </c>
      <c r="B38" s="21"/>
      <c r="C38" s="49" t="s">
        <v>116</v>
      </c>
      <c r="D38" s="113" t="s">
        <v>117</v>
      </c>
      <c r="E38" s="112" t="s">
        <v>98</v>
      </c>
      <c r="F38" s="112">
        <v>3.5200000000000002E-2</v>
      </c>
      <c r="G38" s="14">
        <v>38348.22</v>
      </c>
      <c r="H38" s="14">
        <f t="shared" si="2"/>
        <v>1349.86</v>
      </c>
    </row>
    <row r="39" spans="1:8" x14ac:dyDescent="0.25">
      <c r="A39" s="132">
        <f t="shared" si="3"/>
        <v>23</v>
      </c>
      <c r="B39" s="21"/>
      <c r="C39" s="49" t="s">
        <v>118</v>
      </c>
      <c r="D39" s="113" t="s">
        <v>119</v>
      </c>
      <c r="E39" s="112" t="s">
        <v>115</v>
      </c>
      <c r="F39" s="112">
        <v>103.312</v>
      </c>
      <c r="G39" s="14">
        <v>9.0399999999999991</v>
      </c>
      <c r="H39" s="14">
        <f t="shared" si="2"/>
        <v>933.94</v>
      </c>
    </row>
    <row r="40" spans="1:8" x14ac:dyDescent="0.25">
      <c r="A40" s="132">
        <f t="shared" si="3"/>
        <v>24</v>
      </c>
      <c r="B40" s="21"/>
      <c r="C40" s="49" t="s">
        <v>120</v>
      </c>
      <c r="D40" s="113" t="s">
        <v>121</v>
      </c>
      <c r="E40" s="112" t="s">
        <v>101</v>
      </c>
      <c r="F40" s="112">
        <v>6.0499999999999998E-2</v>
      </c>
      <c r="G40" s="14">
        <v>10315.01</v>
      </c>
      <c r="H40" s="14">
        <f t="shared" si="2"/>
        <v>624.05999999999995</v>
      </c>
    </row>
    <row r="41" spans="1:8" ht="25.5" customHeight="1" x14ac:dyDescent="0.25">
      <c r="A41" s="132">
        <f t="shared" si="3"/>
        <v>25</v>
      </c>
      <c r="B41" s="21"/>
      <c r="C41" s="49" t="s">
        <v>122</v>
      </c>
      <c r="D41" s="113" t="s">
        <v>123</v>
      </c>
      <c r="E41" s="112" t="s">
        <v>101</v>
      </c>
      <c r="F41" s="112">
        <v>9.6799999999999997E-2</v>
      </c>
      <c r="G41" s="14">
        <v>5000</v>
      </c>
      <c r="H41" s="14">
        <f t="shared" si="2"/>
        <v>484</v>
      </c>
    </row>
    <row r="42" spans="1:8" x14ac:dyDescent="0.25">
      <c r="A42" s="132">
        <f t="shared" si="3"/>
        <v>26</v>
      </c>
      <c r="B42" s="21"/>
      <c r="C42" s="49" t="s">
        <v>124</v>
      </c>
      <c r="D42" s="113" t="s">
        <v>125</v>
      </c>
      <c r="E42" s="112" t="s">
        <v>115</v>
      </c>
      <c r="F42" s="112">
        <v>16.72</v>
      </c>
      <c r="G42" s="14">
        <v>28.6</v>
      </c>
      <c r="H42" s="14">
        <f t="shared" si="2"/>
        <v>478.19</v>
      </c>
    </row>
    <row r="43" spans="1:8" x14ac:dyDescent="0.25">
      <c r="A43" s="132">
        <f t="shared" si="3"/>
        <v>27</v>
      </c>
      <c r="B43" s="21"/>
      <c r="C43" s="49" t="s">
        <v>126</v>
      </c>
      <c r="D43" s="113" t="s">
        <v>127</v>
      </c>
      <c r="E43" s="112" t="s">
        <v>115</v>
      </c>
      <c r="F43" s="112">
        <v>43.12</v>
      </c>
      <c r="G43" s="14">
        <v>10.57</v>
      </c>
      <c r="H43" s="14">
        <f t="shared" si="2"/>
        <v>455.78</v>
      </c>
    </row>
    <row r="44" spans="1:8" ht="25.5" customHeight="1" x14ac:dyDescent="0.25">
      <c r="A44" s="132">
        <f t="shared" si="3"/>
        <v>28</v>
      </c>
      <c r="B44" s="21"/>
      <c r="C44" s="49" t="s">
        <v>128</v>
      </c>
      <c r="D44" s="113" t="s">
        <v>129</v>
      </c>
      <c r="E44" s="112" t="s">
        <v>101</v>
      </c>
      <c r="F44" s="112">
        <v>1.7600000000000001E-2</v>
      </c>
      <c r="G44" s="14">
        <v>17500</v>
      </c>
      <c r="H44" s="14">
        <f t="shared" si="2"/>
        <v>308</v>
      </c>
    </row>
    <row r="45" spans="1:8" x14ac:dyDescent="0.25">
      <c r="A45" s="132">
        <f t="shared" si="3"/>
        <v>29</v>
      </c>
      <c r="B45" s="21"/>
      <c r="C45" s="49" t="s">
        <v>130</v>
      </c>
      <c r="D45" s="113" t="s">
        <v>131</v>
      </c>
      <c r="E45" s="112" t="s">
        <v>115</v>
      </c>
      <c r="F45" s="112">
        <v>2.9678</v>
      </c>
      <c r="G45" s="14">
        <v>54.99</v>
      </c>
      <c r="H45" s="14">
        <f t="shared" si="2"/>
        <v>163.19999999999999</v>
      </c>
    </row>
    <row r="46" spans="1:8" ht="25.5" customHeight="1" x14ac:dyDescent="0.25">
      <c r="A46" s="132">
        <f t="shared" si="3"/>
        <v>30</v>
      </c>
      <c r="B46" s="21"/>
      <c r="C46" s="49" t="s">
        <v>132</v>
      </c>
      <c r="D46" s="113" t="s">
        <v>133</v>
      </c>
      <c r="E46" s="112" t="s">
        <v>134</v>
      </c>
      <c r="F46" s="112">
        <v>118.712</v>
      </c>
      <c r="G46" s="14">
        <v>1</v>
      </c>
      <c r="H46" s="14">
        <f t="shared" si="2"/>
        <v>118.71</v>
      </c>
    </row>
    <row r="47" spans="1:8" x14ac:dyDescent="0.25">
      <c r="A47" s="132">
        <f t="shared" si="3"/>
        <v>31</v>
      </c>
      <c r="B47" s="21"/>
      <c r="C47" s="49" t="s">
        <v>135</v>
      </c>
      <c r="D47" s="113" t="s">
        <v>136</v>
      </c>
      <c r="E47" s="112" t="s">
        <v>137</v>
      </c>
      <c r="F47" s="112">
        <v>1.232</v>
      </c>
      <c r="G47" s="14">
        <v>79.099999999999994</v>
      </c>
      <c r="H47" s="14">
        <f t="shared" si="2"/>
        <v>97.45</v>
      </c>
    </row>
    <row r="48" spans="1:8" x14ac:dyDescent="0.25">
      <c r="A48" s="132">
        <f t="shared" si="3"/>
        <v>32</v>
      </c>
      <c r="B48" s="21"/>
      <c r="C48" s="49" t="s">
        <v>138</v>
      </c>
      <c r="D48" s="113" t="s">
        <v>139</v>
      </c>
      <c r="E48" s="112" t="s">
        <v>140</v>
      </c>
      <c r="F48" s="112">
        <v>1.76</v>
      </c>
      <c r="G48" s="14">
        <v>39</v>
      </c>
      <c r="H48" s="14">
        <f t="shared" si="2"/>
        <v>68.64</v>
      </c>
    </row>
    <row r="49" spans="1:11" x14ac:dyDescent="0.25">
      <c r="A49" s="132">
        <f t="shared" si="3"/>
        <v>33</v>
      </c>
      <c r="B49" s="21"/>
      <c r="C49" s="49" t="s">
        <v>141</v>
      </c>
      <c r="D49" s="113" t="s">
        <v>142</v>
      </c>
      <c r="E49" s="112" t="s">
        <v>115</v>
      </c>
      <c r="F49" s="112">
        <v>0.28160000000000002</v>
      </c>
      <c r="G49" s="14">
        <v>41.7</v>
      </c>
      <c r="H49" s="14">
        <f t="shared" si="2"/>
        <v>11.74</v>
      </c>
    </row>
    <row r="50" spans="1:11" x14ac:dyDescent="0.25">
      <c r="A50" s="132">
        <f t="shared" si="3"/>
        <v>34</v>
      </c>
      <c r="B50" s="21"/>
      <c r="C50" s="49" t="s">
        <v>143</v>
      </c>
      <c r="D50" s="113" t="s">
        <v>144</v>
      </c>
      <c r="E50" s="112" t="s">
        <v>145</v>
      </c>
      <c r="F50" s="112">
        <v>0.8448</v>
      </c>
      <c r="G50" s="14">
        <v>6.9</v>
      </c>
      <c r="H50" s="14">
        <f t="shared" si="2"/>
        <v>5.83</v>
      </c>
    </row>
    <row r="51" spans="1:11" x14ac:dyDescent="0.25">
      <c r="A51" s="132">
        <f t="shared" si="3"/>
        <v>35</v>
      </c>
      <c r="B51" s="21"/>
      <c r="C51" s="49" t="s">
        <v>146</v>
      </c>
      <c r="D51" s="113" t="s">
        <v>147</v>
      </c>
      <c r="E51" s="112" t="s">
        <v>101</v>
      </c>
      <c r="F51" s="112">
        <v>6.7166000000000003E-4</v>
      </c>
      <c r="G51" s="14">
        <v>7640</v>
      </c>
      <c r="H51" s="14">
        <f t="shared" si="2"/>
        <v>5.13</v>
      </c>
    </row>
    <row r="52" spans="1:11" x14ac:dyDescent="0.25">
      <c r="K52" s="80"/>
    </row>
    <row r="54" spans="1:11" x14ac:dyDescent="0.25">
      <c r="B54" s="123" t="s">
        <v>316</v>
      </c>
      <c r="C54" s="128"/>
    </row>
    <row r="55" spans="1:11" x14ac:dyDescent="0.25">
      <c r="B55" s="120" t="s">
        <v>33</v>
      </c>
      <c r="C55" s="128"/>
    </row>
    <row r="56" spans="1:11" x14ac:dyDescent="0.25">
      <c r="B56" s="123"/>
      <c r="C56" s="128"/>
    </row>
    <row r="57" spans="1:11" x14ac:dyDescent="0.25">
      <c r="B57" s="123" t="s">
        <v>317</v>
      </c>
      <c r="C57" s="128"/>
    </row>
    <row r="58" spans="1:11" x14ac:dyDescent="0.25">
      <c r="B58" s="120" t="s">
        <v>34</v>
      </c>
      <c r="C58" s="128"/>
    </row>
  </sheetData>
  <mergeCells count="16">
    <mergeCell ref="A1:H1"/>
    <mergeCell ref="A2:H2"/>
    <mergeCell ref="E9:E10"/>
    <mergeCell ref="F9:F10"/>
    <mergeCell ref="A9:A10"/>
    <mergeCell ref="B9:B10"/>
    <mergeCell ref="C9:C10"/>
    <mergeCell ref="D9:D10"/>
    <mergeCell ref="A6:H6"/>
    <mergeCell ref="A27:E27"/>
    <mergeCell ref="A30:E30"/>
    <mergeCell ref="A12:E12"/>
    <mergeCell ref="C4:H4"/>
    <mergeCell ref="G9:H9"/>
    <mergeCell ref="A17:E17"/>
    <mergeCell ref="A19:E19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G22" sqref="G2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15" t="s">
        <v>148</v>
      </c>
    </row>
    <row r="2" spans="2:5" x14ac:dyDescent="0.25">
      <c r="B2" s="6"/>
      <c r="C2" s="6"/>
      <c r="D2" s="6"/>
      <c r="E2" s="6"/>
    </row>
    <row r="3" spans="2:5" x14ac:dyDescent="0.25">
      <c r="B3" s="6"/>
      <c r="C3" s="6"/>
      <c r="D3" s="6"/>
      <c r="E3" s="6"/>
    </row>
    <row r="4" spans="2:5" x14ac:dyDescent="0.25">
      <c r="B4" s="157" t="s">
        <v>149</v>
      </c>
      <c r="C4" s="157"/>
      <c r="D4" s="157"/>
      <c r="E4" s="157"/>
    </row>
    <row r="5" spans="2:5" x14ac:dyDescent="0.25">
      <c r="B5" s="16"/>
      <c r="C5" s="6"/>
      <c r="D5" s="6"/>
      <c r="E5" s="6"/>
    </row>
    <row r="6" spans="2:5" ht="33.75" customHeight="1" x14ac:dyDescent="0.25">
      <c r="B6" s="146" t="s">
        <v>3</v>
      </c>
      <c r="C6" s="146"/>
      <c r="D6" s="146"/>
      <c r="E6" s="146"/>
    </row>
    <row r="7" spans="2:5" ht="15.75" customHeight="1" x14ac:dyDescent="0.25">
      <c r="B7" s="85" t="str">
        <f>'Прил.1 Сравнит табл'!B8</f>
        <v>Единица измерения  — 1 ед.</v>
      </c>
      <c r="C7" s="85"/>
      <c r="D7" s="85"/>
      <c r="E7" s="85"/>
    </row>
    <row r="8" spans="2:5" ht="15.75" customHeight="1" x14ac:dyDescent="0.25">
      <c r="B8" s="85"/>
      <c r="C8" s="85"/>
      <c r="D8" s="85"/>
      <c r="E8" s="85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150</v>
      </c>
      <c r="C10" s="2" t="s">
        <v>151</v>
      </c>
      <c r="D10" s="2" t="s">
        <v>152</v>
      </c>
      <c r="E10" s="2" t="s">
        <v>153</v>
      </c>
    </row>
    <row r="11" spans="2:5" x14ac:dyDescent="0.25">
      <c r="B11" s="7" t="s">
        <v>154</v>
      </c>
      <c r="C11" s="94">
        <f>'Прил.5 Расчет СМР и ОБ'!J14</f>
        <v>148860.63</v>
      </c>
      <c r="D11" s="95">
        <f t="shared" ref="D11:D18" si="0">C11/$C$24</f>
        <v>0.20578117408818999</v>
      </c>
      <c r="E11" s="95">
        <f t="shared" ref="E11:E18" si="1">C11/$C$40</f>
        <v>3.6896986410566001E-3</v>
      </c>
    </row>
    <row r="12" spans="2:5" x14ac:dyDescent="0.25">
      <c r="B12" s="7" t="s">
        <v>155</v>
      </c>
      <c r="C12" s="94">
        <f>'Прил.5 Расчет СМР и ОБ'!J22</f>
        <v>66355.77</v>
      </c>
      <c r="D12" s="95">
        <f t="shared" si="0"/>
        <v>9.1728540031878997E-2</v>
      </c>
      <c r="E12" s="95">
        <f t="shared" si="1"/>
        <v>1.6447115291348001E-3</v>
      </c>
    </row>
    <row r="13" spans="2:5" x14ac:dyDescent="0.25">
      <c r="B13" s="7" t="s">
        <v>156</v>
      </c>
      <c r="C13" s="94">
        <f>'Прил.5 Расчет СМР и ОБ'!J27</f>
        <v>4009.52</v>
      </c>
      <c r="D13" s="95">
        <f t="shared" si="0"/>
        <v>5.5426591512481999E-3</v>
      </c>
      <c r="E13" s="95">
        <f t="shared" si="1"/>
        <v>9.9381014948608001E-5</v>
      </c>
    </row>
    <row r="14" spans="2:5" x14ac:dyDescent="0.25">
      <c r="B14" s="7" t="s">
        <v>157</v>
      </c>
      <c r="C14" s="94">
        <f>C13+C12</f>
        <v>70365.289999999994</v>
      </c>
      <c r="D14" s="95">
        <f t="shared" si="0"/>
        <v>9.7271199183127002E-2</v>
      </c>
      <c r="E14" s="95">
        <f t="shared" si="1"/>
        <v>1.7440925440833999E-3</v>
      </c>
    </row>
    <row r="15" spans="2:5" x14ac:dyDescent="0.25">
      <c r="B15" s="7" t="s">
        <v>158</v>
      </c>
      <c r="C15" s="94">
        <f>'Прил.5 Расчет СМР и ОБ'!J16</f>
        <v>34484.5</v>
      </c>
      <c r="D15" s="95">
        <f t="shared" si="0"/>
        <v>4.7670501581540001E-2</v>
      </c>
      <c r="E15" s="95">
        <f t="shared" si="1"/>
        <v>8.5474186685569997E-4</v>
      </c>
    </row>
    <row r="16" spans="2:5" x14ac:dyDescent="0.25">
      <c r="B16" s="7" t="s">
        <v>159</v>
      </c>
      <c r="C16" s="94">
        <f>'Прил.5 Расчет СМР и ОБ'!J47</f>
        <v>197128.54</v>
      </c>
      <c r="D16" s="95">
        <f t="shared" si="0"/>
        <v>0.27250551342884</v>
      </c>
      <c r="E16" s="95">
        <f t="shared" si="1"/>
        <v>4.8860797253878997E-3</v>
      </c>
    </row>
    <row r="17" spans="2:7" x14ac:dyDescent="0.25">
      <c r="B17" s="7" t="s">
        <v>160</v>
      </c>
      <c r="C17" s="94">
        <f>'Прил.5 Расчет СМР и ОБ'!J61</f>
        <v>30187.24</v>
      </c>
      <c r="D17" s="95">
        <f t="shared" si="0"/>
        <v>4.1730077923773E-2</v>
      </c>
      <c r="E17" s="95">
        <f t="shared" si="1"/>
        <v>7.4822885275475004E-4</v>
      </c>
      <c r="G17" s="17"/>
    </row>
    <row r="18" spans="2:7" x14ac:dyDescent="0.25">
      <c r="B18" s="7" t="s">
        <v>161</v>
      </c>
      <c r="C18" s="94">
        <f>C17+C16</f>
        <v>227315.78</v>
      </c>
      <c r="D18" s="95">
        <f t="shared" si="0"/>
        <v>0.31423559135260998</v>
      </c>
      <c r="E18" s="95">
        <f t="shared" si="1"/>
        <v>5.6343085781426E-3</v>
      </c>
    </row>
    <row r="19" spans="2:7" x14ac:dyDescent="0.25">
      <c r="B19" s="7" t="s">
        <v>162</v>
      </c>
      <c r="C19" s="94">
        <f>C18+C14+C11</f>
        <v>446541.7</v>
      </c>
      <c r="D19" s="95"/>
      <c r="E19" s="7"/>
    </row>
    <row r="20" spans="2:7" x14ac:dyDescent="0.25">
      <c r="B20" s="7" t="s">
        <v>163</v>
      </c>
      <c r="C20" s="94">
        <f>ROUND(C21*(C11+C15),2)</f>
        <v>99006.37</v>
      </c>
      <c r="D20" s="95">
        <f>C20/$C$24</f>
        <v>0.13686390458518</v>
      </c>
      <c r="E20" s="95">
        <f>C20/$C$40</f>
        <v>2.4539978693153999E-3</v>
      </c>
    </row>
    <row r="21" spans="2:7" x14ac:dyDescent="0.25">
      <c r="B21" s="7" t="s">
        <v>164</v>
      </c>
      <c r="C21" s="96">
        <f>'Прил.5 Расчет СМР и ОБ'!E65</f>
        <v>0.54</v>
      </c>
      <c r="D21" s="95"/>
      <c r="E21" s="7"/>
    </row>
    <row r="22" spans="2:7" x14ac:dyDescent="0.25">
      <c r="B22" s="7" t="s">
        <v>165</v>
      </c>
      <c r="C22" s="94">
        <f>ROUND(C23*(C11+C15),2)</f>
        <v>177844.78</v>
      </c>
      <c r="D22" s="95">
        <f>C22/$C$24</f>
        <v>0.24584813079090001</v>
      </c>
      <c r="E22" s="95">
        <f>C22/$C$40</f>
        <v>4.4081073893413002E-3</v>
      </c>
    </row>
    <row r="23" spans="2:7" x14ac:dyDescent="0.25">
      <c r="B23" s="7" t="s">
        <v>166</v>
      </c>
      <c r="C23" s="96">
        <f>'Прил.5 Расчет СМР и ОБ'!E64</f>
        <v>0.97</v>
      </c>
      <c r="D23" s="95"/>
      <c r="E23" s="7"/>
    </row>
    <row r="24" spans="2:7" x14ac:dyDescent="0.25">
      <c r="B24" s="7" t="s">
        <v>167</v>
      </c>
      <c r="C24" s="94">
        <f>C19+C20+C22</f>
        <v>723392.85</v>
      </c>
      <c r="D24" s="95">
        <f>C24/$C$24</f>
        <v>1</v>
      </c>
      <c r="E24" s="95">
        <f>C24/$C$40</f>
        <v>1.7930205021939E-2</v>
      </c>
    </row>
    <row r="25" spans="2:7" ht="25.5" customHeight="1" x14ac:dyDescent="0.25">
      <c r="B25" s="7" t="s">
        <v>168</v>
      </c>
      <c r="C25" s="94">
        <f>'Прил.5 Расчет СМР и ОБ'!J36</f>
        <v>37182799.939999998</v>
      </c>
      <c r="D25" s="95"/>
      <c r="E25" s="95">
        <f>C25/$C$40</f>
        <v>0.92162263729031002</v>
      </c>
    </row>
    <row r="26" spans="2:7" ht="25.5" customHeight="1" x14ac:dyDescent="0.25">
      <c r="B26" s="7" t="s">
        <v>169</v>
      </c>
      <c r="C26" s="94">
        <f>C25</f>
        <v>37182799.939999998</v>
      </c>
      <c r="D26" s="95"/>
      <c r="E26" s="95">
        <f>C26/$C$40</f>
        <v>0.92162263729031002</v>
      </c>
    </row>
    <row r="27" spans="2:7" x14ac:dyDescent="0.25">
      <c r="B27" s="7" t="s">
        <v>170</v>
      </c>
      <c r="C27" s="97">
        <f>C24+C25</f>
        <v>37906192.789999999</v>
      </c>
      <c r="D27" s="95"/>
      <c r="E27" s="95">
        <f>C27/$C$40</f>
        <v>0.93955284231225</v>
      </c>
    </row>
    <row r="28" spans="2:7" ht="33" customHeight="1" x14ac:dyDescent="0.25">
      <c r="B28" s="7" t="s">
        <v>171</v>
      </c>
      <c r="C28" s="7"/>
      <c r="D28" s="7"/>
      <c r="E28" s="7"/>
    </row>
    <row r="29" spans="2:7" ht="25.5" customHeight="1" x14ac:dyDescent="0.25">
      <c r="B29" s="7" t="s">
        <v>172</v>
      </c>
      <c r="C29" s="97">
        <f>ROUND(C24*3.9%,2)</f>
        <v>28212.32</v>
      </c>
      <c r="D29" s="7"/>
      <c r="E29" s="95">
        <f t="shared" ref="E29:E38" si="2">C29/$C$40</f>
        <v>6.9927796735142996E-4</v>
      </c>
    </row>
    <row r="30" spans="2:7" ht="38.25" customHeight="1" x14ac:dyDescent="0.25">
      <c r="B30" s="7" t="s">
        <v>173</v>
      </c>
      <c r="C30" s="97">
        <f>ROUND((C24+C29)*2.1%,2)</f>
        <v>15783.71</v>
      </c>
      <c r="D30" s="7"/>
      <c r="E30" s="95">
        <f t="shared" si="2"/>
        <v>3.9121917821946002E-4</v>
      </c>
    </row>
    <row r="31" spans="2:7" x14ac:dyDescent="0.25">
      <c r="B31" s="7" t="s">
        <v>174</v>
      </c>
      <c r="C31" s="97">
        <f>81007.14*4</f>
        <v>324028.56</v>
      </c>
      <c r="D31" s="7"/>
      <c r="E31" s="95">
        <f t="shared" si="2"/>
        <v>8.0314569238053007E-3</v>
      </c>
    </row>
    <row r="32" spans="2:7" ht="25.5" customHeight="1" x14ac:dyDescent="0.25">
      <c r="B32" s="7" t="s">
        <v>175</v>
      </c>
      <c r="C32" s="97">
        <f>ROUND(C27*0%,2)</f>
        <v>0</v>
      </c>
      <c r="D32" s="7"/>
      <c r="E32" s="95">
        <f t="shared" si="2"/>
        <v>0</v>
      </c>
    </row>
    <row r="33" spans="2:12" ht="25.5" customHeight="1" x14ac:dyDescent="0.25">
      <c r="B33" s="7" t="s">
        <v>176</v>
      </c>
      <c r="C33" s="97">
        <f>ROUND(C27*0%,2)</f>
        <v>0</v>
      </c>
      <c r="D33" s="7"/>
      <c r="E33" s="95">
        <f t="shared" si="2"/>
        <v>0</v>
      </c>
    </row>
    <row r="34" spans="2:12" ht="51" customHeight="1" x14ac:dyDescent="0.25">
      <c r="B34" s="7" t="s">
        <v>177</v>
      </c>
      <c r="C34" s="97">
        <f>ROUND(C28*0%,2)</f>
        <v>0</v>
      </c>
      <c r="D34" s="7"/>
      <c r="E34" s="95">
        <f t="shared" si="2"/>
        <v>0</v>
      </c>
    </row>
    <row r="35" spans="2:12" ht="76.5" customHeight="1" x14ac:dyDescent="0.25">
      <c r="B35" s="7" t="s">
        <v>178</v>
      </c>
      <c r="C35" s="97">
        <f>ROUND(C29*0%,2)</f>
        <v>0</v>
      </c>
      <c r="D35" s="7"/>
      <c r="E35" s="95">
        <f t="shared" si="2"/>
        <v>0</v>
      </c>
    </row>
    <row r="36" spans="2:12" ht="25.5" customHeight="1" x14ac:dyDescent="0.25">
      <c r="B36" s="7" t="s">
        <v>179</v>
      </c>
      <c r="C36" s="97">
        <f>ROUND((C27+C32+C33+C34+C35+C29+C31+C30)*2.14%,2)</f>
        <v>819068.25</v>
      </c>
      <c r="D36" s="7"/>
      <c r="E36" s="95">
        <f t="shared" si="2"/>
        <v>2.0301640594679999E-2</v>
      </c>
      <c r="G36" s="53"/>
      <c r="L36" s="18"/>
    </row>
    <row r="37" spans="2:12" x14ac:dyDescent="0.25">
      <c r="B37" s="7" t="s">
        <v>180</v>
      </c>
      <c r="C37" s="97">
        <f>ROUND((C27+C32+C33+C34+C35+C29+C31+C30)*0.2%,2)</f>
        <v>76548.429999999993</v>
      </c>
      <c r="D37" s="7"/>
      <c r="E37" s="95">
        <f t="shared" si="2"/>
        <v>1.8973494747806E-3</v>
      </c>
      <c r="G37" s="53"/>
      <c r="L37" s="18"/>
    </row>
    <row r="38" spans="2:12" ht="38.25" customHeight="1" x14ac:dyDescent="0.25">
      <c r="B38" s="7" t="s">
        <v>181</v>
      </c>
      <c r="C38" s="94">
        <f>C27+C32+C33+C34+C35+C29+C31+C30+C36+C37</f>
        <v>39169834.060000002</v>
      </c>
      <c r="D38" s="7"/>
      <c r="E38" s="95">
        <f t="shared" si="2"/>
        <v>0.97087378645108002</v>
      </c>
    </row>
    <row r="39" spans="2:12" ht="13.5" customHeight="1" x14ac:dyDescent="0.25">
      <c r="B39" s="7" t="s">
        <v>182</v>
      </c>
      <c r="C39" s="94">
        <f>ROUND(C38*3%,2)</f>
        <v>1175095.02</v>
      </c>
      <c r="D39" s="7"/>
      <c r="E39" s="95">
        <f>C39/$C$38</f>
        <v>2.9999999954046001E-2</v>
      </c>
    </row>
    <row r="40" spans="2:12" x14ac:dyDescent="0.25">
      <c r="B40" s="7" t="s">
        <v>183</v>
      </c>
      <c r="C40" s="94">
        <f>C39+C38</f>
        <v>40344929.079999998</v>
      </c>
      <c r="D40" s="7"/>
      <c r="E40" s="95">
        <f>C40/$C$40</f>
        <v>1</v>
      </c>
    </row>
    <row r="41" spans="2:12" x14ac:dyDescent="0.25">
      <c r="B41" s="7" t="s">
        <v>184</v>
      </c>
      <c r="C41" s="94">
        <f>C40/'Прил.5 Расчет СМР и ОБ'!E68</f>
        <v>10086232.27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123" t="s">
        <v>316</v>
      </c>
      <c r="C43" s="128"/>
    </row>
    <row r="44" spans="2:12" x14ac:dyDescent="0.25">
      <c r="B44" s="120" t="s">
        <v>33</v>
      </c>
      <c r="C44" s="128"/>
    </row>
    <row r="45" spans="2:12" x14ac:dyDescent="0.25">
      <c r="B45" s="123"/>
      <c r="C45" s="128"/>
    </row>
    <row r="46" spans="2:12" x14ac:dyDescent="0.25">
      <c r="B46" s="123" t="s">
        <v>317</v>
      </c>
      <c r="C46" s="128"/>
    </row>
    <row r="47" spans="2:12" x14ac:dyDescent="0.25">
      <c r="B47" s="120" t="s">
        <v>34</v>
      </c>
      <c r="C47" s="128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2">
    <mergeCell ref="B4:E4"/>
    <mergeCell ref="B6:E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5"/>
  <sheetViews>
    <sheetView view="pageBreakPreview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75"/>
      <c r="J2" s="58" t="s">
        <v>185</v>
      </c>
    </row>
    <row r="4" spans="1:12" s="6" customFormat="1" ht="12.75" customHeight="1" x14ac:dyDescent="0.2">
      <c r="A4" s="157" t="s">
        <v>186</v>
      </c>
      <c r="B4" s="157"/>
      <c r="C4" s="157"/>
      <c r="D4" s="157"/>
      <c r="E4" s="157"/>
      <c r="F4" s="157"/>
      <c r="G4" s="157"/>
      <c r="H4" s="157"/>
      <c r="I4" s="46"/>
      <c r="J4" s="46"/>
    </row>
    <row r="5" spans="1:12" s="6" customFormat="1" ht="12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2" s="6" customFormat="1" ht="15.75" customHeight="1" x14ac:dyDescent="0.2">
      <c r="B6" s="78" t="s">
        <v>187</v>
      </c>
      <c r="C6" s="89"/>
      <c r="D6" s="168" t="s">
        <v>188</v>
      </c>
      <c r="E6" s="168"/>
      <c r="F6" s="168"/>
      <c r="G6" s="168"/>
      <c r="H6" s="168"/>
      <c r="I6" s="168"/>
      <c r="J6" s="168"/>
    </row>
    <row r="7" spans="1:12" s="6" customFormat="1" ht="15.75" customHeight="1" x14ac:dyDescent="0.2">
      <c r="B7" s="90" t="str">
        <f>'Прил.1 Сравнит табл'!B8</f>
        <v>Единица измерения  — 1 ед.</v>
      </c>
      <c r="C7" s="78"/>
      <c r="D7" s="78"/>
      <c r="E7" s="19"/>
      <c r="F7" s="19"/>
      <c r="G7" s="19"/>
      <c r="H7" s="19"/>
      <c r="I7" s="47"/>
      <c r="J7" s="47"/>
    </row>
    <row r="8" spans="1:12" s="6" customFormat="1" ht="12.75" customHeight="1" x14ac:dyDescent="0.2"/>
    <row r="9" spans="1:12" ht="27" customHeight="1" x14ac:dyDescent="0.25">
      <c r="A9" s="159" t="s">
        <v>189</v>
      </c>
      <c r="B9" s="159" t="s">
        <v>55</v>
      </c>
      <c r="C9" s="159" t="s">
        <v>150</v>
      </c>
      <c r="D9" s="159" t="s">
        <v>57</v>
      </c>
      <c r="E9" s="172" t="s">
        <v>190</v>
      </c>
      <c r="F9" s="166" t="s">
        <v>59</v>
      </c>
      <c r="G9" s="167"/>
      <c r="H9" s="172" t="s">
        <v>191</v>
      </c>
      <c r="I9" s="166" t="s">
        <v>192</v>
      </c>
      <c r="J9" s="167"/>
    </row>
    <row r="10" spans="1:12" ht="28.5" customHeight="1" x14ac:dyDescent="0.25">
      <c r="A10" s="159"/>
      <c r="B10" s="159"/>
      <c r="C10" s="159"/>
      <c r="D10" s="159"/>
      <c r="E10" s="173"/>
      <c r="F10" s="2" t="s">
        <v>193</v>
      </c>
      <c r="G10" s="2" t="s">
        <v>61</v>
      </c>
      <c r="H10" s="173"/>
      <c r="I10" s="2" t="s">
        <v>193</v>
      </c>
      <c r="J10" s="2" t="s">
        <v>61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2" t="s">
        <v>194</v>
      </c>
      <c r="C12" s="158"/>
      <c r="D12" s="159"/>
      <c r="E12" s="160"/>
      <c r="F12" s="161"/>
      <c r="G12" s="161"/>
      <c r="H12" s="169"/>
      <c r="I12" s="101"/>
      <c r="J12" s="101"/>
      <c r="L12" s="86"/>
    </row>
    <row r="13" spans="1:12" ht="25.5" customHeight="1" x14ac:dyDescent="0.25">
      <c r="A13" s="2">
        <v>1</v>
      </c>
      <c r="B13" s="49" t="s">
        <v>64</v>
      </c>
      <c r="C13" s="3" t="s">
        <v>195</v>
      </c>
      <c r="D13" s="2" t="s">
        <v>196</v>
      </c>
      <c r="E13" s="102">
        <v>334.97089397089002</v>
      </c>
      <c r="F13" s="14">
        <v>9.6199999999999992</v>
      </c>
      <c r="G13" s="14">
        <v>3222.42</v>
      </c>
      <c r="H13" s="100">
        <f>G13/G14</f>
        <v>1</v>
      </c>
      <c r="I13" s="14">
        <f>ФОТр.тек.!E13</f>
        <v>444.39870291576</v>
      </c>
      <c r="J13" s="14">
        <f>ROUND(I13*E13,2)</f>
        <v>148860.63</v>
      </c>
    </row>
    <row r="14" spans="1:12" s="1" customFormat="1" ht="25.5" customHeight="1" x14ac:dyDescent="0.25">
      <c r="A14" s="2"/>
      <c r="B14" s="2"/>
      <c r="C14" s="5" t="s">
        <v>197</v>
      </c>
      <c r="D14" s="2" t="s">
        <v>196</v>
      </c>
      <c r="E14" s="102">
        <f>SUM(E13:E13)</f>
        <v>334.97089397089002</v>
      </c>
      <c r="F14" s="14"/>
      <c r="G14" s="14">
        <f>SUM(G13:G13)</f>
        <v>3222.42</v>
      </c>
      <c r="H14" s="100">
        <v>1</v>
      </c>
      <c r="I14" s="14"/>
      <c r="J14" s="14">
        <f>SUM(J13:J13)</f>
        <v>148860.63</v>
      </c>
      <c r="L14" s="87"/>
    </row>
    <row r="15" spans="1:12" s="1" customFormat="1" ht="14.25" customHeight="1" x14ac:dyDescent="0.2">
      <c r="A15" s="2"/>
      <c r="B15" s="158" t="s">
        <v>73</v>
      </c>
      <c r="C15" s="158"/>
      <c r="D15" s="159"/>
      <c r="E15" s="160"/>
      <c r="F15" s="161"/>
      <c r="G15" s="161"/>
      <c r="H15" s="169"/>
      <c r="I15" s="101"/>
      <c r="J15" s="101"/>
      <c r="L15" s="86"/>
    </row>
    <row r="16" spans="1:12" s="1" customFormat="1" ht="14.25" customHeight="1" x14ac:dyDescent="0.2">
      <c r="A16" s="2">
        <v>2</v>
      </c>
      <c r="B16" s="2">
        <v>2</v>
      </c>
      <c r="C16" s="3" t="s">
        <v>73</v>
      </c>
      <c r="D16" s="2" t="s">
        <v>196</v>
      </c>
      <c r="E16" s="102">
        <v>64.923000000000002</v>
      </c>
      <c r="F16" s="14">
        <f>G16/E16</f>
        <v>11.992822266377001</v>
      </c>
      <c r="G16" s="14">
        <v>778.61</v>
      </c>
      <c r="H16" s="100">
        <v>1</v>
      </c>
      <c r="I16" s="14">
        <f>ROUND(F16*Прил.10!D10,2)</f>
        <v>531.16</v>
      </c>
      <c r="J16" s="14">
        <f>ROUND(I16*E16,2)</f>
        <v>34484.5</v>
      </c>
      <c r="L16" s="51"/>
    </row>
    <row r="17" spans="1:12" s="1" customFormat="1" ht="14.25" customHeight="1" x14ac:dyDescent="0.2">
      <c r="A17" s="2"/>
      <c r="B17" s="152" t="s">
        <v>74</v>
      </c>
      <c r="C17" s="158"/>
      <c r="D17" s="159"/>
      <c r="E17" s="160"/>
      <c r="F17" s="161"/>
      <c r="G17" s="161"/>
      <c r="H17" s="162"/>
      <c r="I17" s="100"/>
      <c r="J17" s="100"/>
    </row>
    <row r="18" spans="1:12" s="1" customFormat="1" ht="14.25" customHeight="1" x14ac:dyDescent="0.2">
      <c r="A18" s="2"/>
      <c r="B18" s="158" t="s">
        <v>198</v>
      </c>
      <c r="C18" s="158"/>
      <c r="D18" s="159"/>
      <c r="E18" s="160"/>
      <c r="F18" s="161"/>
      <c r="G18" s="161"/>
      <c r="H18" s="169"/>
      <c r="I18" s="101"/>
      <c r="J18" s="101"/>
    </row>
    <row r="19" spans="1:12" s="1" customFormat="1" ht="25.5" customHeight="1" x14ac:dyDescent="0.2">
      <c r="A19" s="2">
        <v>3</v>
      </c>
      <c r="B19" s="49" t="s">
        <v>75</v>
      </c>
      <c r="C19" s="3" t="s">
        <v>76</v>
      </c>
      <c r="D19" s="2" t="s">
        <v>77</v>
      </c>
      <c r="E19" s="102">
        <v>32.06</v>
      </c>
      <c r="F19" s="9">
        <v>115.4</v>
      </c>
      <c r="G19" s="14">
        <f>ROUND(E19*F19,2)</f>
        <v>3699.72</v>
      </c>
      <c r="H19" s="100">
        <f>G19/$G$28</f>
        <v>0.70823897408605996</v>
      </c>
      <c r="I19" s="14">
        <f>ROUND(F19*Прил.10!$D$11,2)</f>
        <v>1554.44</v>
      </c>
      <c r="J19" s="14">
        <f>ROUND(I19*E19,2)</f>
        <v>49835.35</v>
      </c>
    </row>
    <row r="20" spans="1:12" s="1" customFormat="1" ht="25.5" customHeight="1" x14ac:dyDescent="0.2">
      <c r="A20" s="2">
        <v>4</v>
      </c>
      <c r="B20" s="49" t="s">
        <v>78</v>
      </c>
      <c r="C20" s="3" t="s">
        <v>79</v>
      </c>
      <c r="D20" s="2" t="s">
        <v>77</v>
      </c>
      <c r="E20" s="102">
        <v>23.32</v>
      </c>
      <c r="F20" s="9">
        <v>29.6</v>
      </c>
      <c r="G20" s="14">
        <f>ROUND(E20*F20,2)</f>
        <v>690.27</v>
      </c>
      <c r="H20" s="100">
        <f>G20/$G$28</f>
        <v>0.1321386798575</v>
      </c>
      <c r="I20" s="14">
        <f>ROUND(F20*Прил.10!$D$11,2)</f>
        <v>398.71</v>
      </c>
      <c r="J20" s="14">
        <f>ROUND(I20*E20,2)</f>
        <v>9297.92</v>
      </c>
    </row>
    <row r="21" spans="1:12" s="1" customFormat="1" ht="25.5" customHeight="1" x14ac:dyDescent="0.2">
      <c r="A21" s="2">
        <v>5</v>
      </c>
      <c r="B21" s="49" t="s">
        <v>80</v>
      </c>
      <c r="C21" s="3" t="s">
        <v>81</v>
      </c>
      <c r="D21" s="2" t="s">
        <v>77</v>
      </c>
      <c r="E21" s="102">
        <v>8.16</v>
      </c>
      <c r="F21" s="9">
        <v>65.709999999999994</v>
      </c>
      <c r="G21" s="14">
        <f>ROUND(E21*F21,2)</f>
        <v>536.19000000000005</v>
      </c>
      <c r="H21" s="100">
        <f>G21/$G$28</f>
        <v>0.10264307988583</v>
      </c>
      <c r="I21" s="14">
        <f>ROUND(F21*Прил.10!$D$11,2)</f>
        <v>885.11</v>
      </c>
      <c r="J21" s="14">
        <f>ROUND(I21*E21,2)</f>
        <v>7222.5</v>
      </c>
    </row>
    <row r="22" spans="1:12" s="1" customFormat="1" ht="14.25" customHeight="1" x14ac:dyDescent="0.2">
      <c r="A22" s="2"/>
      <c r="B22" s="2"/>
      <c r="C22" s="3" t="s">
        <v>199</v>
      </c>
      <c r="D22" s="2"/>
      <c r="E22" s="103"/>
      <c r="F22" s="14"/>
      <c r="G22" s="14">
        <f>SUM(G19:G21)</f>
        <v>4926.18</v>
      </c>
      <c r="H22" s="100">
        <f>G22/G28</f>
        <v>0.94302073382939</v>
      </c>
      <c r="I22" s="14"/>
      <c r="J22" s="14">
        <f>SUM(J19:J21)</f>
        <v>66355.77</v>
      </c>
      <c r="L22" s="48"/>
    </row>
    <row r="23" spans="1:12" s="1" customFormat="1" ht="38.25" customHeight="1" outlineLevel="1" x14ac:dyDescent="0.2">
      <c r="A23" s="2">
        <v>6</v>
      </c>
      <c r="B23" s="49" t="s">
        <v>82</v>
      </c>
      <c r="C23" s="3" t="s">
        <v>83</v>
      </c>
      <c r="D23" s="2" t="s">
        <v>77</v>
      </c>
      <c r="E23" s="102">
        <v>11.99</v>
      </c>
      <c r="F23" s="9">
        <v>14</v>
      </c>
      <c r="G23" s="14">
        <f>ROUND(E23*F23,2)</f>
        <v>167.86</v>
      </c>
      <c r="H23" s="100">
        <f>G23/$G$28</f>
        <v>3.2133511236009001E-2</v>
      </c>
      <c r="I23" s="14">
        <f>ROUND(F23*Прил.10!$D$11,2)</f>
        <v>188.58</v>
      </c>
      <c r="J23" s="14">
        <f>ROUND(I23*E23,2)</f>
        <v>2261.0700000000002</v>
      </c>
      <c r="L23" s="48"/>
    </row>
    <row r="24" spans="1:12" s="1" customFormat="1" ht="25.5" customHeight="1" outlineLevel="1" x14ac:dyDescent="0.2">
      <c r="A24" s="2">
        <v>7</v>
      </c>
      <c r="B24" s="49" t="s">
        <v>84</v>
      </c>
      <c r="C24" s="3" t="s">
        <v>85</v>
      </c>
      <c r="D24" s="2" t="s">
        <v>77</v>
      </c>
      <c r="E24" s="102">
        <v>14.64</v>
      </c>
      <c r="F24" s="9">
        <v>8.1</v>
      </c>
      <c r="G24" s="14">
        <f>ROUND(E24*F24,2)</f>
        <v>118.58</v>
      </c>
      <c r="H24" s="100">
        <f>G24/$G$28</f>
        <v>2.2699819863969999E-2</v>
      </c>
      <c r="I24" s="14">
        <f>ROUND(F24*Прил.10!$D$11,2)</f>
        <v>109.11</v>
      </c>
      <c r="J24" s="14">
        <f>ROUND(I24*E24,2)</f>
        <v>1597.37</v>
      </c>
      <c r="L24" s="48"/>
    </row>
    <row r="25" spans="1:12" s="1" customFormat="1" ht="25.5" customHeight="1" outlineLevel="1" x14ac:dyDescent="0.2">
      <c r="A25" s="2">
        <v>8</v>
      </c>
      <c r="B25" s="49" t="s">
        <v>86</v>
      </c>
      <c r="C25" s="3" t="s">
        <v>87</v>
      </c>
      <c r="D25" s="2" t="s">
        <v>77</v>
      </c>
      <c r="E25" s="102">
        <v>0.11</v>
      </c>
      <c r="F25" s="9">
        <v>85.84</v>
      </c>
      <c r="G25" s="14">
        <f>ROUND(E25*F25,2)</f>
        <v>9.44</v>
      </c>
      <c r="H25" s="100">
        <f>G25/$G$28</f>
        <v>1.8071032173712E-3</v>
      </c>
      <c r="I25" s="14">
        <f>ROUND(F25*Прил.10!$D$11,2)</f>
        <v>1156.26</v>
      </c>
      <c r="J25" s="14">
        <f>ROUND(I25*E25,2)</f>
        <v>127.19</v>
      </c>
      <c r="L25" s="48"/>
    </row>
    <row r="26" spans="1:12" s="1" customFormat="1" ht="38.25" customHeight="1" outlineLevel="1" x14ac:dyDescent="0.2">
      <c r="A26" s="2">
        <v>9</v>
      </c>
      <c r="B26" s="49" t="s">
        <v>88</v>
      </c>
      <c r="C26" s="3" t="s">
        <v>89</v>
      </c>
      <c r="D26" s="2" t="s">
        <v>77</v>
      </c>
      <c r="E26" s="102">
        <v>0.26</v>
      </c>
      <c r="F26" s="9">
        <v>6.82</v>
      </c>
      <c r="G26" s="14">
        <f>ROUND(E26*F26,2)</f>
        <v>1.77</v>
      </c>
      <c r="H26" s="100">
        <f>G26/$G$28</f>
        <v>3.3883185325708998E-4</v>
      </c>
      <c r="I26" s="14">
        <f>ROUND(F26*Прил.10!$D$11,2)</f>
        <v>91.87</v>
      </c>
      <c r="J26" s="14">
        <f>ROUND(I26*E26,2)</f>
        <v>23.89</v>
      </c>
      <c r="L26" s="48"/>
    </row>
    <row r="27" spans="1:12" s="1" customFormat="1" ht="14.25" customHeight="1" x14ac:dyDescent="0.2">
      <c r="A27" s="2"/>
      <c r="B27" s="2"/>
      <c r="C27" s="3" t="s">
        <v>200</v>
      </c>
      <c r="D27" s="2"/>
      <c r="E27" s="99"/>
      <c r="F27" s="14"/>
      <c r="G27" s="14">
        <f>SUM(G23:G26)</f>
        <v>297.64999999999998</v>
      </c>
      <c r="H27" s="100">
        <f>G27/G28</f>
        <v>5.6979266170607001E-2</v>
      </c>
      <c r="I27" s="14"/>
      <c r="J27" s="14">
        <f>SUM(J23:J26)</f>
        <v>4009.52</v>
      </c>
      <c r="K27" s="48"/>
      <c r="L27" s="86"/>
    </row>
    <row r="28" spans="1:12" s="1" customFormat="1" ht="25.5" customHeight="1" x14ac:dyDescent="0.2">
      <c r="A28" s="2"/>
      <c r="B28" s="98"/>
      <c r="C28" s="104" t="s">
        <v>201</v>
      </c>
      <c r="D28" s="98"/>
      <c r="E28" s="105"/>
      <c r="F28" s="106"/>
      <c r="G28" s="106">
        <f>G22+G27</f>
        <v>5223.83</v>
      </c>
      <c r="H28" s="107">
        <v>1</v>
      </c>
      <c r="I28" s="106"/>
      <c r="J28" s="106">
        <f>J22+J27</f>
        <v>70365.289999999994</v>
      </c>
    </row>
    <row r="29" spans="1:12" x14ac:dyDescent="0.25">
      <c r="A29" s="108"/>
      <c r="B29" s="152" t="s">
        <v>202</v>
      </c>
      <c r="C29" s="152"/>
      <c r="D29" s="152"/>
      <c r="E29" s="152"/>
      <c r="F29" s="152"/>
      <c r="G29" s="152"/>
      <c r="H29" s="152"/>
      <c r="I29" s="152"/>
      <c r="J29" s="152"/>
    </row>
    <row r="30" spans="1:12" ht="15" customHeight="1" x14ac:dyDescent="0.25">
      <c r="A30" s="2"/>
      <c r="B30" s="170" t="s">
        <v>203</v>
      </c>
      <c r="C30" s="171"/>
      <c r="D30" s="171"/>
      <c r="E30" s="171"/>
      <c r="F30" s="171"/>
      <c r="G30" s="171"/>
      <c r="H30" s="171"/>
      <c r="I30" s="171"/>
      <c r="J30" s="171"/>
    </row>
    <row r="31" spans="1:12" ht="38.25" customHeight="1" x14ac:dyDescent="0.25">
      <c r="A31" s="2">
        <v>10</v>
      </c>
      <c r="B31" s="49" t="s">
        <v>204</v>
      </c>
      <c r="C31" s="3" t="s">
        <v>91</v>
      </c>
      <c r="D31" s="2" t="s">
        <v>205</v>
      </c>
      <c r="E31" s="130">
        <v>4</v>
      </c>
      <c r="F31" s="14">
        <f>ROUND(I31/Прил.10!$D$13,2)</f>
        <v>1426517.57</v>
      </c>
      <c r="G31" s="14">
        <f>ROUND(E31*F31,2)</f>
        <v>5706070.2800000003</v>
      </c>
      <c r="H31" s="100">
        <f>G31/$G$35</f>
        <v>0.96065922971366002</v>
      </c>
      <c r="I31" s="14">
        <v>8930000</v>
      </c>
      <c r="J31" s="14">
        <f>ROUND(I31*E31,2)</f>
        <v>35720000</v>
      </c>
    </row>
    <row r="32" spans="1:12" x14ac:dyDescent="0.25">
      <c r="A32" s="2"/>
      <c r="B32" s="2"/>
      <c r="C32" s="3" t="s">
        <v>206</v>
      </c>
      <c r="D32" s="2"/>
      <c r="E32" s="130"/>
      <c r="F32" s="14"/>
      <c r="G32" s="14">
        <f>SUM(G31:G31)</f>
        <v>5706070.2800000003</v>
      </c>
      <c r="H32" s="100">
        <f>G32/$G$35</f>
        <v>0.96065922971366002</v>
      </c>
      <c r="I32" s="14"/>
      <c r="J32" s="14">
        <f>SUM(J31:J31)</f>
        <v>35720000</v>
      </c>
      <c r="K32" s="48"/>
    </row>
    <row r="33" spans="1:12" outlineLevel="1" x14ac:dyDescent="0.25">
      <c r="A33" s="2">
        <v>11</v>
      </c>
      <c r="B33" s="2" t="s">
        <v>207</v>
      </c>
      <c r="C33" s="3" t="s">
        <v>93</v>
      </c>
      <c r="D33" s="2" t="s">
        <v>94</v>
      </c>
      <c r="E33" s="130">
        <v>4</v>
      </c>
      <c r="F33" s="14">
        <f>ROUND(I33/Прил.10!$D$13,2)</f>
        <v>58418.53</v>
      </c>
      <c r="G33" s="14">
        <f>ROUND(E33*F33,2)</f>
        <v>233674.12</v>
      </c>
      <c r="H33" s="100">
        <f>G33/$G$35</f>
        <v>3.9340770286344001E-2</v>
      </c>
      <c r="I33" s="14">
        <v>365700</v>
      </c>
      <c r="J33" s="14">
        <f>ROUND(I33*E33,2)</f>
        <v>1462800</v>
      </c>
      <c r="K33" s="48"/>
    </row>
    <row r="34" spans="1:12" x14ac:dyDescent="0.25">
      <c r="A34" s="2"/>
      <c r="B34" s="2"/>
      <c r="C34" s="3" t="s">
        <v>208</v>
      </c>
      <c r="D34" s="2"/>
      <c r="E34" s="99"/>
      <c r="F34" s="4"/>
      <c r="G34" s="14">
        <f>SUM(G33:G33)</f>
        <v>233674.12</v>
      </c>
      <c r="H34" s="100">
        <f>G34/$G$35</f>
        <v>3.9340770286344001E-2</v>
      </c>
      <c r="I34" s="14"/>
      <c r="J34" s="14">
        <f>SUM(J33:J33)</f>
        <v>1462800</v>
      </c>
      <c r="K34" s="48"/>
      <c r="L34" s="86"/>
    </row>
    <row r="35" spans="1:12" x14ac:dyDescent="0.25">
      <c r="A35" s="2"/>
      <c r="B35" s="2"/>
      <c r="C35" s="5" t="s">
        <v>209</v>
      </c>
      <c r="D35" s="2"/>
      <c r="E35" s="99"/>
      <c r="F35" s="4"/>
      <c r="G35" s="14">
        <f>G34+G32</f>
        <v>5939744.4000000004</v>
      </c>
      <c r="H35" s="100">
        <f>(G32+G34)/G35</f>
        <v>1</v>
      </c>
      <c r="I35" s="14"/>
      <c r="J35" s="14">
        <f>J34+J32</f>
        <v>37182800</v>
      </c>
      <c r="K35" s="48"/>
    </row>
    <row r="36" spans="1:12" ht="25.5" customHeight="1" x14ac:dyDescent="0.25">
      <c r="A36" s="2"/>
      <c r="B36" s="2"/>
      <c r="C36" s="3" t="s">
        <v>210</v>
      </c>
      <c r="D36" s="2"/>
      <c r="E36" s="99"/>
      <c r="F36" s="4"/>
      <c r="G36" s="14">
        <f>'Прил.6 Расчет ОБ'!G16</f>
        <v>5939744.4000000004</v>
      </c>
      <c r="H36" s="100">
        <f>G36/$G$35</f>
        <v>1</v>
      </c>
      <c r="I36" s="14"/>
      <c r="J36" s="14">
        <f>ROUND(G36*Прил.10!$D$13,2)</f>
        <v>37182799.939999998</v>
      </c>
      <c r="K36" s="48"/>
    </row>
    <row r="37" spans="1:12" s="1" customFormat="1" ht="14.25" customHeight="1" x14ac:dyDescent="0.2">
      <c r="A37" s="2"/>
      <c r="B37" s="163" t="s">
        <v>95</v>
      </c>
      <c r="C37" s="164"/>
      <c r="D37" s="164"/>
      <c r="E37" s="164"/>
      <c r="F37" s="164"/>
      <c r="G37" s="164"/>
      <c r="H37" s="164"/>
      <c r="I37" s="164"/>
      <c r="J37" s="165"/>
      <c r="K37" s="48"/>
    </row>
    <row r="38" spans="1:12" s="1" customFormat="1" ht="14.25" customHeight="1" x14ac:dyDescent="0.2">
      <c r="A38" s="2"/>
      <c r="B38" s="158" t="s">
        <v>211</v>
      </c>
      <c r="C38" s="158"/>
      <c r="D38" s="159"/>
      <c r="E38" s="160"/>
      <c r="F38" s="161"/>
      <c r="G38" s="161"/>
      <c r="H38" s="162"/>
      <c r="I38" s="100"/>
      <c r="J38" s="100"/>
    </row>
    <row r="39" spans="1:12" s="1" customFormat="1" ht="25.5" customHeight="1" x14ac:dyDescent="0.2">
      <c r="A39" s="2">
        <v>12</v>
      </c>
      <c r="B39" s="49" t="s">
        <v>96</v>
      </c>
      <c r="C39" s="3" t="s">
        <v>97</v>
      </c>
      <c r="D39" s="2" t="s">
        <v>98</v>
      </c>
      <c r="E39" s="9">
        <v>0.1188</v>
      </c>
      <c r="F39" s="14">
        <v>98440.41</v>
      </c>
      <c r="G39" s="14">
        <f t="shared" ref="G39:G46" si="0">ROUND(E39*F39,2)</f>
        <v>11694.72</v>
      </c>
      <c r="H39" s="100">
        <f t="shared" ref="H39:H60" si="1">G39/$G$62</f>
        <v>0.41363357589570998</v>
      </c>
      <c r="I39" s="14">
        <f>ROUND(F39*Прил.10!$D$12,2)</f>
        <v>791460.9</v>
      </c>
      <c r="J39" s="14">
        <f t="shared" ref="J39:J46" si="2">ROUND(I39*E39,2)</f>
        <v>94025.55</v>
      </c>
    </row>
    <row r="40" spans="1:12" s="1" customFormat="1" ht="25.5" customHeight="1" x14ac:dyDescent="0.2">
      <c r="A40" s="2">
        <v>13</v>
      </c>
      <c r="B40" s="49" t="s">
        <v>99</v>
      </c>
      <c r="C40" s="3" t="s">
        <v>100</v>
      </c>
      <c r="D40" s="2" t="s">
        <v>101</v>
      </c>
      <c r="E40" s="9">
        <v>9.3060000000000004E-2</v>
      </c>
      <c r="F40" s="14">
        <v>33046.39</v>
      </c>
      <c r="G40" s="14">
        <f t="shared" si="0"/>
        <v>3075.3</v>
      </c>
      <c r="H40" s="100">
        <f t="shared" si="1"/>
        <v>0.10877108096236</v>
      </c>
      <c r="I40" s="14">
        <f>ROUND(F40*Прил.10!$D$12,2)</f>
        <v>265692.98</v>
      </c>
      <c r="J40" s="14">
        <f t="shared" si="2"/>
        <v>24725.39</v>
      </c>
    </row>
    <row r="41" spans="1:12" s="1" customFormat="1" ht="25.5" customHeight="1" x14ac:dyDescent="0.2">
      <c r="A41" s="2">
        <v>14</v>
      </c>
      <c r="B41" s="49" t="s">
        <v>102</v>
      </c>
      <c r="C41" s="3" t="s">
        <v>103</v>
      </c>
      <c r="D41" s="2" t="s">
        <v>104</v>
      </c>
      <c r="E41" s="9">
        <v>1.32</v>
      </c>
      <c r="F41" s="14">
        <v>1837.28</v>
      </c>
      <c r="G41" s="14">
        <f t="shared" si="0"/>
        <v>2425.21</v>
      </c>
      <c r="H41" s="100">
        <f t="shared" si="1"/>
        <v>8.5777879641243004E-2</v>
      </c>
      <c r="I41" s="14">
        <f>ROUND(F41*Прил.10!$D$12,2)</f>
        <v>14771.73</v>
      </c>
      <c r="J41" s="14">
        <f t="shared" si="2"/>
        <v>19498.68</v>
      </c>
    </row>
    <row r="42" spans="1:12" s="1" customFormat="1" ht="25.5" customHeight="1" x14ac:dyDescent="0.2">
      <c r="A42" s="2">
        <v>15</v>
      </c>
      <c r="B42" s="49" t="s">
        <v>105</v>
      </c>
      <c r="C42" s="3" t="s">
        <v>106</v>
      </c>
      <c r="D42" s="2" t="s">
        <v>107</v>
      </c>
      <c r="E42" s="9">
        <v>0.26400000000000001</v>
      </c>
      <c r="F42" s="14">
        <v>6505</v>
      </c>
      <c r="G42" s="14">
        <f t="shared" si="0"/>
        <v>1717.32</v>
      </c>
      <c r="H42" s="100">
        <f t="shared" si="1"/>
        <v>6.0740335173241997E-2</v>
      </c>
      <c r="I42" s="14">
        <f>ROUND(F42*Прил.10!$D$12,2)</f>
        <v>52300.2</v>
      </c>
      <c r="J42" s="14">
        <f t="shared" si="2"/>
        <v>13807.25</v>
      </c>
    </row>
    <row r="43" spans="1:12" s="1" customFormat="1" ht="25.5" customHeight="1" x14ac:dyDescent="0.2">
      <c r="A43" s="2">
        <v>16</v>
      </c>
      <c r="B43" s="49" t="s">
        <v>108</v>
      </c>
      <c r="C43" s="3" t="s">
        <v>109</v>
      </c>
      <c r="D43" s="2" t="s">
        <v>110</v>
      </c>
      <c r="E43" s="9">
        <v>0.35904000000000003</v>
      </c>
      <c r="F43" s="14">
        <v>3986</v>
      </c>
      <c r="G43" s="14">
        <f t="shared" si="0"/>
        <v>1431.13</v>
      </c>
      <c r="H43" s="100">
        <f t="shared" si="1"/>
        <v>5.0618007055459997E-2</v>
      </c>
      <c r="I43" s="14">
        <f>ROUND(F43*Прил.10!$D$12,2)</f>
        <v>32047.439999999999</v>
      </c>
      <c r="J43" s="14">
        <f t="shared" si="2"/>
        <v>11506.31</v>
      </c>
    </row>
    <row r="44" spans="1:12" s="1" customFormat="1" ht="25.5" customHeight="1" x14ac:dyDescent="0.2">
      <c r="A44" s="2">
        <v>17</v>
      </c>
      <c r="B44" s="49" t="s">
        <v>111</v>
      </c>
      <c r="C44" s="3" t="s">
        <v>112</v>
      </c>
      <c r="D44" s="2" t="s">
        <v>104</v>
      </c>
      <c r="E44" s="9">
        <v>13.2</v>
      </c>
      <c r="F44" s="14">
        <v>108.4</v>
      </c>
      <c r="G44" s="14">
        <f t="shared" si="0"/>
        <v>1430.88</v>
      </c>
      <c r="H44" s="100">
        <f t="shared" si="1"/>
        <v>5.0609164740811001E-2</v>
      </c>
      <c r="I44" s="14">
        <f>ROUND(F44*Прил.10!$D$12,2)</f>
        <v>871.54</v>
      </c>
      <c r="J44" s="14">
        <f t="shared" si="2"/>
        <v>11504.33</v>
      </c>
    </row>
    <row r="45" spans="1:12" s="1" customFormat="1" ht="14.25" customHeight="1" x14ac:dyDescent="0.2">
      <c r="A45" s="2">
        <v>18</v>
      </c>
      <c r="B45" s="49" t="s">
        <v>113</v>
      </c>
      <c r="C45" s="3" t="s">
        <v>114</v>
      </c>
      <c r="D45" s="2" t="s">
        <v>115</v>
      </c>
      <c r="E45" s="9">
        <v>12.1836</v>
      </c>
      <c r="F45" s="14">
        <v>114.42</v>
      </c>
      <c r="G45" s="14">
        <f t="shared" si="0"/>
        <v>1394.05</v>
      </c>
      <c r="H45" s="100">
        <f t="shared" si="1"/>
        <v>4.9306514946695003E-2</v>
      </c>
      <c r="I45" s="14">
        <f>ROUND(F45*Прил.10!$D$12,2)</f>
        <v>919.94</v>
      </c>
      <c r="J45" s="14">
        <f t="shared" si="2"/>
        <v>11208.18</v>
      </c>
    </row>
    <row r="46" spans="1:12" s="1" customFormat="1" ht="14.25" customHeight="1" x14ac:dyDescent="0.2">
      <c r="A46" s="2">
        <v>19</v>
      </c>
      <c r="B46" s="49" t="s">
        <v>116</v>
      </c>
      <c r="C46" s="3" t="s">
        <v>117</v>
      </c>
      <c r="D46" s="2" t="s">
        <v>98</v>
      </c>
      <c r="E46" s="9">
        <v>3.5200000000000002E-2</v>
      </c>
      <c r="F46" s="14">
        <v>38348.22</v>
      </c>
      <c r="G46" s="14">
        <f t="shared" si="0"/>
        <v>1349.86</v>
      </c>
      <c r="H46" s="100">
        <f t="shared" si="1"/>
        <v>4.7743547409308001E-2</v>
      </c>
      <c r="I46" s="14">
        <f>ROUND(F46*Прил.10!$D$12,2)</f>
        <v>308319.69</v>
      </c>
      <c r="J46" s="14">
        <f t="shared" si="2"/>
        <v>10852.85</v>
      </c>
    </row>
    <row r="47" spans="1:12" s="1" customFormat="1" ht="14.25" customHeight="1" x14ac:dyDescent="0.2">
      <c r="A47" s="2"/>
      <c r="B47" s="2"/>
      <c r="C47" s="3" t="s">
        <v>212</v>
      </c>
      <c r="D47" s="2"/>
      <c r="E47" s="9"/>
      <c r="F47" s="14"/>
      <c r="G47" s="14">
        <f>SUM(G39:G46)</f>
        <v>24518.47</v>
      </c>
      <c r="H47" s="100">
        <f t="shared" si="1"/>
        <v>0.86720010582481999</v>
      </c>
      <c r="I47" s="14"/>
      <c r="J47" s="14">
        <f>SUM(J39:J46)</f>
        <v>197128.54</v>
      </c>
      <c r="K47" s="48"/>
    </row>
    <row r="48" spans="1:12" s="1" customFormat="1" ht="14.25" customHeight="1" outlineLevel="1" x14ac:dyDescent="0.2">
      <c r="A48" s="2">
        <v>20</v>
      </c>
      <c r="B48" s="49" t="s">
        <v>118</v>
      </c>
      <c r="C48" s="3" t="s">
        <v>119</v>
      </c>
      <c r="D48" s="2" t="s">
        <v>115</v>
      </c>
      <c r="E48" s="9">
        <v>103.312</v>
      </c>
      <c r="F48" s="14">
        <v>9.0399999999999991</v>
      </c>
      <c r="G48" s="14">
        <f t="shared" ref="G48:G60" si="3">ROUND(F48*E48,2)</f>
        <v>933.94</v>
      </c>
      <c r="H48" s="100">
        <f t="shared" si="1"/>
        <v>3.3032765373778999E-2</v>
      </c>
      <c r="I48" s="14">
        <f>ROUND(F48*Прил.10!$D$12,2)</f>
        <v>72.680000000000007</v>
      </c>
      <c r="J48" s="14">
        <f t="shared" ref="J48:J60" si="4">ROUND(I48*E48,2)</f>
        <v>7508.72</v>
      </c>
    </row>
    <row r="49" spans="1:12" s="1" customFormat="1" ht="14.25" customHeight="1" outlineLevel="1" x14ac:dyDescent="0.2">
      <c r="A49" s="2">
        <v>21</v>
      </c>
      <c r="B49" s="49" t="s">
        <v>120</v>
      </c>
      <c r="C49" s="3" t="s">
        <v>121</v>
      </c>
      <c r="D49" s="2" t="s">
        <v>101</v>
      </c>
      <c r="E49" s="9">
        <v>6.0499999999999998E-2</v>
      </c>
      <c r="F49" s="14">
        <v>10315.01</v>
      </c>
      <c r="G49" s="14">
        <f t="shared" si="3"/>
        <v>624.05999999999995</v>
      </c>
      <c r="H49" s="100">
        <f t="shared" si="1"/>
        <v>2.2072539519840999E-2</v>
      </c>
      <c r="I49" s="14">
        <f>ROUND(F49*Прил.10!$D$12,2)</f>
        <v>82932.679999999993</v>
      </c>
      <c r="J49" s="14">
        <f t="shared" si="4"/>
        <v>5017.43</v>
      </c>
    </row>
    <row r="50" spans="1:12" s="1" customFormat="1" ht="38.25" customHeight="1" outlineLevel="1" x14ac:dyDescent="0.2">
      <c r="A50" s="2">
        <v>22</v>
      </c>
      <c r="B50" s="49" t="s">
        <v>122</v>
      </c>
      <c r="C50" s="3" t="s">
        <v>123</v>
      </c>
      <c r="D50" s="2" t="s">
        <v>101</v>
      </c>
      <c r="E50" s="9">
        <v>9.6799999999999997E-2</v>
      </c>
      <c r="F50" s="14">
        <v>5000</v>
      </c>
      <c r="G50" s="14">
        <f t="shared" si="3"/>
        <v>484</v>
      </c>
      <c r="H50" s="100">
        <f t="shared" si="1"/>
        <v>1.7118721160790999E-2</v>
      </c>
      <c r="I50" s="14">
        <f>ROUND(F50*Прил.10!$D$12,2)</f>
        <v>40200</v>
      </c>
      <c r="J50" s="14">
        <f t="shared" si="4"/>
        <v>3891.36</v>
      </c>
    </row>
    <row r="51" spans="1:12" s="1" customFormat="1" ht="14.25" customHeight="1" outlineLevel="1" x14ac:dyDescent="0.2">
      <c r="A51" s="2">
        <v>23</v>
      </c>
      <c r="B51" s="49" t="s">
        <v>124</v>
      </c>
      <c r="C51" s="3" t="s">
        <v>125</v>
      </c>
      <c r="D51" s="2" t="s">
        <v>115</v>
      </c>
      <c r="E51" s="9">
        <v>16.72</v>
      </c>
      <c r="F51" s="14">
        <v>28.6</v>
      </c>
      <c r="G51" s="14">
        <f t="shared" si="3"/>
        <v>478.19</v>
      </c>
      <c r="H51" s="100">
        <f t="shared" si="1"/>
        <v>1.6913225768344E-2</v>
      </c>
      <c r="I51" s="14">
        <f>ROUND(F51*Прил.10!$D$12,2)</f>
        <v>229.94</v>
      </c>
      <c r="J51" s="14">
        <f t="shared" si="4"/>
        <v>3844.6</v>
      </c>
    </row>
    <row r="52" spans="1:12" s="1" customFormat="1" ht="25.5" customHeight="1" outlineLevel="1" x14ac:dyDescent="0.2">
      <c r="A52" s="2">
        <v>24</v>
      </c>
      <c r="B52" s="49" t="s">
        <v>126</v>
      </c>
      <c r="C52" s="3" t="s">
        <v>127</v>
      </c>
      <c r="D52" s="2" t="s">
        <v>115</v>
      </c>
      <c r="E52" s="9">
        <v>43.12</v>
      </c>
      <c r="F52" s="14">
        <v>10.57</v>
      </c>
      <c r="G52" s="14">
        <f t="shared" si="3"/>
        <v>455.78</v>
      </c>
      <c r="H52" s="100">
        <f t="shared" si="1"/>
        <v>1.6120600683193001E-2</v>
      </c>
      <c r="I52" s="14">
        <f>ROUND(F52*Прил.10!$D$12,2)</f>
        <v>84.98</v>
      </c>
      <c r="J52" s="14">
        <f t="shared" si="4"/>
        <v>3664.34</v>
      </c>
    </row>
    <row r="53" spans="1:12" s="1" customFormat="1" ht="25.5" customHeight="1" outlineLevel="1" x14ac:dyDescent="0.2">
      <c r="A53" s="2">
        <v>25</v>
      </c>
      <c r="B53" s="49" t="s">
        <v>128</v>
      </c>
      <c r="C53" s="3" t="s">
        <v>129</v>
      </c>
      <c r="D53" s="2" t="s">
        <v>101</v>
      </c>
      <c r="E53" s="9">
        <v>1.7600000000000001E-2</v>
      </c>
      <c r="F53" s="14">
        <v>17500</v>
      </c>
      <c r="G53" s="14">
        <f t="shared" si="3"/>
        <v>308</v>
      </c>
      <c r="H53" s="100">
        <f t="shared" si="1"/>
        <v>1.0893731647776E-2</v>
      </c>
      <c r="I53" s="14">
        <f>ROUND(F53*Прил.10!$D$12,2)</f>
        <v>140700</v>
      </c>
      <c r="J53" s="14">
        <f t="shared" si="4"/>
        <v>2476.3200000000002</v>
      </c>
    </row>
    <row r="54" spans="1:12" s="1" customFormat="1" ht="25.5" customHeight="1" outlineLevel="1" x14ac:dyDescent="0.2">
      <c r="A54" s="2">
        <v>26</v>
      </c>
      <c r="B54" s="49" t="s">
        <v>130</v>
      </c>
      <c r="C54" s="3" t="s">
        <v>131</v>
      </c>
      <c r="D54" s="2" t="s">
        <v>115</v>
      </c>
      <c r="E54" s="9">
        <v>2.9678</v>
      </c>
      <c r="F54" s="14">
        <v>54.99</v>
      </c>
      <c r="G54" s="14">
        <f t="shared" si="3"/>
        <v>163.19999999999999</v>
      </c>
      <c r="H54" s="100">
        <f t="shared" si="1"/>
        <v>5.7722630029774001E-3</v>
      </c>
      <c r="I54" s="14">
        <f>ROUND(F54*Прил.10!$D$12,2)</f>
        <v>442.12</v>
      </c>
      <c r="J54" s="14">
        <f t="shared" si="4"/>
        <v>1312.12</v>
      </c>
    </row>
    <row r="55" spans="1:12" s="1" customFormat="1" ht="25.5" customHeight="1" outlineLevel="1" x14ac:dyDescent="0.2">
      <c r="A55" s="2">
        <v>27</v>
      </c>
      <c r="B55" s="49" t="s">
        <v>132</v>
      </c>
      <c r="C55" s="3" t="s">
        <v>133</v>
      </c>
      <c r="D55" s="2" t="s">
        <v>134</v>
      </c>
      <c r="E55" s="9">
        <v>118.712</v>
      </c>
      <c r="F55" s="14">
        <v>1</v>
      </c>
      <c r="G55" s="14">
        <f t="shared" si="3"/>
        <v>118.71</v>
      </c>
      <c r="H55" s="100">
        <f t="shared" si="1"/>
        <v>4.1986846880113001E-3</v>
      </c>
      <c r="I55" s="14">
        <f>ROUND(F55*Прил.10!$D$12,2)</f>
        <v>8.0399999999999991</v>
      </c>
      <c r="J55" s="14">
        <f t="shared" si="4"/>
        <v>954.44</v>
      </c>
    </row>
    <row r="56" spans="1:12" s="1" customFormat="1" ht="14.25" customHeight="1" outlineLevel="1" x14ac:dyDescent="0.2">
      <c r="A56" s="2">
        <v>28</v>
      </c>
      <c r="B56" s="49" t="s">
        <v>135</v>
      </c>
      <c r="C56" s="3" t="s">
        <v>136</v>
      </c>
      <c r="D56" s="2" t="s">
        <v>137</v>
      </c>
      <c r="E56" s="9">
        <v>1.232</v>
      </c>
      <c r="F56" s="14">
        <v>79.099999999999994</v>
      </c>
      <c r="G56" s="14">
        <f t="shared" si="3"/>
        <v>97.45</v>
      </c>
      <c r="H56" s="100">
        <f t="shared" si="1"/>
        <v>3.446734250246E-3</v>
      </c>
      <c r="I56" s="14">
        <f>ROUND(F56*Прил.10!$D$12,2)</f>
        <v>635.96</v>
      </c>
      <c r="J56" s="14">
        <f t="shared" si="4"/>
        <v>783.5</v>
      </c>
    </row>
    <row r="57" spans="1:12" s="1" customFormat="1" ht="14.25" customHeight="1" outlineLevel="1" x14ac:dyDescent="0.2">
      <c r="A57" s="2">
        <v>29</v>
      </c>
      <c r="B57" s="49" t="s">
        <v>138</v>
      </c>
      <c r="C57" s="3" t="s">
        <v>139</v>
      </c>
      <c r="D57" s="2" t="s">
        <v>140</v>
      </c>
      <c r="E57" s="9">
        <v>1.76</v>
      </c>
      <c r="F57" s="14">
        <v>39</v>
      </c>
      <c r="G57" s="14">
        <f t="shared" si="3"/>
        <v>68.64</v>
      </c>
      <c r="H57" s="100">
        <f t="shared" si="1"/>
        <v>2.4277459100758001E-3</v>
      </c>
      <c r="I57" s="14">
        <f>ROUND(F57*Прил.10!$D$12,2)</f>
        <v>313.56</v>
      </c>
      <c r="J57" s="14">
        <f t="shared" si="4"/>
        <v>551.87</v>
      </c>
    </row>
    <row r="58" spans="1:12" s="1" customFormat="1" ht="14.25" customHeight="1" outlineLevel="1" x14ac:dyDescent="0.2">
      <c r="A58" s="2">
        <v>30</v>
      </c>
      <c r="B58" s="49" t="s">
        <v>141</v>
      </c>
      <c r="C58" s="3" t="s">
        <v>142</v>
      </c>
      <c r="D58" s="2" t="s">
        <v>115</v>
      </c>
      <c r="E58" s="9">
        <v>0.28160000000000002</v>
      </c>
      <c r="F58" s="14">
        <v>41.7</v>
      </c>
      <c r="G58" s="14">
        <f t="shared" si="3"/>
        <v>11.74</v>
      </c>
      <c r="H58" s="100">
        <f t="shared" si="1"/>
        <v>4.1523509592497003E-4</v>
      </c>
      <c r="I58" s="14">
        <f>ROUND(F58*Прил.10!$D$12,2)</f>
        <v>335.27</v>
      </c>
      <c r="J58" s="14">
        <f t="shared" si="4"/>
        <v>94.41</v>
      </c>
    </row>
    <row r="59" spans="1:12" s="1" customFormat="1" ht="14.25" customHeight="1" outlineLevel="1" x14ac:dyDescent="0.2">
      <c r="A59" s="2">
        <v>31</v>
      </c>
      <c r="B59" s="49" t="s">
        <v>143</v>
      </c>
      <c r="C59" s="3" t="s">
        <v>144</v>
      </c>
      <c r="D59" s="2" t="s">
        <v>145</v>
      </c>
      <c r="E59" s="9">
        <v>0.8448</v>
      </c>
      <c r="F59" s="14">
        <v>6.9</v>
      </c>
      <c r="G59" s="14">
        <f t="shared" si="3"/>
        <v>5.83</v>
      </c>
      <c r="H59" s="100">
        <f t="shared" si="1"/>
        <v>2.0620277761862E-4</v>
      </c>
      <c r="I59" s="14">
        <f>ROUND(F59*Прил.10!$D$12,2)</f>
        <v>55.48</v>
      </c>
      <c r="J59" s="14">
        <f t="shared" si="4"/>
        <v>46.87</v>
      </c>
    </row>
    <row r="60" spans="1:12" s="1" customFormat="1" ht="14.25" customHeight="1" outlineLevel="1" x14ac:dyDescent="0.2">
      <c r="A60" s="2">
        <v>32</v>
      </c>
      <c r="B60" s="49" t="s">
        <v>146</v>
      </c>
      <c r="C60" s="3" t="s">
        <v>147</v>
      </c>
      <c r="D60" s="2" t="s">
        <v>101</v>
      </c>
      <c r="E60" s="9">
        <v>6.7166000000000003E-4</v>
      </c>
      <c r="F60" s="14">
        <v>7640</v>
      </c>
      <c r="G60" s="14">
        <f t="shared" si="3"/>
        <v>5.13</v>
      </c>
      <c r="H60" s="100">
        <f t="shared" si="1"/>
        <v>1.8144429660094E-4</v>
      </c>
      <c r="I60" s="14">
        <f>ROUND(F60*Прил.10!$D$12,2)</f>
        <v>61425.599999999999</v>
      </c>
      <c r="J60" s="14">
        <f t="shared" si="4"/>
        <v>41.26</v>
      </c>
    </row>
    <row r="61" spans="1:12" s="1" customFormat="1" ht="14.25" customHeight="1" x14ac:dyDescent="0.2">
      <c r="A61" s="2"/>
      <c r="B61" s="2"/>
      <c r="C61" s="3" t="s">
        <v>213</v>
      </c>
      <c r="D61" s="2"/>
      <c r="E61" s="99"/>
      <c r="F61" s="4"/>
      <c r="G61" s="14">
        <f>SUM(G48:G60)</f>
        <v>3754.67</v>
      </c>
      <c r="H61" s="100">
        <f>G61/G62</f>
        <v>0.13279989417518001</v>
      </c>
      <c r="I61" s="14"/>
      <c r="J61" s="14">
        <f>SUM(J48:J60)</f>
        <v>30187.24</v>
      </c>
      <c r="L61" s="86"/>
    </row>
    <row r="62" spans="1:12" s="1" customFormat="1" ht="14.25" customHeight="1" x14ac:dyDescent="0.2">
      <c r="A62" s="2"/>
      <c r="B62" s="2"/>
      <c r="C62" s="5" t="s">
        <v>214</v>
      </c>
      <c r="D62" s="2"/>
      <c r="E62" s="99"/>
      <c r="F62" s="4"/>
      <c r="G62" s="14">
        <f>G47+G61</f>
        <v>28273.14</v>
      </c>
      <c r="H62" s="100">
        <v>1</v>
      </c>
      <c r="I62" s="4"/>
      <c r="J62" s="14">
        <f>J47+J61</f>
        <v>227315.78</v>
      </c>
      <c r="K62" s="48"/>
    </row>
    <row r="63" spans="1:12" s="1" customFormat="1" ht="14.25" customHeight="1" x14ac:dyDescent="0.2">
      <c r="A63" s="2"/>
      <c r="B63" s="2"/>
      <c r="C63" s="3" t="s">
        <v>215</v>
      </c>
      <c r="D63" s="2"/>
      <c r="E63" s="99"/>
      <c r="F63" s="4"/>
      <c r="G63" s="14">
        <f>G14+G28+G62</f>
        <v>36719.39</v>
      </c>
      <c r="H63" s="100"/>
      <c r="I63" s="4"/>
      <c r="J63" s="14">
        <f>J14+J28+J62</f>
        <v>446541.7</v>
      </c>
    </row>
    <row r="64" spans="1:12" s="1" customFormat="1" ht="14.25" customHeight="1" x14ac:dyDescent="0.2">
      <c r="A64" s="2"/>
      <c r="B64" s="2"/>
      <c r="C64" s="3" t="s">
        <v>216</v>
      </c>
      <c r="D64" s="2" t="s">
        <v>217</v>
      </c>
      <c r="E64" s="109">
        <v>0.97</v>
      </c>
      <c r="F64" s="4"/>
      <c r="G64" s="14">
        <f>ROUND(E64*(G14+G16),2)</f>
        <v>3881</v>
      </c>
      <c r="H64" s="100"/>
      <c r="I64" s="4"/>
      <c r="J64" s="14">
        <f>ROUND(E64*(J14+J16),2)</f>
        <v>177844.78</v>
      </c>
      <c r="K64" s="50"/>
    </row>
    <row r="65" spans="1:14" s="1" customFormat="1" ht="14.25" customHeight="1" x14ac:dyDescent="0.2">
      <c r="A65" s="2"/>
      <c r="B65" s="2"/>
      <c r="C65" s="3" t="s">
        <v>218</v>
      </c>
      <c r="D65" s="2" t="s">
        <v>217</v>
      </c>
      <c r="E65" s="109">
        <v>0.54</v>
      </c>
      <c r="F65" s="4"/>
      <c r="G65" s="14">
        <f>ROUND(E65*(G14+G16),2)</f>
        <v>2160.56</v>
      </c>
      <c r="H65" s="100"/>
      <c r="I65" s="4"/>
      <c r="J65" s="14">
        <f>ROUND(E65*(J14+J16),2)</f>
        <v>99006.37</v>
      </c>
      <c r="K65" s="50"/>
    </row>
    <row r="66" spans="1:14" s="1" customFormat="1" ht="14.25" customHeight="1" x14ac:dyDescent="0.2">
      <c r="A66" s="2"/>
      <c r="B66" s="2"/>
      <c r="C66" s="3" t="s">
        <v>219</v>
      </c>
      <c r="D66" s="2"/>
      <c r="E66" s="99"/>
      <c r="F66" s="4"/>
      <c r="G66" s="14">
        <f>G14+G28+G62+G64+G65</f>
        <v>42760.95</v>
      </c>
      <c r="H66" s="100"/>
      <c r="I66" s="4"/>
      <c r="J66" s="14">
        <f>J14+J28+J62+J64+J65</f>
        <v>723392.85</v>
      </c>
      <c r="L66" s="51"/>
    </row>
    <row r="67" spans="1:14" s="1" customFormat="1" ht="14.25" customHeight="1" x14ac:dyDescent="0.2">
      <c r="A67" s="2"/>
      <c r="B67" s="2"/>
      <c r="C67" s="3" t="s">
        <v>220</v>
      </c>
      <c r="D67" s="2"/>
      <c r="E67" s="99"/>
      <c r="F67" s="4"/>
      <c r="G67" s="14">
        <f>G66+G35</f>
        <v>5982505.3499999996</v>
      </c>
      <c r="H67" s="100"/>
      <c r="I67" s="4"/>
      <c r="J67" s="14">
        <f>J66+J35</f>
        <v>37906192.850000001</v>
      </c>
      <c r="L67" s="50"/>
    </row>
    <row r="68" spans="1:14" s="1" customFormat="1" ht="14.25" customHeight="1" x14ac:dyDescent="0.2">
      <c r="A68" s="2"/>
      <c r="B68" s="2"/>
      <c r="C68" s="3" t="s">
        <v>184</v>
      </c>
      <c r="D68" s="2" t="s">
        <v>221</v>
      </c>
      <c r="E68" s="92">
        <f>'Прил.1 Сравнит табл'!D14</f>
        <v>4</v>
      </c>
      <c r="F68" s="4"/>
      <c r="G68" s="14">
        <f>G67/E68</f>
        <v>1495626.3374999999</v>
      </c>
      <c r="H68" s="100"/>
      <c r="I68" s="4"/>
      <c r="J68" s="14">
        <f>J67/E68</f>
        <v>9476548.2125000004</v>
      </c>
      <c r="L68" s="86"/>
    </row>
    <row r="70" spans="1:14" s="1" customFormat="1" ht="14.25" customHeight="1" x14ac:dyDescent="0.2">
      <c r="A70" s="10"/>
    </row>
    <row r="71" spans="1:14" x14ac:dyDescent="0.25">
      <c r="A71"/>
      <c r="B71" s="123" t="s">
        <v>316</v>
      </c>
      <c r="C71" s="128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 s="120" t="s">
        <v>33</v>
      </c>
      <c r="C72" s="128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 s="123"/>
      <c r="C73" s="128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 s="123" t="s">
        <v>317</v>
      </c>
      <c r="C74" s="128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 s="120" t="s">
        <v>34</v>
      </c>
      <c r="C75" s="128"/>
      <c r="D75"/>
      <c r="E75"/>
      <c r="F75"/>
      <c r="G75"/>
      <c r="H75"/>
      <c r="I75"/>
      <c r="J75"/>
      <c r="K75"/>
      <c r="L75"/>
      <c r="M75"/>
      <c r="N75"/>
    </row>
  </sheetData>
  <sheetProtection formatCells="0" formatColumns="0" formatRows="0" insertColumns="0" insertRows="0" insertHyperlinks="0" deleteColumns="0" deleteRows="0" sort="0" autoFilter="0" pivotTables="0"/>
  <mergeCells count="18">
    <mergeCell ref="A4:H4"/>
    <mergeCell ref="A9:A10"/>
    <mergeCell ref="B9:B10"/>
    <mergeCell ref="C9:C10"/>
    <mergeCell ref="D9:D10"/>
    <mergeCell ref="E9:E10"/>
    <mergeCell ref="F9:G9"/>
    <mergeCell ref="H9:H10"/>
    <mergeCell ref="B38:H38"/>
    <mergeCell ref="B29:J29"/>
    <mergeCell ref="B37:J37"/>
    <mergeCell ref="I9:J9"/>
    <mergeCell ref="D6:J6"/>
    <mergeCell ref="B17:H17"/>
    <mergeCell ref="B18:H18"/>
    <mergeCell ref="B30:J30"/>
    <mergeCell ref="B12:H12"/>
    <mergeCell ref="B15:H1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workbookViewId="0">
      <selection activeCell="G22" sqref="G22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8" t="s">
        <v>222</v>
      </c>
      <c r="B1" s="178"/>
      <c r="C1" s="178"/>
      <c r="D1" s="178"/>
      <c r="E1" s="178"/>
      <c r="F1" s="178"/>
      <c r="G1" s="178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7" t="s">
        <v>223</v>
      </c>
      <c r="B5" s="157"/>
      <c r="C5" s="157"/>
      <c r="D5" s="157"/>
      <c r="E5" s="157"/>
      <c r="F5" s="157"/>
      <c r="G5" s="157"/>
    </row>
    <row r="6" spans="1:7" ht="30.75" customHeight="1" x14ac:dyDescent="0.25">
      <c r="A6" s="146" t="s">
        <v>3</v>
      </c>
      <c r="B6" s="146"/>
      <c r="C6" s="146"/>
      <c r="D6" s="146"/>
      <c r="E6" s="146"/>
      <c r="F6" s="146"/>
      <c r="G6" s="146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9" t="s">
        <v>189</v>
      </c>
      <c r="B8" s="159" t="s">
        <v>55</v>
      </c>
      <c r="C8" s="159" t="s">
        <v>150</v>
      </c>
      <c r="D8" s="159" t="s">
        <v>57</v>
      </c>
      <c r="E8" s="172" t="s">
        <v>190</v>
      </c>
      <c r="F8" s="179" t="s">
        <v>59</v>
      </c>
      <c r="G8" s="179"/>
    </row>
    <row r="9" spans="1:7" x14ac:dyDescent="0.25">
      <c r="A9" s="159"/>
      <c r="B9" s="159"/>
      <c r="C9" s="159"/>
      <c r="D9" s="159"/>
      <c r="E9" s="173"/>
      <c r="F9" s="2" t="s">
        <v>193</v>
      </c>
      <c r="G9" s="2" t="s">
        <v>61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4" t="s">
        <v>224</v>
      </c>
      <c r="C11" s="175"/>
      <c r="D11" s="175"/>
      <c r="E11" s="175"/>
      <c r="F11" s="175"/>
      <c r="G11" s="176"/>
    </row>
    <row r="12" spans="1:7" ht="27" customHeight="1" x14ac:dyDescent="0.25">
      <c r="A12" s="2"/>
      <c r="B12" s="5"/>
      <c r="C12" s="3" t="s">
        <v>225</v>
      </c>
      <c r="D12" s="5"/>
      <c r="E12" s="8"/>
      <c r="F12" s="4"/>
      <c r="G12" s="4">
        <v>0</v>
      </c>
    </row>
    <row r="13" spans="1:7" x14ac:dyDescent="0.25">
      <c r="A13" s="2"/>
      <c r="B13" s="158" t="s">
        <v>226</v>
      </c>
      <c r="C13" s="158"/>
      <c r="D13" s="158"/>
      <c r="E13" s="177"/>
      <c r="F13" s="161"/>
      <c r="G13" s="161"/>
    </row>
    <row r="14" spans="1:7" ht="38.25" customHeight="1" x14ac:dyDescent="0.25">
      <c r="A14" s="2">
        <v>1</v>
      </c>
      <c r="B14" s="92" t="str">
        <f>'Прил.5 Расчет СМР и ОБ'!B31</f>
        <v>БЦ.61.1213</v>
      </c>
      <c r="C14" s="93" t="str">
        <f>'Прил.5 Расчет СМР и ОБ'!C31</f>
        <v>Разъединитель трёхполюсный с двумя заземляющими ножами горизонтально-поворотного типа 220 кВ, 3150 А, 63 кА</v>
      </c>
      <c r="D14" s="92" t="str">
        <f>'Прил.5 Расчет СМР и ОБ'!D31</f>
        <v>компл</v>
      </c>
      <c r="E14" s="130">
        <f>'Прил.5 Расчет СМР и ОБ'!E31</f>
        <v>4</v>
      </c>
      <c r="F14" s="94">
        <f>'Прил.5 Расчет СМР и ОБ'!F31</f>
        <v>1426517.57</v>
      </c>
      <c r="G14" s="94">
        <f>ROUND(E14*F14,2)</f>
        <v>5706070.2800000003</v>
      </c>
    </row>
    <row r="15" spans="1:7" ht="25.5" customHeight="1" x14ac:dyDescent="0.25">
      <c r="A15" s="2">
        <v>2</v>
      </c>
      <c r="B15" s="92" t="str">
        <f>'Прил.5 Расчет СМР и ОБ'!B33</f>
        <v>БЦ.30.1.159</v>
      </c>
      <c r="C15" s="93" t="str">
        <f>'Прил.5 Расчет СМР и ОБ'!C33</f>
        <v>Шкаф управления разъединителями</v>
      </c>
      <c r="D15" s="92" t="str">
        <f>'Прил.5 Расчет СМР и ОБ'!D33</f>
        <v>шт.</v>
      </c>
      <c r="E15" s="130">
        <f>'Прил.5 Расчет СМР и ОБ'!E33</f>
        <v>4</v>
      </c>
      <c r="F15" s="94">
        <f>'Прил.5 Расчет СМР и ОБ'!F33</f>
        <v>58418.53</v>
      </c>
      <c r="G15" s="94">
        <f>ROUND(E15*F15,2)</f>
        <v>233674.12</v>
      </c>
    </row>
    <row r="16" spans="1:7" ht="25.5" customHeight="1" x14ac:dyDescent="0.25">
      <c r="A16" s="2"/>
      <c r="B16" s="12"/>
      <c r="C16" s="12" t="s">
        <v>227</v>
      </c>
      <c r="D16" s="12"/>
      <c r="E16" s="13"/>
      <c r="F16" s="129"/>
      <c r="G16" s="94">
        <f>SUM(G14:G15)</f>
        <v>5939744.4000000004</v>
      </c>
    </row>
    <row r="17" spans="1:7" ht="19.5" customHeight="1" x14ac:dyDescent="0.25">
      <c r="A17" s="2"/>
      <c r="B17" s="3"/>
      <c r="C17" s="3" t="s">
        <v>228</v>
      </c>
      <c r="D17" s="3"/>
      <c r="E17" s="9"/>
      <c r="F17" s="129"/>
      <c r="G17" s="94">
        <f>G12+G16</f>
        <v>5939744.4000000004</v>
      </c>
    </row>
    <row r="18" spans="1:7" x14ac:dyDescent="0.25">
      <c r="A18" s="10"/>
      <c r="B18" s="11"/>
      <c r="C18" s="10"/>
      <c r="D18" s="10"/>
      <c r="E18" s="10"/>
      <c r="F18" s="10"/>
      <c r="G18" s="10"/>
    </row>
    <row r="19" spans="1:7" x14ac:dyDescent="0.25">
      <c r="B19" s="123" t="s">
        <v>316</v>
      </c>
      <c r="C19" s="128"/>
    </row>
    <row r="20" spans="1:7" x14ac:dyDescent="0.25">
      <c r="B20" s="120" t="s">
        <v>33</v>
      </c>
      <c r="C20" s="128"/>
    </row>
    <row r="21" spans="1:7" x14ac:dyDescent="0.25">
      <c r="B21" s="123"/>
      <c r="C21" s="128"/>
    </row>
    <row r="22" spans="1:7" x14ac:dyDescent="0.25">
      <c r="B22" s="123" t="s">
        <v>317</v>
      </c>
      <c r="C22" s="128"/>
    </row>
    <row r="23" spans="1:7" x14ac:dyDescent="0.25">
      <c r="B23" s="120" t="s">
        <v>34</v>
      </c>
      <c r="C23" s="128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G22" sqref="G2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16"/>
      <c r="C1" s="116"/>
      <c r="D1" s="117" t="s">
        <v>229</v>
      </c>
    </row>
    <row r="2" spans="1:5" x14ac:dyDescent="0.25">
      <c r="A2" s="117"/>
      <c r="B2" s="117"/>
      <c r="C2" s="117"/>
      <c r="D2" s="117"/>
    </row>
    <row r="3" spans="1:5" ht="24.75" customHeight="1" x14ac:dyDescent="0.25">
      <c r="A3" s="157" t="s">
        <v>230</v>
      </c>
      <c r="B3" s="157"/>
      <c r="C3" s="157"/>
      <c r="D3" s="157"/>
    </row>
    <row r="4" spans="1:5" ht="24.75" customHeight="1" x14ac:dyDescent="0.25">
      <c r="A4" s="118"/>
      <c r="B4" s="118"/>
      <c r="C4" s="118"/>
      <c r="D4" s="118"/>
    </row>
    <row r="5" spans="1:5" ht="51.75" customHeight="1" x14ac:dyDescent="0.25">
      <c r="A5" s="180" t="s">
        <v>231</v>
      </c>
      <c r="B5" s="180"/>
      <c r="C5" s="180"/>
      <c r="D5" s="122" t="str">
        <f>'Прил.5 Расчет СМР и ОБ'!D6:J6</f>
        <v>Разъединитель на три полюса без устройства фундамента напряжение 220(150) кВ</v>
      </c>
    </row>
    <row r="6" spans="1:5" ht="19.899999999999999" customHeight="1" x14ac:dyDescent="0.25">
      <c r="A6" s="180" t="s">
        <v>232</v>
      </c>
      <c r="B6" s="180"/>
      <c r="C6" s="180"/>
      <c r="D6" s="122"/>
    </row>
    <row r="7" spans="1:5" x14ac:dyDescent="0.25">
      <c r="A7" s="123"/>
      <c r="B7" s="123"/>
      <c r="C7" s="123"/>
      <c r="D7" s="123"/>
    </row>
    <row r="8" spans="1:5" ht="14.45" customHeight="1" x14ac:dyDescent="0.25">
      <c r="A8" s="150" t="s">
        <v>233</v>
      </c>
      <c r="B8" s="150" t="s">
        <v>234</v>
      </c>
      <c r="C8" s="150" t="s">
        <v>235</v>
      </c>
      <c r="D8" s="150" t="s">
        <v>236</v>
      </c>
    </row>
    <row r="9" spans="1:5" ht="15" customHeight="1" x14ac:dyDescent="0.25">
      <c r="A9" s="150"/>
      <c r="B9" s="150"/>
      <c r="C9" s="150"/>
      <c r="D9" s="150"/>
    </row>
    <row r="10" spans="1:5" x14ac:dyDescent="0.25">
      <c r="A10" s="124">
        <v>1</v>
      </c>
      <c r="B10" s="124">
        <v>2</v>
      </c>
      <c r="C10" s="124">
        <v>3</v>
      </c>
      <c r="D10" s="124">
        <v>4</v>
      </c>
    </row>
    <row r="11" spans="1:5" ht="41.45" customHeight="1" x14ac:dyDescent="0.25">
      <c r="A11" s="124" t="s">
        <v>237</v>
      </c>
      <c r="B11" s="124" t="s">
        <v>238</v>
      </c>
      <c r="C11" s="134" t="str">
        <f>D5</f>
        <v>Разъединитель на три полюса без устройства фундамента напряжение 220(150) кВ</v>
      </c>
      <c r="D11" s="125">
        <f>'Прил.4 РМ'!C41/1000</f>
        <v>10086.23227</v>
      </c>
      <c r="E11" s="119"/>
    </row>
    <row r="12" spans="1:5" x14ac:dyDescent="0.25">
      <c r="A12" s="126"/>
      <c r="B12" s="127"/>
      <c r="C12" s="126"/>
      <c r="D12" s="126"/>
    </row>
    <row r="13" spans="1:5" x14ac:dyDescent="0.25">
      <c r="B13" s="123" t="s">
        <v>316</v>
      </c>
      <c r="C13" s="128"/>
    </row>
    <row r="14" spans="1:5" x14ac:dyDescent="0.25">
      <c r="B14" s="120" t="s">
        <v>33</v>
      </c>
      <c r="C14" s="128"/>
    </row>
    <row r="15" spans="1:5" x14ac:dyDescent="0.25">
      <c r="B15" s="123"/>
      <c r="C15" s="128"/>
    </row>
    <row r="16" spans="1:5" x14ac:dyDescent="0.25">
      <c r="B16" s="123" t="s">
        <v>317</v>
      </c>
      <c r="C16" s="128"/>
    </row>
    <row r="17" spans="2:3" x14ac:dyDescent="0.25">
      <c r="B17" s="120" t="s">
        <v>34</v>
      </c>
      <c r="C17" s="12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tabSelected="1" view="pageBreakPreview" topLeftCell="A16" zoomScale="60" zoomScaleNormal="100" workbookViewId="0">
      <selection activeCell="G22" sqref="G22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3" t="s">
        <v>239</v>
      </c>
      <c r="C4" s="143"/>
      <c r="D4" s="143"/>
    </row>
    <row r="5" spans="2:4" ht="18.75" customHeight="1" x14ac:dyDescent="0.25">
      <c r="B5" s="35"/>
    </row>
    <row r="6" spans="2:4" ht="15.75" customHeight="1" x14ac:dyDescent="0.25">
      <c r="B6" s="147" t="s">
        <v>240</v>
      </c>
      <c r="C6" s="147"/>
      <c r="D6" s="147"/>
    </row>
    <row r="7" spans="2:4" ht="18.75" customHeight="1" x14ac:dyDescent="0.25">
      <c r="B7" s="36"/>
    </row>
    <row r="8" spans="2:4" ht="47.25" customHeight="1" x14ac:dyDescent="0.25">
      <c r="B8" s="37" t="s">
        <v>241</v>
      </c>
      <c r="C8" s="37" t="s">
        <v>242</v>
      </c>
      <c r="D8" s="37" t="s">
        <v>243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31.5" customHeight="1" x14ac:dyDescent="0.25">
      <c r="B10" s="37" t="s">
        <v>244</v>
      </c>
      <c r="C10" s="37" t="s">
        <v>245</v>
      </c>
      <c r="D10" s="37">
        <v>44.29</v>
      </c>
    </row>
    <row r="11" spans="2:4" ht="31.5" customHeight="1" x14ac:dyDescent="0.25">
      <c r="B11" s="37" t="s">
        <v>246</v>
      </c>
      <c r="C11" s="37" t="s">
        <v>245</v>
      </c>
      <c r="D11" s="37">
        <v>13.47</v>
      </c>
    </row>
    <row r="12" spans="2:4" ht="31.5" customHeight="1" x14ac:dyDescent="0.25">
      <c r="B12" s="37" t="s">
        <v>247</v>
      </c>
      <c r="C12" s="37" t="s">
        <v>245</v>
      </c>
      <c r="D12" s="37">
        <v>8.0399999999999991</v>
      </c>
    </row>
    <row r="13" spans="2:4" ht="31.5" customHeight="1" x14ac:dyDescent="0.25">
      <c r="B13" s="37" t="s">
        <v>248</v>
      </c>
      <c r="C13" s="110" t="s">
        <v>249</v>
      </c>
      <c r="D13" s="37">
        <v>6.26</v>
      </c>
    </row>
    <row r="14" spans="2:4" ht="89.25" customHeight="1" x14ac:dyDescent="0.25">
      <c r="B14" s="37" t="s">
        <v>250</v>
      </c>
      <c r="C14" s="37" t="s">
        <v>251</v>
      </c>
      <c r="D14" s="41">
        <v>3.9E-2</v>
      </c>
    </row>
    <row r="15" spans="2:4" ht="78.75" customHeight="1" x14ac:dyDescent="0.25">
      <c r="B15" s="37" t="s">
        <v>252</v>
      </c>
      <c r="C15" s="37" t="s">
        <v>253</v>
      </c>
      <c r="D15" s="41">
        <v>2.1000000000000001E-2</v>
      </c>
    </row>
    <row r="16" spans="2:4" ht="15.75" customHeight="1" x14ac:dyDescent="0.25">
      <c r="B16" s="37" t="s">
        <v>174</v>
      </c>
      <c r="C16" s="37"/>
      <c r="D16" s="37" t="s">
        <v>254</v>
      </c>
    </row>
    <row r="17" spans="2:4" ht="31.5" customHeight="1" x14ac:dyDescent="0.25">
      <c r="B17" s="37" t="s">
        <v>255</v>
      </c>
      <c r="C17" s="37" t="s">
        <v>256</v>
      </c>
      <c r="D17" s="41">
        <v>2.1399999999999999E-2</v>
      </c>
    </row>
    <row r="18" spans="2:4" ht="31.5" customHeight="1" x14ac:dyDescent="0.25">
      <c r="B18" s="37" t="s">
        <v>180</v>
      </c>
      <c r="C18" s="37" t="s">
        <v>257</v>
      </c>
      <c r="D18" s="41">
        <v>2E-3</v>
      </c>
    </row>
    <row r="19" spans="2:4" ht="24" customHeight="1" x14ac:dyDescent="0.25">
      <c r="B19" s="37" t="s">
        <v>182</v>
      </c>
      <c r="C19" s="37" t="s">
        <v>258</v>
      </c>
      <c r="D19" s="41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123" t="s">
        <v>316</v>
      </c>
      <c r="C26" s="128"/>
    </row>
    <row r="27" spans="2:4" x14ac:dyDescent="0.25">
      <c r="B27" s="120" t="s">
        <v>33</v>
      </c>
      <c r="C27" s="128"/>
    </row>
    <row r="28" spans="2:4" x14ac:dyDescent="0.25">
      <c r="B28" s="123"/>
      <c r="C28" s="128"/>
    </row>
    <row r="29" spans="2:4" x14ac:dyDescent="0.25">
      <c r="B29" s="123" t="s">
        <v>317</v>
      </c>
      <c r="C29" s="128"/>
    </row>
    <row r="30" spans="2:4" x14ac:dyDescent="0.25">
      <c r="B30" s="120" t="s">
        <v>34</v>
      </c>
      <c r="C30" s="128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22" sqref="G2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259</v>
      </c>
      <c r="B2" s="181"/>
      <c r="C2" s="181"/>
      <c r="D2" s="181"/>
      <c r="E2" s="181"/>
      <c r="F2" s="181"/>
    </row>
    <row r="4" spans="1:7" ht="18" customHeight="1" x14ac:dyDescent="0.25">
      <c r="A4" s="20" t="s">
        <v>260</v>
      </c>
    </row>
    <row r="5" spans="1:7" x14ac:dyDescent="0.25">
      <c r="A5" s="21" t="s">
        <v>189</v>
      </c>
      <c r="B5" s="21" t="s">
        <v>261</v>
      </c>
      <c r="C5" s="21" t="s">
        <v>262</v>
      </c>
      <c r="D5" s="21" t="s">
        <v>263</v>
      </c>
      <c r="E5" s="21" t="s">
        <v>264</v>
      </c>
      <c r="F5" s="21" t="s">
        <v>265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266</v>
      </c>
      <c r="B7" s="24" t="s">
        <v>267</v>
      </c>
      <c r="C7" s="23" t="s">
        <v>268</v>
      </c>
      <c r="D7" s="23" t="s">
        <v>269</v>
      </c>
      <c r="E7" s="25">
        <v>47872.94</v>
      </c>
      <c r="F7" s="24" t="s">
        <v>270</v>
      </c>
    </row>
    <row r="8" spans="1:7" ht="30" customHeight="1" x14ac:dyDescent="0.25">
      <c r="A8" s="22" t="s">
        <v>271</v>
      </c>
      <c r="B8" s="24" t="s">
        <v>272</v>
      </c>
      <c r="C8" s="23" t="s">
        <v>273</v>
      </c>
      <c r="D8" s="23" t="s">
        <v>274</v>
      </c>
      <c r="E8" s="25">
        <f>1973/12</f>
        <v>164.41666666667001</v>
      </c>
      <c r="F8" s="24" t="s">
        <v>275</v>
      </c>
      <c r="G8" s="26"/>
    </row>
    <row r="9" spans="1:7" x14ac:dyDescent="0.25">
      <c r="A9" s="22" t="s">
        <v>276</v>
      </c>
      <c r="B9" s="24" t="s">
        <v>277</v>
      </c>
      <c r="C9" s="23" t="s">
        <v>278</v>
      </c>
      <c r="D9" s="23" t="s">
        <v>269</v>
      </c>
      <c r="E9" s="25">
        <v>1</v>
      </c>
      <c r="F9" s="24"/>
      <c r="G9" s="27"/>
    </row>
    <row r="10" spans="1:7" x14ac:dyDescent="0.25">
      <c r="A10" s="22" t="s">
        <v>279</v>
      </c>
      <c r="B10" s="24" t="s">
        <v>280</v>
      </c>
      <c r="C10" s="23"/>
      <c r="D10" s="23"/>
      <c r="E10" s="28">
        <v>4</v>
      </c>
      <c r="F10" s="24" t="s">
        <v>281</v>
      </c>
      <c r="G10" s="27"/>
    </row>
    <row r="11" spans="1:7" ht="75" customHeight="1" x14ac:dyDescent="0.25">
      <c r="A11" s="22" t="s">
        <v>282</v>
      </c>
      <c r="B11" s="24" t="s">
        <v>283</v>
      </c>
      <c r="C11" s="23" t="s">
        <v>284</v>
      </c>
      <c r="D11" s="23" t="s">
        <v>269</v>
      </c>
      <c r="E11" s="29">
        <v>1.34</v>
      </c>
      <c r="F11" s="24" t="s">
        <v>285</v>
      </c>
    </row>
    <row r="12" spans="1:7" ht="75" customHeight="1" x14ac:dyDescent="0.25">
      <c r="A12" s="22" t="s">
        <v>286</v>
      </c>
      <c r="B12" s="30" t="s">
        <v>287</v>
      </c>
      <c r="C12" s="23" t="s">
        <v>288</v>
      </c>
      <c r="D12" s="23" t="s">
        <v>269</v>
      </c>
      <c r="E12" s="31">
        <v>1.139</v>
      </c>
      <c r="F12" s="32" t="s">
        <v>289</v>
      </c>
      <c r="G12" s="27" t="s">
        <v>290</v>
      </c>
    </row>
    <row r="13" spans="1:7" ht="60" customHeight="1" x14ac:dyDescent="0.25">
      <c r="A13" s="22" t="s">
        <v>291</v>
      </c>
      <c r="B13" s="33" t="s">
        <v>292</v>
      </c>
      <c r="C13" s="23" t="s">
        <v>293</v>
      </c>
      <c r="D13" s="23" t="s">
        <v>294</v>
      </c>
      <c r="E13" s="34">
        <f>((E7*E9/E8)*E11)*E12</f>
        <v>444.39870291576</v>
      </c>
      <c r="F13" s="24" t="s">
        <v>295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2023-11-30T09:16:15Z</cp:lastPrinted>
  <dcterms:created xsi:type="dcterms:W3CDTF">2020-09-30T08:50:27Z</dcterms:created>
  <dcterms:modified xsi:type="dcterms:W3CDTF">2023-11-30T09:16:28Z</dcterms:modified>
  <cp:category/>
</cp:coreProperties>
</file>