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0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3'!$A$1:$H$94</definedName>
    <definedName name="_xlnm.Print_Area" localSheetId="7">'Прил.4 РМ'!$A$1:$E$48</definedName>
    <definedName name="_xlnm.Print_Area" localSheetId="8">'Прил.5 Расчет СМР и ОБ'!$A$1:$J$107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7" i="10"/>
  <c r="G16" i="10"/>
  <c r="G15" i="10"/>
  <c r="G14" i="10"/>
  <c r="G13" i="10"/>
  <c r="G12" i="10"/>
  <c r="F12" i="10"/>
  <c r="E12" i="10"/>
  <c r="D12" i="10"/>
  <c r="C12" i="10"/>
  <c r="B12" i="10"/>
  <c r="J101" i="9"/>
  <c r="G101" i="9"/>
  <c r="J100" i="9"/>
  <c r="G100" i="9"/>
  <c r="J99" i="9"/>
  <c r="G99" i="9"/>
  <c r="J98" i="9"/>
  <c r="D98" i="9"/>
  <c r="J97" i="9"/>
  <c r="D97" i="9"/>
  <c r="J96" i="9"/>
  <c r="G96" i="9"/>
  <c r="J95" i="9"/>
  <c r="G95" i="9"/>
  <c r="J94" i="9"/>
  <c r="H94" i="9"/>
  <c r="G94" i="9"/>
  <c r="J93" i="9"/>
  <c r="I93" i="9"/>
  <c r="H93" i="9"/>
  <c r="G93" i="9"/>
  <c r="J92" i="9"/>
  <c r="I92" i="9"/>
  <c r="H92" i="9"/>
  <c r="G92" i="9"/>
  <c r="J91" i="9"/>
  <c r="I91" i="9"/>
  <c r="H91" i="9"/>
  <c r="G91" i="9"/>
  <c r="J90" i="9"/>
  <c r="I90" i="9"/>
  <c r="H90" i="9"/>
  <c r="G90" i="9"/>
  <c r="J89" i="9"/>
  <c r="I89" i="9"/>
  <c r="H89" i="9"/>
  <c r="G89" i="9"/>
  <c r="J88" i="9"/>
  <c r="I88" i="9"/>
  <c r="H88" i="9"/>
  <c r="G88" i="9"/>
  <c r="J87" i="9"/>
  <c r="I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E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E52" i="9"/>
  <c r="J51" i="9"/>
  <c r="I51" i="9"/>
  <c r="H51" i="9"/>
  <c r="G51" i="9"/>
  <c r="J50" i="9"/>
  <c r="I50" i="9"/>
  <c r="H50" i="9"/>
  <c r="G50" i="9"/>
  <c r="E50" i="9"/>
  <c r="J49" i="9"/>
  <c r="I49" i="9"/>
  <c r="H49" i="9"/>
  <c r="G49" i="9"/>
  <c r="E49" i="9"/>
  <c r="J46" i="9"/>
  <c r="G46" i="9"/>
  <c r="J45" i="9"/>
  <c r="H45" i="9"/>
  <c r="G45" i="9"/>
  <c r="J44" i="9"/>
  <c r="H44" i="9"/>
  <c r="G44" i="9"/>
  <c r="J43" i="9"/>
  <c r="I43" i="9"/>
  <c r="H43" i="9"/>
  <c r="G43" i="9"/>
  <c r="J42" i="9"/>
  <c r="I42" i="9"/>
  <c r="H42" i="9"/>
  <c r="G42" i="9"/>
  <c r="J41" i="9"/>
  <c r="I41" i="9"/>
  <c r="H41" i="9"/>
  <c r="G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84" i="6"/>
  <c r="A84" i="6"/>
  <c r="H83" i="6"/>
  <c r="A83" i="6"/>
  <c r="H82" i="6"/>
  <c r="A82" i="6"/>
  <c r="H81" i="6"/>
  <c r="A81" i="6"/>
  <c r="H80" i="6"/>
  <c r="A80" i="6"/>
  <c r="H79" i="6"/>
  <c r="A79" i="6"/>
  <c r="H78" i="6"/>
  <c r="A78" i="6"/>
  <c r="H77" i="6"/>
  <c r="A77" i="6"/>
  <c r="H76" i="6"/>
  <c r="A76" i="6"/>
  <c r="H75" i="6"/>
  <c r="A75" i="6"/>
  <c r="H74" i="6"/>
  <c r="A74" i="6"/>
  <c r="H73" i="6"/>
  <c r="A73" i="6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F52" i="6"/>
  <c r="A52" i="6"/>
  <c r="H51" i="6"/>
  <c r="A51" i="6"/>
  <c r="H50" i="6"/>
  <c r="A50" i="6"/>
  <c r="H49" i="6"/>
  <c r="A49" i="6"/>
  <c r="H48" i="6"/>
  <c r="A48" i="6"/>
  <c r="H47" i="6"/>
  <c r="A47" i="6"/>
  <c r="H46" i="6"/>
  <c r="A46" i="6"/>
  <c r="H45" i="6"/>
  <c r="A45" i="6"/>
  <c r="H44" i="6"/>
  <c r="F44" i="6"/>
  <c r="A44" i="6"/>
  <c r="H43" i="6"/>
  <c r="A43" i="6"/>
  <c r="H42" i="6"/>
  <c r="F42" i="6"/>
  <c r="A42" i="6"/>
  <c r="H41" i="6"/>
  <c r="F41" i="6"/>
  <c r="A41" i="6"/>
  <c r="H40" i="6"/>
  <c r="H39" i="6"/>
  <c r="A39" i="6"/>
  <c r="H38" i="6"/>
  <c r="A38" i="6"/>
  <c r="H37" i="6"/>
  <c r="H36" i="6"/>
  <c r="A36" i="6"/>
  <c r="H35" i="6"/>
  <c r="H34" i="6"/>
  <c r="A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0" i="6"/>
  <c r="H19" i="6"/>
  <c r="H18" i="6"/>
  <c r="H17" i="6"/>
  <c r="H16" i="6"/>
  <c r="H15" i="6"/>
  <c r="H14" i="6"/>
  <c r="H13" i="6"/>
  <c r="H12" i="6"/>
  <c r="F12" i="6"/>
  <c r="J14" i="5"/>
  <c r="H14" i="5"/>
  <c r="G14" i="5"/>
  <c r="J13" i="5"/>
  <c r="H13" i="5"/>
  <c r="G13" i="5"/>
  <c r="J12" i="5"/>
  <c r="H12" i="5"/>
  <c r="G12" i="5"/>
  <c r="D24" i="4"/>
  <c r="D23" i="4"/>
  <c r="D21" i="4"/>
  <c r="D20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<sst xmlns="http://schemas.openxmlformats.org/spreadsheetml/2006/main" count="1089" uniqueCount="518">
  <si>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</si>
  <si>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</si>
  <si>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</si>
  <si>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</si>
  <si>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</si>
  <si>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</si>
  <si>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</si>
  <si>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</si>
  <si>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</si>
  <si>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</si>
  <si>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</si>
  <si>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</si>
  <si>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</si>
  <si>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</si>
  <si>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</si>
  <si>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</si>
  <si>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</si>
  <si>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</si>
  <si>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</si>
  <si>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</si>
  <si>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</si>
  <si>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</si>
  <si>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</si>
  <si>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</si>
  <si>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</si>
  <si>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</si>
  <si>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</si>
  <si>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</si>
  <si>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</si>
  <si>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</si>
  <si>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</si>
  <si>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</si>
  <si>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</si>
  <si>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</si>
  <si>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</si>
  <si>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</si>
  <si>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</si>
  <si>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</si>
  <si>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</si>
  <si>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</si>
  <si>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</si>
  <si>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</si>
  <si>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</si>
  <si>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</si>
  <si>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</si>
  <si>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</si>
  <si>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</si>
  <si>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</si>
  <si>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ТТ на три фазы  110 кВ.</t>
  </si>
  <si>
    <t>Сопоставимый уровень цен: 4 кв. 2016 г.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</si>
  <si>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</si>
  <si>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</si>
  <si>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</si>
  <si>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</si>
  <si>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Южная</t>
  </si>
  <si>
    <t>Наименование субъекта Российской Федерации</t>
  </si>
  <si>
    <t>Вологодская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</si>
  <si>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</si>
  <si>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</si>
  <si>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</si>
  <si>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</si>
  <si>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Элегазовый ТГФМ-110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</si>
  <si>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</si>
  <si>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</si>
  <si>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</si>
  <si>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</si>
  <si>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</si>
  <si>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</si>
  <si>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</si>
  <si>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</si>
  <si>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</si>
  <si>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</si>
  <si>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2016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</si>
  <si>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</si>
  <si>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</si>
  <si>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</si>
  <si>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</si>
  <si>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</si>
  <si>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</si>
  <si>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</si>
  <si>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</si>
  <si>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</si>
  <si>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</si>
  <si>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</si>
  <si>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</si>
  <si>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2016г., тыс. руб.</t>
  </si>
  <si>
    <t>Строительные работы</t>
  </si>
  <si>
    <t>Монтажные работы</t>
  </si>
  <si>
    <t>Прочее</t>
  </si>
  <si>
    <t>Всего</t>
  </si>
  <si>
    <t>02-01-35</t>
  </si>
  <si>
    <t>Открытая часть ПС. Электротехнические решения</t>
  </si>
  <si>
    <t>Всего по объекту:</t>
  </si>
  <si>
    <t>Всего по объекту в сопоставимом уровне цен 4 кв. 2016г: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</si>
  <si>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</si>
  <si>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</si>
  <si>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</si>
  <si>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</si>
  <si>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</si>
  <si>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</si>
  <si>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</si>
  <si>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</si>
  <si>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</si>
  <si>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</si>
  <si>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</si>
  <si>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</si>
  <si>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</si>
  <si>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</si>
  <si>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</si>
  <si>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</si>
  <si>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</si>
  <si>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</si>
  <si>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10-30-2</t>
  </si>
  <si>
    <t>Инженер II категории</t>
  </si>
  <si>
    <t>3</t>
  </si>
  <si>
    <t>1-4-0</t>
  </si>
  <si>
    <t>Затраты труда рабочих (средний разряд работы 4,0)</t>
  </si>
  <si>
    <t>4</t>
  </si>
  <si>
    <t>1-3-8</t>
  </si>
  <si>
    <t>Затраты труда рабочих (средний разряд работы 3,8)</t>
  </si>
  <si>
    <t>5</t>
  </si>
  <si>
    <t>1-3-9</t>
  </si>
  <si>
    <t>Затраты труда рабочих (средний разряд работы 3,9)</t>
  </si>
  <si>
    <t>чел.-ч.</t>
  </si>
  <si>
    <t>6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</si>
  <si>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</si>
  <si>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</si>
  <si>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</si>
  <si>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</si>
  <si>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</si>
  <si>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</si>
  <si>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маш.-ч</t>
  </si>
  <si>
    <t>91.10.01-002</t>
  </si>
  <si>
    <t>Агрегаты наполнительно-опрессовочные до 300 м3/ч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</si>
  <si>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</si>
  <si>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</si>
  <si>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</si>
  <si>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</si>
  <si>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</si>
  <si>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</si>
  <si>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</si>
  <si>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</si>
  <si>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</si>
  <si>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</si>
  <si>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</si>
  <si>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</si>
  <si>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</si>
  <si>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</si>
  <si>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</si>
  <si>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</si>
  <si>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</si>
  <si>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</si>
  <si>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</si>
  <si>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</si>
  <si>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</si>
  <si>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</si>
  <si>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</si>
  <si>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Цифровой трансформатор тока 110 кВ, 2000А, 80 кА.</t>
  </si>
  <si>
    <t>шт.</t>
  </si>
  <si>
    <t>21</t>
  </si>
  <si>
    <t>Шкаф промежуточных зажимов ШЗВ-60 УХЛ1</t>
  </si>
  <si>
    <t>Коробка зажимов для цепей контроля давления элегаза с (WAGO) К3-11</t>
  </si>
  <si>
    <t>шт</t>
  </si>
  <si>
    <t>Коробка зажимов для цепей тока с (КИ-10) К3-11-АСКУЭ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</si>
  <si>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</si>
  <si>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</si>
  <si>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</si>
  <si>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</si>
  <si>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</si>
  <si>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</si>
  <si>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20.1.01.03-0005</t>
  </si>
  <si>
    <t>Зажим винтовой ЗВИ-150 16-35 мм2 12 пар</t>
  </si>
  <si>
    <t>05.1.01.10-0131</t>
  </si>
  <si>
    <t>Лотки каналов и тоннелей железобетонные для прокладки коммуникаций</t>
  </si>
  <si>
    <t>м3</t>
  </si>
  <si>
    <t>21.2.01.02-0093</t>
  </si>
  <si>
    <t>Провод неизолированный для воздушных линий электропередачи АС 240/32</t>
  </si>
  <si>
    <t>т</t>
  </si>
  <si>
    <t>20.1.01.02-0064</t>
  </si>
  <si>
    <t>Зажим аппаратный прессуемый: А4А-240-2</t>
  </si>
  <si>
    <t>100 шт</t>
  </si>
  <si>
    <t>20.1.01.11-0006</t>
  </si>
  <si>
    <t>Зажим: плашечный соединительный ПА 3-2</t>
  </si>
  <si>
    <t>01.7.17.11-0001</t>
  </si>
  <si>
    <t>Бумага шлифовальная</t>
  </si>
  <si>
    <t>кг</t>
  </si>
  <si>
    <t>20.2.08.05-0017</t>
  </si>
  <si>
    <t>Профиль монтажный</t>
  </si>
  <si>
    <t>999-9950</t>
  </si>
  <si>
    <t>Вспомогательные ненормируемые ресурсы</t>
  </si>
  <si>
    <t>руб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</si>
  <si>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</si>
  <si>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</si>
  <si>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</si>
  <si>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</si>
  <si>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01.7.15.07-0014</t>
  </si>
  <si>
    <t>Дюбели распорные полипропиленовые</t>
  </si>
  <si>
    <t>08.3.07.01-0076</t>
  </si>
  <si>
    <t>Сталь полосовая, марка стали: Ст3сп шириной 50-200 мм толщиной 4-5 мм</t>
  </si>
  <si>
    <t>62.1.04.09-0004</t>
  </si>
  <si>
    <t>Реле дифференциальные: Р-33 УХЛ4</t>
  </si>
  <si>
    <t>14.4.02.09-0001</t>
  </si>
  <si>
    <t>Краска</t>
  </si>
  <si>
    <t>08.3.08.02-0091</t>
  </si>
  <si>
    <t>Сталь угловая, марки Ст3, перфорированная УП 35х35 мм</t>
  </si>
  <si>
    <t>м</t>
  </si>
  <si>
    <t>25.2.01.01-0001</t>
  </si>
  <si>
    <t>Бирки-оконцеватели</t>
  </si>
  <si>
    <t>14.4.02.09-0301</t>
  </si>
  <si>
    <t>Краска "Цинол"</t>
  </si>
  <si>
    <t>01.7.11.07-0034</t>
  </si>
  <si>
    <t>Электроды диаметром: 4 мм Э42А</t>
  </si>
  <si>
    <t>20.1.02.14-0001</t>
  </si>
  <si>
    <t>Серьга</t>
  </si>
  <si>
    <t>01.7.15.07-0031</t>
  </si>
  <si>
    <t>Дюбели распорные с гайкой</t>
  </si>
  <si>
    <t>01.3.01.06-0050</t>
  </si>
  <si>
    <t>Смазка универсальная тугоплавкая УТ (консталин жировой)</t>
  </si>
  <si>
    <t>03.2.01.01-0003</t>
  </si>
  <si>
    <t>Портландцемент общестроительного назначения бездобавочный, марки: 500</t>
  </si>
  <si>
    <t>08.3.05.02-0052</t>
  </si>
  <si>
    <t>Сталь листовая горячекатаная марки Ст3 толщиной: 2-6 мм</t>
  </si>
  <si>
    <t>01.7.20.08-0031</t>
  </si>
  <si>
    <t>Бязь суровая арт. 6804</t>
  </si>
  <si>
    <t>10 м2</t>
  </si>
  <si>
    <t>20.3.02.12-0002</t>
  </si>
  <si>
    <t>Лампа энергосберегающая: Camelion LH-11W</t>
  </si>
  <si>
    <t>20.1.02.23-0082</t>
  </si>
  <si>
    <t>Перемычки гибкие, тип ПГС-50</t>
  </si>
  <si>
    <t>10 шт.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</si>
  <si>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</si>
  <si>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</si>
  <si>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</si>
  <si>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</si>
  <si>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14.4.03.17-0011</t>
  </si>
  <si>
    <t>Лак электроизоляционный 318</t>
  </si>
  <si>
    <t>01.7.15.14-0043</t>
  </si>
  <si>
    <t>Шуруп самонарезающий: (LN) 3,5/11 мм</t>
  </si>
  <si>
    <t>14.4.04.09-0017</t>
  </si>
  <si>
    <t>Эмаль ХВ-124 защитная, зеленая</t>
  </si>
  <si>
    <t>02.3.01.02-0020</t>
  </si>
  <si>
    <t>Песок природный для строительных: растворов средний</t>
  </si>
  <si>
    <t>20.2.09.13-0011</t>
  </si>
  <si>
    <t>Муфта</t>
  </si>
  <si>
    <t>01.7.15.07-0007</t>
  </si>
  <si>
    <t>Дюбели пластмассовые диаметр 14 мм</t>
  </si>
  <si>
    <t>14.4.01.01-0003</t>
  </si>
  <si>
    <t>Грунтовка: ГФ-021 красно-коричневая</t>
  </si>
  <si>
    <t>01.7.11.07-0032</t>
  </si>
  <si>
    <t>Электроды диаметром: 4 мм Э42</t>
  </si>
  <si>
    <t>08.3.07.01-0043</t>
  </si>
  <si>
    <t>Сталь полосовая: 40х5 мм, марка Ст3сп</t>
  </si>
  <si>
    <t>01.7.20.04-0005</t>
  </si>
  <si>
    <t>Нитки швейные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</si>
  <si>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</si>
  <si>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</si>
  <si>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</si>
  <si>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</si>
  <si>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14.5.09.11-0101</t>
  </si>
  <si>
    <t>Уайт-спирит</t>
  </si>
  <si>
    <t>01.7.02.09-0002</t>
  </si>
  <si>
    <t>Шпагат бумажный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</si>
  <si>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</si>
  <si>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</si>
  <si>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</si>
  <si>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</si>
  <si>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</si>
  <si>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</si>
  <si>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</si>
  <si>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</si>
  <si>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</si>
  <si>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</si>
  <si>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</si>
  <si>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</si>
  <si>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</si>
  <si>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</si>
  <si>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</si>
  <si>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</si>
  <si>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</si>
  <si>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</si>
  <si>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</si>
  <si>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</si>
  <si>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</si>
  <si>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</si>
  <si>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</si>
  <si>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</si>
  <si>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</si>
  <si>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</si>
  <si>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</si>
  <si>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</si>
  <si>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</si>
  <si>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</si>
  <si>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</si>
  <si>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</si>
  <si>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</si>
  <si>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</si>
  <si>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</si>
  <si>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</si>
  <si>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</si>
  <si>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</si>
  <si>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</si>
  <si>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</si>
  <si>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</si>
  <si>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</si>
  <si>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</si>
  <si>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 (на основании СД ОП)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</si>
  <si>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</si>
  <si>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</si>
  <si>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</si>
  <si>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</si>
  <si>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</si>
  <si>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</si>
  <si>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</si>
  <si>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</si>
  <si>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</si>
  <si>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ТТ на три фазы  110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</si>
  <si>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</si>
  <si>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</si>
  <si>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</si>
  <si>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</si>
  <si>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</si>
  <si>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</si>
  <si>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</si>
  <si>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</si>
  <si>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</si>
  <si>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</si>
  <si>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</si>
  <si>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</si>
  <si>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</si>
  <si>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БЦ.14_1.287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</si>
  <si>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</si>
  <si>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</si>
  <si>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</si>
  <si>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</si>
  <si>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</si>
  <si>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</si>
  <si>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</si>
  <si>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</si>
  <si>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</si>
  <si>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</si>
  <si>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</si>
  <si>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</si>
  <si>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</si>
  <si>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</si>
  <si>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</si>
  <si>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</si>
  <si>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</si>
  <si>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</si>
  <si>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</si>
  <si>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</si>
  <si>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</si>
  <si>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</si>
  <si>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</si>
  <si>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</si>
  <si>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</si>
  <si>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И10-07-3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</si>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</sst>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6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b/>
      <i/>
      <sz val="10"/>
      <color rgb="FF000000"/>
      <name val="Arial Cyr"/>
    </font>
    <font>
      <b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Arial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170" fontId="0" fillId="0" borderId="0" xfId="0" applyNumberFormat="1"/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68" fontId="23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right" vertical="center" wrapText="1"/>
    </xf>
    <xf numFmtId="171" fontId="2" fillId="0" borderId="1" xfId="0" applyNumberFormat="1" applyFont="1" applyBorder="1" applyAlignment="1">
      <alignment horizontal="right" vertical="center" wrapText="1"/>
    </xf>
    <xf numFmtId="171" fontId="23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4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6" fillId="4" borderId="0" xfId="0" applyFont="1" applyFill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5" fillId="4" borderId="0" xfId="0" applyFont="1" applyFill="1" applyAlignment="1">
      <alignment horizontal="center" vertical="center"/>
    </xf>
    <xf numFmtId="2" fontId="25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5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2" fontId="17" fillId="0" borderId="1" xfId="0" applyNumberFormat="1" applyFont="1" applyBorder="1" applyAlignment="1">
      <alignment vertical="center" wrapText="1"/>
    </xf>
    <xf numFmtId="2" fontId="19" fillId="0" borderId="4" xfId="0" applyNumberFormat="1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4" xfId="0" applyNumberFormat="1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" fontId="4" fillId="4" borderId="0" xfId="0" applyNumberFormat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484869</xdr:colOff>
      <xdr:row>16</xdr:row>
      <xdr:rowOff>560</xdr:rowOff>
    </xdr:from>
    <xdr:to>
      <xdr:col>2</xdr:col>
      <xdr:colOff>1388063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583" y="40963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265394</xdr:colOff>
      <xdr:row>90</xdr:row>
      <xdr:rowOff>57151</xdr:rowOff>
    </xdr:from>
    <xdr:to>
      <xdr:col>3</xdr:col>
      <xdr:colOff>79936</xdr:colOff>
      <xdr:row>93</xdr:row>
      <xdr:rowOff>41276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747" y="20451857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195917</xdr:colOff>
      <xdr:row>88</xdr:row>
      <xdr:rowOff>11766</xdr:rowOff>
    </xdr:from>
    <xdr:to>
      <xdr:col>2</xdr:col>
      <xdr:colOff>1095749</xdr:colOff>
      <xdr:row>89</xdr:row>
      <xdr:rowOff>167379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270" y="20025472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43</xdr:row>
      <xdr:rowOff>24093</xdr:rowOff>
    </xdr:from>
    <xdr:to>
      <xdr:col>1</xdr:col>
      <xdr:colOff>1924984</xdr:colOff>
      <xdr:row>45</xdr:row>
      <xdr:rowOff>170143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717" y="119398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1117601</xdr:colOff>
      <xdr:row>41</xdr:row>
      <xdr:rowOff>10085</xdr:rowOff>
    </xdr:from>
    <xdr:to>
      <xdr:col>1</xdr:col>
      <xdr:colOff>2020795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826" y="11544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1062692</xdr:colOff>
      <xdr:row>103</xdr:row>
      <xdr:rowOff>24093</xdr:rowOff>
    </xdr:from>
    <xdr:to>
      <xdr:col>2</xdr:col>
      <xdr:colOff>496234</xdr:colOff>
      <xdr:row>106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692" y="252462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1060451</xdr:colOff>
      <xdr:row>101</xdr:row>
      <xdr:rowOff>29135</xdr:rowOff>
    </xdr:from>
    <xdr:to>
      <xdr:col>2</xdr:col>
      <xdr:colOff>458695</xdr:colOff>
      <xdr:row>102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51" y="2487033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1005542</xdr:colOff>
      <xdr:row>19</xdr:row>
      <xdr:rowOff>33618</xdr:rowOff>
    </xdr:from>
    <xdr:to>
      <xdr:col>2</xdr:col>
      <xdr:colOff>772459</xdr:colOff>
      <xdr:row>21</xdr:row>
      <xdr:rowOff>179668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542" y="49389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955676</xdr:colOff>
      <xdr:row>17</xdr:row>
      <xdr:rowOff>19610</xdr:rowOff>
    </xdr:from>
    <xdr:to>
      <xdr:col>2</xdr:col>
      <xdr:colOff>687295</xdr:colOff>
      <xdr:row>18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676" y="45439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13</xdr:row>
      <xdr:rowOff>81243</xdr:rowOff>
    </xdr:from>
    <xdr:to>
      <xdr:col>1</xdr:col>
      <xdr:colOff>1972609</xdr:colOff>
      <xdr:row>16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42" y="36721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1069976</xdr:colOff>
      <xdr:row>11</xdr:row>
      <xdr:rowOff>19610</xdr:rowOff>
    </xdr:from>
    <xdr:to>
      <xdr:col>1</xdr:col>
      <xdr:colOff>1973170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1" y="32295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1105834</xdr:colOff>
      <xdr:row>27</xdr:row>
      <xdr:rowOff>79562</xdr:rowOff>
    </xdr:from>
    <xdr:to>
      <xdr:col>1</xdr:col>
      <xdr:colOff>2044326</xdr:colOff>
      <xdr:row>30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952" y="9245974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1137210</xdr:colOff>
      <xdr:row>24</xdr:row>
      <xdr:rowOff>168648</xdr:rowOff>
    </xdr:from>
    <xdr:to>
      <xdr:col>1</xdr:col>
      <xdr:colOff>2040404</xdr:colOff>
      <xdr:row>26</xdr:row>
      <xdr:rowOff>124236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8" y="876356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1" t="s">
        <v>0</v>
      </c>
      <c r="B2" s="231"/>
      <c r="C2" s="231"/>
    </row>
    <row r="3" spans="1:3" x14ac:dyDescent="0.25">
      <c r="A3" s="1"/>
      <c r="B3" s="1"/>
      <c r="C3" s="1"/>
    </row>
    <row r="4" spans="1:3" x14ac:dyDescent="0.25">
      <c r="A4" s="232" t="s">
        <v>1</v>
      </c>
      <c r="B4" s="232"/>
      <c r="C4" s="23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3" t="s">
        <v>3</v>
      </c>
      <c r="C6" s="233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5793.9595386986002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79" t="s">
        <v>344</v>
      </c>
      <c r="B1" s="279"/>
      <c r="C1" s="279"/>
      <c r="D1" s="279"/>
      <c r="E1" s="279"/>
      <c r="F1" s="279"/>
      <c r="G1" s="279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1" t="s">
        <v>345</v>
      </c>
      <c r="B3" s="231"/>
      <c r="C3" s="231"/>
      <c r="D3" s="231"/>
      <c r="E3" s="231"/>
      <c r="F3" s="231"/>
      <c r="G3" s="231"/>
    </row>
    <row r="4" spans="1:7" ht="25.5" customHeight="1" x14ac:dyDescent="0.25">
      <c r="A4" s="234" t="s">
        <v>48</v>
      </c>
      <c r="B4" s="234"/>
      <c r="C4" s="234"/>
      <c r="D4" s="234"/>
      <c r="E4" s="234"/>
      <c r="F4" s="234"/>
      <c r="G4" s="23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5" t="s">
        <v>13</v>
      </c>
      <c r="B6" s="265" t="s">
        <v>98</v>
      </c>
      <c r="C6" s="265" t="s">
        <v>265</v>
      </c>
      <c r="D6" s="265" t="s">
        <v>100</v>
      </c>
      <c r="E6" s="277" t="s">
        <v>317</v>
      </c>
      <c r="F6" s="284" t="s">
        <v>102</v>
      </c>
      <c r="G6" s="284"/>
    </row>
    <row r="7" spans="1:7" x14ac:dyDescent="0.25">
      <c r="A7" s="265"/>
      <c r="B7" s="265"/>
      <c r="C7" s="265"/>
      <c r="D7" s="265"/>
      <c r="E7" s="278"/>
      <c r="F7" s="2" t="s">
        <v>320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0" t="s">
        <v>346</v>
      </c>
      <c r="C9" s="281"/>
      <c r="D9" s="281"/>
      <c r="E9" s="281"/>
      <c r="F9" s="281"/>
      <c r="G9" s="282"/>
    </row>
    <row r="10" spans="1:7" ht="27" customHeight="1" x14ac:dyDescent="0.25">
      <c r="A10" s="2"/>
      <c r="B10" s="104"/>
      <c r="C10" s="8" t="s">
        <v>347</v>
      </c>
      <c r="D10" s="104"/>
      <c r="E10" s="105"/>
      <c r="F10" s="103"/>
      <c r="G10" s="103">
        <v>0</v>
      </c>
    </row>
    <row r="11" spans="1:7" x14ac:dyDescent="0.25">
      <c r="A11" s="2"/>
      <c r="B11" s="264" t="s">
        <v>348</v>
      </c>
      <c r="C11" s="264"/>
      <c r="D11" s="264"/>
      <c r="E11" s="283"/>
      <c r="F11" s="267"/>
      <c r="G11" s="267"/>
    </row>
    <row r="12" spans="1:7" ht="25.5" customHeight="1" x14ac:dyDescent="0.25">
      <c r="A12" s="2">
        <v>1</v>
      </c>
      <c r="B12" s="178" t="str">
        <f>'Прил.5 Расчет СМР и ОБ'!B39</f>
        <v>БЦ.14_1.287</v>
      </c>
      <c r="C12" s="179" t="str">
        <f>'Прил.5 Расчет СМР и ОБ'!C39</f>
        <v>Цифровой трансформатор тока 110 кВ, 2000А, 80 кА.</v>
      </c>
      <c r="D12" s="178" t="str">
        <f>'Прил.5 Расчет СМР и ОБ'!D39</f>
        <v>шт.</v>
      </c>
      <c r="E12" s="218">
        <f>'Прил.5 Расчет СМР и ОБ'!E39</f>
        <v>21</v>
      </c>
      <c r="F12" s="32">
        <f>'Прил.5 Расчет СМР и ОБ'!F39</f>
        <v>250985.56</v>
      </c>
      <c r="G12" s="32">
        <f>E12*F12</f>
        <v>5270696.76</v>
      </c>
    </row>
    <row r="13" spans="1:7" ht="25.5" customHeight="1" x14ac:dyDescent="0.25">
      <c r="A13" s="2">
        <v>2</v>
      </c>
      <c r="B13" s="194" t="s">
        <v>156</v>
      </c>
      <c r="C13" s="195" t="s">
        <v>160</v>
      </c>
      <c r="D13" s="2" t="s">
        <v>158</v>
      </c>
      <c r="E13" s="218">
        <v>7</v>
      </c>
      <c r="F13" s="32">
        <v>6790.9</v>
      </c>
      <c r="G13" s="32">
        <f>E13*F13</f>
        <v>47536.3</v>
      </c>
    </row>
    <row r="14" spans="1:7" ht="25.5" customHeight="1" x14ac:dyDescent="0.25">
      <c r="A14" s="2">
        <v>3</v>
      </c>
      <c r="B14" s="194" t="s">
        <v>156</v>
      </c>
      <c r="C14" s="195" t="s">
        <v>161</v>
      </c>
      <c r="D14" s="2" t="s">
        <v>158</v>
      </c>
      <c r="E14" s="218">
        <v>7</v>
      </c>
      <c r="F14" s="32">
        <v>1759.31</v>
      </c>
      <c r="G14" s="32">
        <f>E14*F14</f>
        <v>12315.17</v>
      </c>
    </row>
    <row r="15" spans="1:7" ht="25.5" customHeight="1" x14ac:dyDescent="0.25">
      <c r="A15" s="2">
        <v>4</v>
      </c>
      <c r="B15" s="194" t="s">
        <v>156</v>
      </c>
      <c r="C15" s="195" t="s">
        <v>163</v>
      </c>
      <c r="D15" s="2" t="s">
        <v>158</v>
      </c>
      <c r="E15" s="218">
        <v>7</v>
      </c>
      <c r="F15" s="32">
        <v>921.63</v>
      </c>
      <c r="G15" s="32">
        <f>E15*F15</f>
        <v>6451.41</v>
      </c>
    </row>
    <row r="16" spans="1:7" ht="25.5" customHeight="1" x14ac:dyDescent="0.25">
      <c r="A16" s="2"/>
      <c r="B16" s="195"/>
      <c r="C16" s="195" t="s">
        <v>349</v>
      </c>
      <c r="D16" s="8"/>
      <c r="E16" s="47"/>
      <c r="F16" s="32"/>
      <c r="G16" s="32">
        <f>SUM(G12:G15)</f>
        <v>5336999.6399999997</v>
      </c>
    </row>
    <row r="17" spans="1:7" ht="19.5" customHeight="1" x14ac:dyDescent="0.25">
      <c r="A17" s="2"/>
      <c r="B17" s="8"/>
      <c r="C17" s="8" t="s">
        <v>350</v>
      </c>
      <c r="D17" s="8"/>
      <c r="E17" s="47"/>
      <c r="F17" s="103"/>
      <c r="G17" s="32">
        <f>G10+G16</f>
        <v>5336999.6399999997</v>
      </c>
    </row>
    <row r="18" spans="1:7" x14ac:dyDescent="0.25">
      <c r="A18" s="30"/>
      <c r="B18" s="106"/>
      <c r="C18" s="30"/>
      <c r="D18" s="30"/>
      <c r="E18" s="30"/>
      <c r="F18" s="30"/>
      <c r="G18" s="30"/>
    </row>
    <row r="19" spans="1:7" x14ac:dyDescent="0.25">
      <c r="B19" s="4" t="s">
        <v>75</v>
      </c>
      <c r="C19" s="12"/>
    </row>
    <row r="20" spans="1:7" x14ac:dyDescent="0.25">
      <c r="B20" s="33" t="s">
        <v>76</v>
      </c>
      <c r="C20" s="12"/>
    </row>
    <row r="21" spans="1:7" x14ac:dyDescent="0.25">
      <c r="B21" s="4"/>
      <c r="C21" s="12"/>
    </row>
    <row r="22" spans="1:7" x14ac:dyDescent="0.25">
      <c r="B22" s="4" t="s">
        <v>77</v>
      </c>
      <c r="C22" s="12"/>
    </row>
    <row r="23" spans="1:7" x14ac:dyDescent="0.25">
      <c r="B23" s="33" t="s">
        <v>78</v>
      </c>
      <c r="C23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tabSelected="1"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351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1" t="s">
        <v>352</v>
      </c>
      <c r="B3" s="231"/>
      <c r="C3" s="231"/>
      <c r="D3" s="231"/>
    </row>
    <row r="4" spans="1:5" ht="24.75" customHeight="1" x14ac:dyDescent="0.25">
      <c r="A4" s="143"/>
      <c r="B4" s="143"/>
      <c r="C4" s="143"/>
      <c r="D4" s="143"/>
    </row>
    <row r="5" spans="1:5" ht="53.25" customHeight="1" x14ac:dyDescent="0.25">
      <c r="A5" s="234" t="s">
        <v>314</v>
      </c>
      <c r="B5" s="234"/>
      <c r="C5" s="234"/>
      <c r="D5" s="219" t="str">
        <f>'Прил.5 Расчет СМР и ОБ'!D6</f>
        <v>Элементы ПС без устройства фундаментов. Цифровой ТТ на три фазы  110 кВ.</v>
      </c>
    </row>
    <row r="6" spans="1:5" ht="19.899999999999999" customHeight="1" x14ac:dyDescent="0.25">
      <c r="A6" s="234" t="s">
        <v>50</v>
      </c>
      <c r="B6" s="234"/>
      <c r="C6" s="234"/>
      <c r="D6" s="219"/>
    </row>
    <row r="7" spans="1:5" x14ac:dyDescent="0.25">
      <c r="A7" s="4"/>
      <c r="B7" s="4"/>
      <c r="C7" s="4"/>
      <c r="D7" s="4"/>
    </row>
    <row r="8" spans="1:5" ht="14.45" customHeight="1" x14ac:dyDescent="0.25">
      <c r="A8" s="246" t="s">
        <v>5</v>
      </c>
      <c r="B8" s="246" t="s">
        <v>6</v>
      </c>
      <c r="C8" s="246" t="s">
        <v>353</v>
      </c>
      <c r="D8" s="246" t="s">
        <v>354</v>
      </c>
    </row>
    <row r="9" spans="1:5" ht="15" customHeight="1" x14ac:dyDescent="0.25">
      <c r="A9" s="246"/>
      <c r="B9" s="246"/>
      <c r="C9" s="246"/>
      <c r="D9" s="246"/>
    </row>
    <row r="10" spans="1:5" x14ac:dyDescent="0.25">
      <c r="A10" s="220">
        <v>1</v>
      </c>
      <c r="B10" s="220">
        <v>2</v>
      </c>
      <c r="C10" s="220">
        <v>3</v>
      </c>
      <c r="D10" s="220">
        <v>4</v>
      </c>
    </row>
    <row r="11" spans="1:5" ht="41.45" customHeight="1" x14ac:dyDescent="0.25">
      <c r="A11" s="220" t="s">
        <v>355</v>
      </c>
      <c r="B11" s="220" t="s">
        <v>356</v>
      </c>
      <c r="C11" s="221" t="str">
        <f>D5</f>
        <v>Элементы ПС без устройства фундаментов. Цифровой ТТ на три фазы  110 кВ.</v>
      </c>
      <c r="D11" s="222">
        <f>'Прил.4 РМ'!C41/1000</f>
        <v>6416.4613214286001</v>
      </c>
      <c r="E11" s="142"/>
    </row>
    <row r="12" spans="1:5" x14ac:dyDescent="0.25">
      <c r="A12" s="30"/>
      <c r="B12" s="106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6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5703125" customWidth="1"/>
    <col min="4" max="4" width="32" customWidth="1"/>
    <col min="5" max="5" width="9.140625" customWidth="1"/>
  </cols>
  <sheetData>
    <row r="4" spans="2:5" ht="15.75" customHeight="1" x14ac:dyDescent="0.25">
      <c r="B4" s="239" t="s">
        <v>357</v>
      </c>
      <c r="C4" s="239"/>
      <c r="D4" s="239"/>
    </row>
    <row r="5" spans="2:5" ht="18.75" customHeight="1" x14ac:dyDescent="0.25">
      <c r="B5" s="137"/>
    </row>
    <row r="6" spans="2:5" ht="15.75" customHeight="1" x14ac:dyDescent="0.25">
      <c r="B6" s="245" t="s">
        <v>358</v>
      </c>
      <c r="C6" s="245"/>
      <c r="D6" s="245"/>
    </row>
    <row r="7" spans="2:5" x14ac:dyDescent="0.25">
      <c r="B7" s="285" t="s">
        <v>359</v>
      </c>
      <c r="C7" s="285"/>
      <c r="D7" s="285"/>
      <c r="E7" s="285"/>
    </row>
    <row r="8" spans="2:5" x14ac:dyDescent="0.25">
      <c r="B8" s="153"/>
      <c r="C8" s="153"/>
      <c r="D8" s="153"/>
      <c r="E8" s="153"/>
    </row>
    <row r="9" spans="2:5" ht="47.25" customHeight="1" x14ac:dyDescent="0.25">
      <c r="B9" s="117" t="s">
        <v>360</v>
      </c>
      <c r="C9" s="117" t="s">
        <v>361</v>
      </c>
      <c r="D9" s="117" t="s">
        <v>362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31.5" customHeight="1" x14ac:dyDescent="0.25">
      <c r="B11" s="117" t="s">
        <v>363</v>
      </c>
      <c r="C11" s="117" t="s">
        <v>364</v>
      </c>
      <c r="D11" s="117">
        <v>44.29</v>
      </c>
    </row>
    <row r="12" spans="2:5" ht="31.5" customHeight="1" x14ac:dyDescent="0.25">
      <c r="B12" s="117" t="s">
        <v>365</v>
      </c>
      <c r="C12" s="117" t="s">
        <v>364</v>
      </c>
      <c r="D12" s="117">
        <v>13.47</v>
      </c>
    </row>
    <row r="13" spans="2:5" ht="31.5" customHeight="1" x14ac:dyDescent="0.25">
      <c r="B13" s="117" t="s">
        <v>366</v>
      </c>
      <c r="C13" s="117" t="s">
        <v>364</v>
      </c>
      <c r="D13" s="117">
        <v>8.0399999999999991</v>
      </c>
    </row>
    <row r="14" spans="2:5" ht="31.5" customHeight="1" x14ac:dyDescent="0.25">
      <c r="B14" s="117" t="s">
        <v>367</v>
      </c>
      <c r="C14" s="117" t="s">
        <v>368</v>
      </c>
      <c r="D14" s="117">
        <v>6.26</v>
      </c>
    </row>
    <row r="15" spans="2:5" ht="89.25" customHeight="1" x14ac:dyDescent="0.25">
      <c r="B15" s="117" t="s">
        <v>369</v>
      </c>
      <c r="C15" s="117" t="s">
        <v>370</v>
      </c>
      <c r="D15" s="138">
        <v>3.9E-2</v>
      </c>
    </row>
    <row r="16" spans="2:5" ht="94.5" customHeight="1" x14ac:dyDescent="0.25">
      <c r="B16" s="117" t="s">
        <v>371</v>
      </c>
      <c r="C16" s="117" t="s">
        <v>372</v>
      </c>
      <c r="D16" s="138">
        <v>2.1000000000000001E-2</v>
      </c>
    </row>
    <row r="17" spans="2:4" ht="15.75" customHeight="1" x14ac:dyDescent="0.25">
      <c r="B17" s="117" t="s">
        <v>373</v>
      </c>
      <c r="C17" s="117"/>
      <c r="D17" s="117" t="s">
        <v>374</v>
      </c>
    </row>
    <row r="18" spans="2:4" ht="31.5" customHeight="1" x14ac:dyDescent="0.25">
      <c r="B18" s="117" t="s">
        <v>289</v>
      </c>
      <c r="C18" s="117" t="s">
        <v>375</v>
      </c>
      <c r="D18" s="138">
        <v>2.1399999999999999E-2</v>
      </c>
    </row>
    <row r="19" spans="2:4" ht="31.5" customHeight="1" x14ac:dyDescent="0.25">
      <c r="B19" s="117" t="s">
        <v>311</v>
      </c>
      <c r="C19" s="117" t="s">
        <v>376</v>
      </c>
      <c r="D19" s="138">
        <v>2E-3</v>
      </c>
    </row>
    <row r="20" spans="2:4" ht="24" customHeight="1" x14ac:dyDescent="0.25">
      <c r="B20" s="117" t="s">
        <v>292</v>
      </c>
      <c r="C20" s="117" t="s">
        <v>377</v>
      </c>
      <c r="D20" s="138">
        <v>0.03</v>
      </c>
    </row>
    <row r="21" spans="2:4" ht="18.75" customHeight="1" x14ac:dyDescent="0.25">
      <c r="B21" s="116"/>
    </row>
    <row r="22" spans="2:4" ht="18.75" customHeight="1" x14ac:dyDescent="0.25">
      <c r="B22" s="116"/>
    </row>
    <row r="23" spans="2:4" ht="18.75" customHeight="1" x14ac:dyDescent="0.25">
      <c r="B23" s="116"/>
    </row>
    <row r="24" spans="2:4" ht="18.75" customHeight="1" x14ac:dyDescent="0.25">
      <c r="B24" s="116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17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45" t="s">
        <v>378</v>
      </c>
      <c r="B2" s="245"/>
      <c r="C2" s="245"/>
      <c r="D2" s="245"/>
      <c r="E2" s="245"/>
      <c r="F2" s="245"/>
    </row>
    <row r="4" spans="1:7" ht="18" customHeight="1" x14ac:dyDescent="0.25">
      <c r="A4" s="124" t="s">
        <v>379</v>
      </c>
      <c r="B4" s="125"/>
      <c r="C4" s="125"/>
      <c r="D4" s="125"/>
      <c r="E4" s="125"/>
      <c r="F4" s="125"/>
      <c r="G4" s="125"/>
    </row>
    <row r="5" spans="1:7" ht="15.75" customHeight="1" x14ac:dyDescent="0.25">
      <c r="A5" s="126" t="s">
        <v>13</v>
      </c>
      <c r="B5" s="126" t="s">
        <v>380</v>
      </c>
      <c r="C5" s="126" t="s">
        <v>381</v>
      </c>
      <c r="D5" s="126" t="s">
        <v>382</v>
      </c>
      <c r="E5" s="126" t="s">
        <v>383</v>
      </c>
      <c r="F5" s="126" t="s">
        <v>384</v>
      </c>
      <c r="G5" s="125"/>
    </row>
    <row r="6" spans="1:7" ht="15.75" customHeight="1" x14ac:dyDescent="0.25">
      <c r="A6" s="126">
        <v>1</v>
      </c>
      <c r="B6" s="126">
        <v>2</v>
      </c>
      <c r="C6" s="126">
        <v>3</v>
      </c>
      <c r="D6" s="126">
        <v>4</v>
      </c>
      <c r="E6" s="126">
        <v>5</v>
      </c>
      <c r="F6" s="126">
        <v>6</v>
      </c>
      <c r="G6" s="125"/>
    </row>
    <row r="7" spans="1:7" ht="110.25" customHeight="1" x14ac:dyDescent="0.25">
      <c r="A7" s="127" t="s">
        <v>385</v>
      </c>
      <c r="B7" s="128" t="s">
        <v>386</v>
      </c>
      <c r="C7" s="117" t="s">
        <v>387</v>
      </c>
      <c r="D7" s="117" t="s">
        <v>388</v>
      </c>
      <c r="E7" s="129">
        <v>47872.94</v>
      </c>
      <c r="F7" s="128" t="s">
        <v>389</v>
      </c>
      <c r="G7" s="125"/>
    </row>
    <row r="8" spans="1:7" ht="31.5" customHeight="1" x14ac:dyDescent="0.25">
      <c r="A8" s="127" t="s">
        <v>390</v>
      </c>
      <c r="B8" s="128" t="s">
        <v>391</v>
      </c>
      <c r="C8" s="117" t="s">
        <v>392</v>
      </c>
      <c r="D8" s="117" t="s">
        <v>393</v>
      </c>
      <c r="E8" s="129">
        <f>1973/12</f>
        <v>164.41666666667001</v>
      </c>
      <c r="F8" s="128" t="s">
        <v>394</v>
      </c>
      <c r="G8" s="130"/>
    </row>
    <row r="9" spans="1:7" ht="15.75" customHeight="1" x14ac:dyDescent="0.25">
      <c r="A9" s="127" t="s">
        <v>395</v>
      </c>
      <c r="B9" s="128" t="s">
        <v>396</v>
      </c>
      <c r="C9" s="117" t="s">
        <v>397</v>
      </c>
      <c r="D9" s="117" t="s">
        <v>388</v>
      </c>
      <c r="E9" s="129">
        <v>1</v>
      </c>
      <c r="F9" s="128"/>
      <c r="G9" s="130"/>
    </row>
    <row r="10" spans="1:7" ht="15.75" customHeight="1" x14ac:dyDescent="0.25">
      <c r="A10" s="127" t="s">
        <v>398</v>
      </c>
      <c r="B10" s="128" t="s">
        <v>399</v>
      </c>
      <c r="C10" s="117"/>
      <c r="D10" s="117"/>
      <c r="E10" s="131">
        <v>4</v>
      </c>
      <c r="F10" s="128" t="s">
        <v>400</v>
      </c>
      <c r="G10" s="130"/>
    </row>
    <row r="11" spans="1:7" ht="78.75" customHeight="1" x14ac:dyDescent="0.25">
      <c r="A11" s="127" t="s">
        <v>401</v>
      </c>
      <c r="B11" s="128" t="s">
        <v>402</v>
      </c>
      <c r="C11" s="117" t="s">
        <v>403</v>
      </c>
      <c r="D11" s="117" t="s">
        <v>388</v>
      </c>
      <c r="E11" s="132">
        <v>1.34</v>
      </c>
      <c r="F11" s="128" t="s">
        <v>404</v>
      </c>
      <c r="G11" s="125"/>
    </row>
    <row r="12" spans="1:7" ht="78.75" customHeight="1" x14ac:dyDescent="0.25">
      <c r="A12" s="127" t="s">
        <v>405</v>
      </c>
      <c r="B12" s="118" t="s">
        <v>406</v>
      </c>
      <c r="C12" s="117" t="s">
        <v>407</v>
      </c>
      <c r="D12" s="117" t="s">
        <v>388</v>
      </c>
      <c r="E12" s="133">
        <v>1.139</v>
      </c>
      <c r="F12" s="134" t="s">
        <v>408</v>
      </c>
      <c r="G12" s="130" t="s">
        <v>409</v>
      </c>
    </row>
    <row r="13" spans="1:7" ht="63" customHeight="1" x14ac:dyDescent="0.25">
      <c r="A13" s="127" t="s">
        <v>410</v>
      </c>
      <c r="B13" s="135" t="s">
        <v>411</v>
      </c>
      <c r="C13" s="117" t="s">
        <v>412</v>
      </c>
      <c r="D13" s="117" t="s">
        <v>413</v>
      </c>
      <c r="E13" s="136">
        <f>((E7*E9/E8)*E11)*E12</f>
        <v>444.39870291576</v>
      </c>
      <c r="F13" s="128" t="s">
        <v>414</v>
      </c>
      <c r="G13" s="125"/>
    </row>
    <row r="14" spans="1:7" ht="15.75" customHeight="1" x14ac:dyDescent="0.25">
      <c r="A14" s="125"/>
      <c r="B14" s="121" t="s">
        <v>109</v>
      </c>
      <c r="C14" s="125"/>
      <c r="D14" s="125"/>
      <c r="E14" s="125"/>
      <c r="F14" s="125"/>
    </row>
    <row r="15" spans="1:7" ht="110.25" customHeight="1" x14ac:dyDescent="0.25">
      <c r="A15" s="127" t="s">
        <v>385</v>
      </c>
      <c r="B15" s="128" t="s">
        <v>386</v>
      </c>
      <c r="C15" s="117" t="s">
        <v>387</v>
      </c>
      <c r="D15" s="117" t="s">
        <v>388</v>
      </c>
      <c r="E15" s="129">
        <v>47872.94</v>
      </c>
      <c r="F15" s="128" t="s">
        <v>389</v>
      </c>
    </row>
    <row r="16" spans="1:7" ht="31.5" customHeight="1" x14ac:dyDescent="0.25">
      <c r="A16" s="127" t="s">
        <v>390</v>
      </c>
      <c r="B16" s="128" t="s">
        <v>391</v>
      </c>
      <c r="C16" s="117" t="s">
        <v>392</v>
      </c>
      <c r="D16" s="117" t="s">
        <v>393</v>
      </c>
      <c r="E16" s="129">
        <f>1973/12</f>
        <v>164.41666666667001</v>
      </c>
      <c r="F16" s="128" t="s">
        <v>394</v>
      </c>
    </row>
    <row r="17" spans="1:6" ht="15.75" customHeight="1" x14ac:dyDescent="0.25">
      <c r="A17" s="127" t="s">
        <v>395</v>
      </c>
      <c r="B17" s="128" t="s">
        <v>396</v>
      </c>
      <c r="C17" s="117" t="s">
        <v>397</v>
      </c>
      <c r="D17" s="117" t="s">
        <v>388</v>
      </c>
      <c r="E17" s="129">
        <v>1</v>
      </c>
      <c r="F17" s="128"/>
    </row>
    <row r="18" spans="1:6" ht="15.75" customHeight="1" x14ac:dyDescent="0.25">
      <c r="A18" s="127" t="s">
        <v>398</v>
      </c>
      <c r="B18" s="128" t="s">
        <v>399</v>
      </c>
      <c r="C18" s="117"/>
      <c r="D18" s="117"/>
      <c r="E18" s="131">
        <v>1</v>
      </c>
      <c r="F18" s="128" t="s">
        <v>400</v>
      </c>
    </row>
    <row r="19" spans="1:6" ht="78.75" customHeight="1" x14ac:dyDescent="0.25">
      <c r="A19" s="127" t="s">
        <v>401</v>
      </c>
      <c r="B19" s="128" t="s">
        <v>402</v>
      </c>
      <c r="C19" s="117" t="s">
        <v>403</v>
      </c>
      <c r="D19" s="117" t="s">
        <v>388</v>
      </c>
      <c r="E19" s="132">
        <v>2.15</v>
      </c>
      <c r="F19" s="128" t="s">
        <v>415</v>
      </c>
    </row>
    <row r="20" spans="1:6" ht="78.75" customHeight="1" x14ac:dyDescent="0.25">
      <c r="A20" s="127" t="s">
        <v>405</v>
      </c>
      <c r="B20" s="118" t="s">
        <v>406</v>
      </c>
      <c r="C20" s="117" t="s">
        <v>407</v>
      </c>
      <c r="D20" s="117" t="s">
        <v>388</v>
      </c>
      <c r="E20" s="133">
        <v>1.139</v>
      </c>
      <c r="F20" s="134" t="s">
        <v>408</v>
      </c>
    </row>
    <row r="21" spans="1:6" ht="63" customHeight="1" x14ac:dyDescent="0.25">
      <c r="A21" s="127" t="s">
        <v>410</v>
      </c>
      <c r="B21" s="135" t="s">
        <v>416</v>
      </c>
      <c r="C21" s="117" t="s">
        <v>412</v>
      </c>
      <c r="D21" s="117" t="s">
        <v>413</v>
      </c>
      <c r="E21" s="136">
        <f>((E15*E17/E16)*E19)*E20</f>
        <v>713.02776960364997</v>
      </c>
      <c r="F21" s="128" t="s">
        <v>414</v>
      </c>
    </row>
    <row r="22" spans="1:6" ht="15.75" customHeight="1" x14ac:dyDescent="0.25">
      <c r="A22" s="125"/>
      <c r="B22" s="121" t="s">
        <v>113</v>
      </c>
      <c r="C22" s="125"/>
      <c r="D22" s="125"/>
      <c r="E22" s="125"/>
      <c r="F22" s="125"/>
    </row>
    <row r="23" spans="1:6" ht="110.25" customHeight="1" x14ac:dyDescent="0.25">
      <c r="A23" s="127" t="s">
        <v>385</v>
      </c>
      <c r="B23" s="128" t="s">
        <v>386</v>
      </c>
      <c r="C23" s="117" t="s">
        <v>387</v>
      </c>
      <c r="D23" s="117" t="s">
        <v>388</v>
      </c>
      <c r="E23" s="129">
        <v>47872.94</v>
      </c>
      <c r="F23" s="128" t="s">
        <v>389</v>
      </c>
    </row>
    <row r="24" spans="1:6" ht="31.5" customHeight="1" x14ac:dyDescent="0.25">
      <c r="A24" s="127" t="s">
        <v>390</v>
      </c>
      <c r="B24" s="128" t="s">
        <v>391</v>
      </c>
      <c r="C24" s="117" t="s">
        <v>392</v>
      </c>
      <c r="D24" s="117" t="s">
        <v>393</v>
      </c>
      <c r="E24" s="129">
        <f>1973/12</f>
        <v>164.41666666667001</v>
      </c>
      <c r="F24" s="128" t="s">
        <v>394</v>
      </c>
    </row>
    <row r="25" spans="1:6" ht="15.75" customHeight="1" x14ac:dyDescent="0.25">
      <c r="A25" s="127" t="s">
        <v>395</v>
      </c>
      <c r="B25" s="128" t="s">
        <v>396</v>
      </c>
      <c r="C25" s="117" t="s">
        <v>397</v>
      </c>
      <c r="D25" s="117" t="s">
        <v>388</v>
      </c>
      <c r="E25" s="129">
        <v>1</v>
      </c>
      <c r="F25" s="128"/>
    </row>
    <row r="26" spans="1:6" ht="15.75" customHeight="1" x14ac:dyDescent="0.25">
      <c r="A26" s="127" t="s">
        <v>398</v>
      </c>
      <c r="B26" s="128" t="s">
        <v>399</v>
      </c>
      <c r="C26" s="117"/>
      <c r="D26" s="117"/>
      <c r="E26" s="131">
        <v>1</v>
      </c>
      <c r="F26" s="128" t="s">
        <v>400</v>
      </c>
    </row>
    <row r="27" spans="1:6" ht="78.75" customHeight="1" x14ac:dyDescent="0.25">
      <c r="A27" s="127" t="s">
        <v>401</v>
      </c>
      <c r="B27" s="128" t="s">
        <v>402</v>
      </c>
      <c r="C27" s="117" t="s">
        <v>403</v>
      </c>
      <c r="D27" s="117" t="s">
        <v>388</v>
      </c>
      <c r="E27" s="132">
        <v>1.96</v>
      </c>
      <c r="F27" s="128" t="s">
        <v>415</v>
      </c>
    </row>
    <row r="28" spans="1:6" ht="78.75" customHeight="1" x14ac:dyDescent="0.25">
      <c r="A28" s="127" t="s">
        <v>405</v>
      </c>
      <c r="B28" s="118" t="s">
        <v>406</v>
      </c>
      <c r="C28" s="117" t="s">
        <v>407</v>
      </c>
      <c r="D28" s="117" t="s">
        <v>388</v>
      </c>
      <c r="E28" s="133">
        <v>1.139</v>
      </c>
      <c r="F28" s="134" t="s">
        <v>408</v>
      </c>
    </row>
    <row r="29" spans="1:6" ht="63" customHeight="1" x14ac:dyDescent="0.25">
      <c r="A29" s="127" t="s">
        <v>410</v>
      </c>
      <c r="B29" s="135" t="s">
        <v>416</v>
      </c>
      <c r="C29" s="117" t="s">
        <v>412</v>
      </c>
      <c r="D29" s="117" t="s">
        <v>413</v>
      </c>
      <c r="E29" s="136">
        <f>((E23*E25/E24)*E27)*E28</f>
        <v>650.01601322007002</v>
      </c>
      <c r="F29" s="128" t="s">
        <v>414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6" t="s">
        <v>417</v>
      </c>
      <c r="B2" s="286"/>
      <c r="C2" s="286"/>
      <c r="D2" s="286"/>
      <c r="E2" s="286"/>
      <c r="F2" s="286"/>
    </row>
    <row r="4" spans="1:7" ht="18" customHeight="1" x14ac:dyDescent="0.25">
      <c r="A4" s="159" t="s">
        <v>379</v>
      </c>
    </row>
    <row r="5" spans="1:7" x14ac:dyDescent="0.25">
      <c r="A5" s="58" t="s">
        <v>13</v>
      </c>
      <c r="B5" s="58" t="s">
        <v>380</v>
      </c>
      <c r="C5" s="58" t="s">
        <v>381</v>
      </c>
      <c r="D5" s="58" t="s">
        <v>382</v>
      </c>
      <c r="E5" s="58" t="s">
        <v>383</v>
      </c>
      <c r="F5" s="58" t="s">
        <v>384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385</v>
      </c>
      <c r="B7" s="63" t="s">
        <v>386</v>
      </c>
      <c r="C7" s="54" t="s">
        <v>418</v>
      </c>
      <c r="D7" s="54" t="s">
        <v>388</v>
      </c>
      <c r="E7" s="61">
        <v>43361</v>
      </c>
      <c r="F7" s="63" t="s">
        <v>389</v>
      </c>
    </row>
    <row r="8" spans="1:7" ht="30" customHeight="1" x14ac:dyDescent="0.25">
      <c r="A8" s="160" t="s">
        <v>390</v>
      </c>
      <c r="B8" s="63" t="s">
        <v>391</v>
      </c>
      <c r="C8" s="54" t="s">
        <v>419</v>
      </c>
      <c r="D8" s="54" t="s">
        <v>393</v>
      </c>
      <c r="E8" s="61">
        <f>1973/12</f>
        <v>164.41666666667001</v>
      </c>
      <c r="F8" s="63" t="s">
        <v>394</v>
      </c>
      <c r="G8" s="161"/>
    </row>
    <row r="9" spans="1:7" x14ac:dyDescent="0.25">
      <c r="A9" s="160" t="s">
        <v>395</v>
      </c>
      <c r="B9" s="63" t="s">
        <v>396</v>
      </c>
      <c r="C9" s="54" t="s">
        <v>397</v>
      </c>
      <c r="D9" s="54" t="s">
        <v>388</v>
      </c>
      <c r="E9" s="61">
        <v>1</v>
      </c>
      <c r="F9" s="63"/>
      <c r="G9" s="162"/>
    </row>
    <row r="10" spans="1:7" x14ac:dyDescent="0.25">
      <c r="A10" s="160" t="s">
        <v>398</v>
      </c>
      <c r="B10" s="63" t="s">
        <v>399</v>
      </c>
      <c r="C10" s="54"/>
      <c r="D10" s="54"/>
      <c r="E10" s="163">
        <v>1</v>
      </c>
      <c r="F10" s="63" t="s">
        <v>400</v>
      </c>
      <c r="G10" s="162"/>
    </row>
    <row r="11" spans="1:7" ht="75" customHeight="1" x14ac:dyDescent="0.25">
      <c r="A11" s="160" t="s">
        <v>401</v>
      </c>
      <c r="B11" s="63" t="s">
        <v>402</v>
      </c>
      <c r="C11" s="54" t="s">
        <v>420</v>
      </c>
      <c r="D11" s="54" t="s">
        <v>388</v>
      </c>
      <c r="E11" s="164">
        <v>2.15</v>
      </c>
      <c r="F11" s="63" t="s">
        <v>415</v>
      </c>
    </row>
    <row r="12" spans="1:7" ht="75" customHeight="1" x14ac:dyDescent="0.25">
      <c r="A12" s="160" t="s">
        <v>405</v>
      </c>
      <c r="B12" s="165" t="s">
        <v>406</v>
      </c>
      <c r="C12" s="54" t="s">
        <v>421</v>
      </c>
      <c r="D12" s="54" t="s">
        <v>388</v>
      </c>
      <c r="E12" s="166">
        <v>1.139</v>
      </c>
      <c r="F12" s="167" t="s">
        <v>408</v>
      </c>
      <c r="G12" s="162" t="s">
        <v>409</v>
      </c>
    </row>
    <row r="13" spans="1:7" ht="60" customHeight="1" x14ac:dyDescent="0.25">
      <c r="A13" s="160" t="s">
        <v>410</v>
      </c>
      <c r="B13" s="168" t="s">
        <v>422</v>
      </c>
      <c r="C13" s="54" t="s">
        <v>423</v>
      </c>
      <c r="D13" s="54" t="s">
        <v>424</v>
      </c>
      <c r="E13" s="169">
        <f>((E7*E9/E8)*E11)*E12</f>
        <v>645.82616229093003</v>
      </c>
      <c r="F13" s="63" t="s">
        <v>414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6" t="s">
        <v>417</v>
      </c>
      <c r="B2" s="286"/>
      <c r="C2" s="286"/>
      <c r="D2" s="286"/>
      <c r="E2" s="286"/>
      <c r="F2" s="286"/>
    </row>
    <row r="4" spans="1:7" ht="18" customHeight="1" x14ac:dyDescent="0.25">
      <c r="A4" s="159" t="s">
        <v>379</v>
      </c>
    </row>
    <row r="5" spans="1:7" x14ac:dyDescent="0.25">
      <c r="A5" s="58" t="s">
        <v>13</v>
      </c>
      <c r="B5" s="58" t="s">
        <v>380</v>
      </c>
      <c r="C5" s="58" t="s">
        <v>381</v>
      </c>
      <c r="D5" s="58" t="s">
        <v>382</v>
      </c>
      <c r="E5" s="58" t="s">
        <v>383</v>
      </c>
      <c r="F5" s="58" t="s">
        <v>384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60" t="s">
        <v>385</v>
      </c>
      <c r="B7" s="63" t="s">
        <v>386</v>
      </c>
      <c r="C7" s="54" t="s">
        <v>418</v>
      </c>
      <c r="D7" s="54" t="s">
        <v>388</v>
      </c>
      <c r="E7" s="61">
        <v>43361</v>
      </c>
      <c r="F7" s="63" t="s">
        <v>389</v>
      </c>
    </row>
    <row r="8" spans="1:7" ht="30" customHeight="1" x14ac:dyDescent="0.25">
      <c r="A8" s="160" t="s">
        <v>390</v>
      </c>
      <c r="B8" s="63" t="s">
        <v>391</v>
      </c>
      <c r="C8" s="54" t="s">
        <v>419</v>
      </c>
      <c r="D8" s="54" t="s">
        <v>393</v>
      </c>
      <c r="E8" s="61">
        <f>1973/12</f>
        <v>164.41666666667001</v>
      </c>
      <c r="F8" s="63" t="s">
        <v>394</v>
      </c>
      <c r="G8" s="161"/>
    </row>
    <row r="9" spans="1:7" x14ac:dyDescent="0.25">
      <c r="A9" s="160" t="s">
        <v>395</v>
      </c>
      <c r="B9" s="63" t="s">
        <v>396</v>
      </c>
      <c r="C9" s="54" t="s">
        <v>397</v>
      </c>
      <c r="D9" s="54" t="s">
        <v>388</v>
      </c>
      <c r="E9" s="61">
        <v>1</v>
      </c>
      <c r="F9" s="63"/>
      <c r="G9" s="162"/>
    </row>
    <row r="10" spans="1:7" x14ac:dyDescent="0.25">
      <c r="A10" s="160" t="s">
        <v>398</v>
      </c>
      <c r="B10" s="63" t="s">
        <v>399</v>
      </c>
      <c r="C10" s="54"/>
      <c r="D10" s="54"/>
      <c r="E10" s="163">
        <v>1</v>
      </c>
      <c r="F10" s="63" t="s">
        <v>400</v>
      </c>
      <c r="G10" s="162"/>
    </row>
    <row r="11" spans="1:7" ht="75" customHeight="1" x14ac:dyDescent="0.25">
      <c r="A11" s="160" t="s">
        <v>401</v>
      </c>
      <c r="B11" s="63" t="s">
        <v>402</v>
      </c>
      <c r="C11" s="54" t="s">
        <v>420</v>
      </c>
      <c r="D11" s="54" t="s">
        <v>388</v>
      </c>
      <c r="E11" s="164">
        <v>1.96</v>
      </c>
      <c r="F11" s="63" t="s">
        <v>415</v>
      </c>
    </row>
    <row r="12" spans="1:7" ht="75" customHeight="1" x14ac:dyDescent="0.25">
      <c r="A12" s="160" t="s">
        <v>405</v>
      </c>
      <c r="B12" s="165" t="s">
        <v>406</v>
      </c>
      <c r="C12" s="54" t="s">
        <v>421</v>
      </c>
      <c r="D12" s="54" t="s">
        <v>388</v>
      </c>
      <c r="E12" s="166">
        <v>1.139</v>
      </c>
      <c r="F12" s="167" t="s">
        <v>408</v>
      </c>
      <c r="G12" s="162" t="s">
        <v>409</v>
      </c>
    </row>
    <row r="13" spans="1:7" ht="60" customHeight="1" x14ac:dyDescent="0.25">
      <c r="A13" s="160" t="s">
        <v>410</v>
      </c>
      <c r="B13" s="168" t="s">
        <v>422</v>
      </c>
      <c r="C13" s="54" t="s">
        <v>423</v>
      </c>
      <c r="D13" s="54" t="s">
        <v>424</v>
      </c>
      <c r="E13" s="169">
        <f>((E7*E9/E8)*E11)*E12</f>
        <v>588.75315260009995</v>
      </c>
      <c r="F13" s="63" t="s">
        <v>414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7" t="s">
        <v>425</v>
      </c>
      <c r="B1" s="287"/>
      <c r="C1" s="287"/>
      <c r="D1" s="287"/>
      <c r="E1" s="287"/>
      <c r="F1" s="287"/>
      <c r="G1" s="287"/>
      <c r="H1" s="287"/>
      <c r="I1" s="287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4" t="str">
        <f>'Прил. 3'!A6</f>
        <v>Наименование разрабатываемого показателя УНЦ - Элементы ПС без устройства фундаментов. Цифровой ТТ на три фазы  110 кВ.</v>
      </c>
      <c r="B3" s="234"/>
      <c r="C3" s="234"/>
      <c r="D3" s="234"/>
      <c r="E3" s="234"/>
      <c r="F3" s="234"/>
      <c r="G3" s="234"/>
      <c r="H3" s="234"/>
      <c r="I3" s="234"/>
    </row>
    <row r="4" spans="1:13" s="4" customFormat="1" ht="15.75" customHeight="1" x14ac:dyDescent="0.2">
      <c r="A4" s="260"/>
      <c r="B4" s="260"/>
      <c r="C4" s="260"/>
      <c r="D4" s="260"/>
      <c r="E4" s="260"/>
      <c r="F4" s="260"/>
      <c r="G4" s="260"/>
      <c r="H4" s="260"/>
      <c r="I4" s="260"/>
    </row>
    <row r="5" spans="1:13" s="36" customFormat="1" ht="36.6" customHeight="1" x14ac:dyDescent="0.35">
      <c r="A5" s="288" t="s">
        <v>13</v>
      </c>
      <c r="B5" s="288" t="s">
        <v>426</v>
      </c>
      <c r="C5" s="288" t="s">
        <v>427</v>
      </c>
      <c r="D5" s="288" t="s">
        <v>428</v>
      </c>
      <c r="E5" s="284" t="s">
        <v>429</v>
      </c>
      <c r="F5" s="284"/>
      <c r="G5" s="284"/>
      <c r="H5" s="284"/>
      <c r="I5" s="284"/>
    </row>
    <row r="6" spans="1:13" s="30" customFormat="1" ht="31.5" customHeight="1" x14ac:dyDescent="0.2">
      <c r="A6" s="288"/>
      <c r="B6" s="288"/>
      <c r="C6" s="288"/>
      <c r="D6" s="288"/>
      <c r="E6" s="37" t="s">
        <v>86</v>
      </c>
      <c r="F6" s="37" t="s">
        <v>87</v>
      </c>
      <c r="G6" s="37" t="s">
        <v>43</v>
      </c>
      <c r="H6" s="37" t="s">
        <v>430</v>
      </c>
      <c r="I6" s="37" t="s">
        <v>431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284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432</v>
      </c>
      <c r="C9" s="8" t="s">
        <v>433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434</v>
      </c>
      <c r="C11" s="8" t="s">
        <v>371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435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436</v>
      </c>
      <c r="C12" s="8" t="s">
        <v>437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438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375</v>
      </c>
      <c r="C14" s="8" t="s">
        <v>439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440</v>
      </c>
      <c r="C16" s="8" t="s">
        <v>441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442</v>
      </c>
    </row>
    <row r="17" spans="1:10" s="30" customFormat="1" ht="81.75" customHeight="1" x14ac:dyDescent="0.2">
      <c r="A17" s="38">
        <v>7</v>
      </c>
      <c r="B17" s="8" t="s">
        <v>440</v>
      </c>
      <c r="C17" s="8" t="s">
        <v>443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444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445</v>
      </c>
      <c r="C20" s="8" t="s">
        <v>292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446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295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296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297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298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0" t="s">
        <v>447</v>
      </c>
      <c r="O2" s="290"/>
    </row>
    <row r="3" spans="1:16" x14ac:dyDescent="0.25">
      <c r="A3" s="286" t="s">
        <v>448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</row>
    <row r="5" spans="1:16" ht="37.5" customHeight="1" x14ac:dyDescent="0.25">
      <c r="A5" s="291" t="s">
        <v>449</v>
      </c>
      <c r="B5" s="294" t="s">
        <v>450</v>
      </c>
      <c r="C5" s="297" t="s">
        <v>451</v>
      </c>
      <c r="D5" s="300" t="s">
        <v>452</v>
      </c>
      <c r="E5" s="301"/>
      <c r="F5" s="301"/>
      <c r="G5" s="301"/>
      <c r="H5" s="301"/>
      <c r="I5" s="300" t="s">
        <v>453</v>
      </c>
      <c r="J5" s="301"/>
      <c r="K5" s="301"/>
      <c r="L5" s="301"/>
      <c r="M5" s="301"/>
      <c r="N5" s="301"/>
      <c r="O5" s="54" t="s">
        <v>454</v>
      </c>
    </row>
    <row r="6" spans="1:16" s="57" customFormat="1" ht="150" customHeight="1" x14ac:dyDescent="0.25">
      <c r="A6" s="292"/>
      <c r="B6" s="295"/>
      <c r="C6" s="298"/>
      <c r="D6" s="297" t="s">
        <v>455</v>
      </c>
      <c r="E6" s="302" t="s">
        <v>456</v>
      </c>
      <c r="F6" s="303"/>
      <c r="G6" s="304"/>
      <c r="H6" s="55" t="s">
        <v>457</v>
      </c>
      <c r="I6" s="305" t="s">
        <v>458</v>
      </c>
      <c r="J6" s="305" t="s">
        <v>455</v>
      </c>
      <c r="K6" s="306" t="s">
        <v>456</v>
      </c>
      <c r="L6" s="306"/>
      <c r="M6" s="306"/>
      <c r="N6" s="55" t="s">
        <v>457</v>
      </c>
      <c r="O6" s="56" t="s">
        <v>459</v>
      </c>
    </row>
    <row r="7" spans="1:16" s="57" customFormat="1" ht="30.75" customHeight="1" x14ac:dyDescent="0.25">
      <c r="A7" s="293"/>
      <c r="B7" s="296"/>
      <c r="C7" s="299"/>
      <c r="D7" s="299"/>
      <c r="E7" s="54" t="s">
        <v>86</v>
      </c>
      <c r="F7" s="54" t="s">
        <v>87</v>
      </c>
      <c r="G7" s="54" t="s">
        <v>43</v>
      </c>
      <c r="H7" s="58" t="s">
        <v>460</v>
      </c>
      <c r="I7" s="305"/>
      <c r="J7" s="305"/>
      <c r="K7" s="54" t="s">
        <v>86</v>
      </c>
      <c r="L7" s="54" t="s">
        <v>87</v>
      </c>
      <c r="M7" s="54" t="s">
        <v>43</v>
      </c>
      <c r="N7" s="58" t="s">
        <v>460</v>
      </c>
      <c r="O7" s="54" t="s">
        <v>461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1" t="s">
        <v>462</v>
      </c>
      <c r="C9" s="60" t="s">
        <v>463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3"/>
      <c r="C10" s="63" t="s">
        <v>464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1" t="s">
        <v>465</v>
      </c>
      <c r="C11" s="63" t="s">
        <v>466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3"/>
      <c r="C12" s="63" t="s">
        <v>467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1" t="s">
        <v>468</v>
      </c>
      <c r="C13" s="60" t="s">
        <v>469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3"/>
      <c r="C14" s="63" t="s">
        <v>470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471</v>
      </c>
      <c r="C15" s="63" t="s">
        <v>472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473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474</v>
      </c>
    </row>
    <row r="19" spans="1:15" ht="30.75" customHeight="1" x14ac:dyDescent="0.25">
      <c r="L19" s="75"/>
    </row>
    <row r="20" spans="1:15" ht="15" customHeight="1" outlineLevel="1" x14ac:dyDescent="0.25">
      <c r="G20" s="289" t="s">
        <v>475</v>
      </c>
      <c r="H20" s="289"/>
      <c r="I20" s="289"/>
      <c r="J20" s="289"/>
      <c r="K20" s="289"/>
      <c r="L20" s="289"/>
      <c r="M20" s="289"/>
      <c r="N20" s="289"/>
    </row>
    <row r="21" spans="1:15" ht="15.75" customHeight="1" outlineLevel="1" x14ac:dyDescent="0.25">
      <c r="G21" s="76"/>
      <c r="H21" s="76" t="s">
        <v>476</v>
      </c>
      <c r="I21" s="76" t="s">
        <v>477</v>
      </c>
      <c r="J21" s="76" t="s">
        <v>478</v>
      </c>
      <c r="K21" s="77" t="s">
        <v>479</v>
      </c>
      <c r="L21" s="76" t="s">
        <v>480</v>
      </c>
      <c r="M21" s="76" t="s">
        <v>481</v>
      </c>
      <c r="N21" s="76" t="s">
        <v>482</v>
      </c>
      <c r="O21" s="70"/>
    </row>
    <row r="22" spans="1:15" ht="15.75" customHeight="1" outlineLevel="1" x14ac:dyDescent="0.25">
      <c r="G22" s="308" t="s">
        <v>483</v>
      </c>
      <c r="H22" s="307">
        <v>6.09</v>
      </c>
      <c r="I22" s="309">
        <v>6.44</v>
      </c>
      <c r="J22" s="307">
        <v>5.77</v>
      </c>
      <c r="K22" s="309">
        <v>5.77</v>
      </c>
      <c r="L22" s="307">
        <v>5.23</v>
      </c>
      <c r="M22" s="307">
        <v>5.77</v>
      </c>
      <c r="N22" s="78">
        <v>6.29</v>
      </c>
      <c r="O22" t="s">
        <v>484</v>
      </c>
    </row>
    <row r="23" spans="1:15" ht="15.75" customHeight="1" outlineLevel="1" x14ac:dyDescent="0.25">
      <c r="G23" s="308"/>
      <c r="H23" s="307"/>
      <c r="I23" s="309"/>
      <c r="J23" s="307"/>
      <c r="K23" s="309"/>
      <c r="L23" s="307"/>
      <c r="M23" s="307"/>
      <c r="N23" s="78">
        <v>6.56</v>
      </c>
      <c r="O23" t="s">
        <v>485</v>
      </c>
    </row>
    <row r="24" spans="1:15" ht="15.75" customHeight="1" outlineLevel="1" x14ac:dyDescent="0.25">
      <c r="G24" s="79" t="s">
        <v>486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460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487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488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430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25" t="s">
        <v>489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</row>
    <row r="4" spans="1:18" ht="36.75" customHeight="1" x14ac:dyDescent="0.25">
      <c r="A4" s="291" t="s">
        <v>449</v>
      </c>
      <c r="B4" s="294" t="s">
        <v>450</v>
      </c>
      <c r="C4" s="297" t="s">
        <v>490</v>
      </c>
      <c r="D4" s="297" t="s">
        <v>491</v>
      </c>
      <c r="E4" s="300" t="s">
        <v>492</v>
      </c>
      <c r="F4" s="301"/>
      <c r="G4" s="301"/>
      <c r="H4" s="301"/>
      <c r="I4" s="301"/>
      <c r="J4" s="301"/>
      <c r="K4" s="301"/>
      <c r="L4" s="301"/>
      <c r="M4" s="301"/>
      <c r="N4" s="326" t="s">
        <v>493</v>
      </c>
      <c r="O4" s="327"/>
      <c r="P4" s="327"/>
      <c r="Q4" s="327"/>
      <c r="R4" s="328"/>
    </row>
    <row r="5" spans="1:18" ht="60" customHeight="1" x14ac:dyDescent="0.25">
      <c r="A5" s="292"/>
      <c r="B5" s="295"/>
      <c r="C5" s="298"/>
      <c r="D5" s="298"/>
      <c r="E5" s="305" t="s">
        <v>494</v>
      </c>
      <c r="F5" s="305" t="s">
        <v>495</v>
      </c>
      <c r="G5" s="302" t="s">
        <v>456</v>
      </c>
      <c r="H5" s="303"/>
      <c r="I5" s="303"/>
      <c r="J5" s="304"/>
      <c r="K5" s="305" t="s">
        <v>496</v>
      </c>
      <c r="L5" s="305"/>
      <c r="M5" s="305"/>
      <c r="N5" s="81" t="s">
        <v>497</v>
      </c>
      <c r="O5" s="81" t="s">
        <v>498</v>
      </c>
      <c r="P5" s="81" t="s">
        <v>499</v>
      </c>
      <c r="Q5" s="82" t="s">
        <v>500</v>
      </c>
      <c r="R5" s="81" t="s">
        <v>501</v>
      </c>
    </row>
    <row r="6" spans="1:18" ht="49.5" customHeight="1" x14ac:dyDescent="0.25">
      <c r="A6" s="293"/>
      <c r="B6" s="296"/>
      <c r="C6" s="299"/>
      <c r="D6" s="299"/>
      <c r="E6" s="305"/>
      <c r="F6" s="305"/>
      <c r="G6" s="54" t="s">
        <v>86</v>
      </c>
      <c r="H6" s="54" t="s">
        <v>87</v>
      </c>
      <c r="I6" s="54" t="s">
        <v>43</v>
      </c>
      <c r="J6" s="54" t="s">
        <v>430</v>
      </c>
      <c r="K6" s="54" t="s">
        <v>497</v>
      </c>
      <c r="L6" s="54" t="s">
        <v>498</v>
      </c>
      <c r="M6" s="54" t="s">
        <v>499</v>
      </c>
      <c r="N6" s="54" t="s">
        <v>502</v>
      </c>
      <c r="O6" s="54" t="s">
        <v>503</v>
      </c>
      <c r="P6" s="54" t="s">
        <v>504</v>
      </c>
      <c r="Q6" s="55" t="s">
        <v>505</v>
      </c>
      <c r="R6" s="54" t="s">
        <v>506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1">
        <v>1</v>
      </c>
      <c r="B9" s="291" t="s">
        <v>507</v>
      </c>
      <c r="C9" s="318" t="s">
        <v>463</v>
      </c>
      <c r="D9" s="60" t="s">
        <v>508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3"/>
      <c r="B10" s="292"/>
      <c r="C10" s="319"/>
      <c r="D10" s="60" t="s">
        <v>509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1">
        <v>2</v>
      </c>
      <c r="B11" s="292"/>
      <c r="C11" s="318" t="s">
        <v>510</v>
      </c>
      <c r="D11" s="60" t="s">
        <v>508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3"/>
      <c r="B12" s="293"/>
      <c r="C12" s="319"/>
      <c r="D12" s="60" t="s">
        <v>509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1">
        <v>3</v>
      </c>
      <c r="B13" s="291" t="s">
        <v>465</v>
      </c>
      <c r="C13" s="321" t="s">
        <v>466</v>
      </c>
      <c r="D13" s="60" t="s">
        <v>511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3"/>
      <c r="B14" s="292"/>
      <c r="C14" s="322"/>
      <c r="D14" s="60" t="s">
        <v>509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1">
        <v>4</v>
      </c>
      <c r="B15" s="292"/>
      <c r="C15" s="323" t="s">
        <v>467</v>
      </c>
      <c r="D15" s="63" t="s">
        <v>511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3"/>
      <c r="B16" s="293"/>
      <c r="C16" s="324"/>
      <c r="D16" s="63" t="s">
        <v>509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1">
        <v>5</v>
      </c>
      <c r="B17" s="306" t="s">
        <v>468</v>
      </c>
      <c r="C17" s="318" t="s">
        <v>512</v>
      </c>
      <c r="D17" s="60" t="s">
        <v>513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3"/>
      <c r="B18" s="306"/>
      <c r="C18" s="319"/>
      <c r="D18" s="60" t="s">
        <v>509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1">
        <v>6</v>
      </c>
      <c r="B19" s="306"/>
      <c r="C19" s="318" t="s">
        <v>470</v>
      </c>
      <c r="D19" s="63" t="s">
        <v>511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3"/>
      <c r="B20" s="306"/>
      <c r="C20" s="319"/>
      <c r="D20" s="63" t="s">
        <v>509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1">
        <v>7</v>
      </c>
      <c r="B21" s="291" t="s">
        <v>471</v>
      </c>
      <c r="C21" s="318" t="s">
        <v>472</v>
      </c>
      <c r="D21" s="63" t="s">
        <v>514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3"/>
      <c r="B22" s="293"/>
      <c r="C22" s="319"/>
      <c r="D22" s="86" t="s">
        <v>509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515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0" t="s">
        <v>516</v>
      </c>
      <c r="E26" s="320"/>
      <c r="F26" s="320"/>
      <c r="G26" s="320"/>
      <c r="H26" s="320"/>
      <c r="I26" s="320"/>
      <c r="J26" s="320"/>
      <c r="K26" s="320"/>
      <c r="L26" s="75"/>
      <c r="R26" s="93"/>
    </row>
    <row r="27" spans="1:18" outlineLevel="1" x14ac:dyDescent="0.25">
      <c r="D27" s="94"/>
      <c r="E27" s="94" t="s">
        <v>476</v>
      </c>
      <c r="F27" s="94" t="s">
        <v>477</v>
      </c>
      <c r="G27" s="94" t="s">
        <v>478</v>
      </c>
      <c r="H27" s="95" t="s">
        <v>479</v>
      </c>
      <c r="I27" s="95" t="s">
        <v>480</v>
      </c>
      <c r="J27" s="95" t="s">
        <v>481</v>
      </c>
      <c r="K27" s="66" t="s">
        <v>482</v>
      </c>
    </row>
    <row r="28" spans="1:18" outlineLevel="1" x14ac:dyDescent="0.25">
      <c r="D28" s="314" t="s">
        <v>483</v>
      </c>
      <c r="E28" s="312">
        <v>6.09</v>
      </c>
      <c r="F28" s="316">
        <v>6.63</v>
      </c>
      <c r="G28" s="312">
        <v>5.77</v>
      </c>
      <c r="H28" s="310">
        <v>5.77</v>
      </c>
      <c r="I28" s="310">
        <v>6.35</v>
      </c>
      <c r="J28" s="312">
        <v>5.77</v>
      </c>
      <c r="K28" s="96">
        <v>6.29</v>
      </c>
      <c r="L28" t="s">
        <v>484</v>
      </c>
    </row>
    <row r="29" spans="1:18" outlineLevel="1" x14ac:dyDescent="0.25">
      <c r="D29" s="315"/>
      <c r="E29" s="313"/>
      <c r="F29" s="317"/>
      <c r="G29" s="313"/>
      <c r="H29" s="311"/>
      <c r="I29" s="311"/>
      <c r="J29" s="313"/>
      <c r="K29" s="96">
        <v>6.56</v>
      </c>
      <c r="L29" t="s">
        <v>485</v>
      </c>
    </row>
    <row r="30" spans="1:18" outlineLevel="1" x14ac:dyDescent="0.25">
      <c r="D30" s="97" t="s">
        <v>486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4" t="s">
        <v>460</v>
      </c>
      <c r="E31" s="312">
        <v>11.37</v>
      </c>
      <c r="F31" s="316">
        <v>13.56</v>
      </c>
      <c r="G31" s="312">
        <v>15.91</v>
      </c>
      <c r="H31" s="310">
        <v>15.91</v>
      </c>
      <c r="I31" s="310">
        <v>14.03</v>
      </c>
      <c r="J31" s="312">
        <v>15.91</v>
      </c>
      <c r="K31" s="96">
        <v>8.2899999999999991</v>
      </c>
      <c r="L31" t="s">
        <v>484</v>
      </c>
    </row>
    <row r="32" spans="1:18" outlineLevel="1" x14ac:dyDescent="0.25">
      <c r="D32" s="315"/>
      <c r="E32" s="313"/>
      <c r="F32" s="317"/>
      <c r="G32" s="313"/>
      <c r="H32" s="311"/>
      <c r="I32" s="311"/>
      <c r="J32" s="313"/>
      <c r="K32" s="96">
        <v>11.84</v>
      </c>
      <c r="L32" t="s">
        <v>485</v>
      </c>
    </row>
    <row r="33" spans="4:12" ht="15" customHeight="1" outlineLevel="1" x14ac:dyDescent="0.25">
      <c r="D33" s="98" t="s">
        <v>487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517</v>
      </c>
    </row>
    <row r="34" spans="4:12" outlineLevel="1" x14ac:dyDescent="0.25">
      <c r="D34" s="98" t="s">
        <v>488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517</v>
      </c>
    </row>
    <row r="35" spans="4:12" outlineLevel="1" x14ac:dyDescent="0.25">
      <c r="D35" s="97" t="s">
        <v>430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1" t="s">
        <v>10</v>
      </c>
      <c r="B2" s="231"/>
      <c r="C2" s="231"/>
      <c r="D2" s="23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3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4"/>
    </row>
    <row r="5" spans="1:4" x14ac:dyDescent="0.25">
      <c r="A5" s="5"/>
      <c r="B5" s="1"/>
      <c r="C5" s="1"/>
    </row>
    <row r="6" spans="1:4" x14ac:dyDescent="0.25">
      <c r="A6" s="231" t="s">
        <v>12</v>
      </c>
      <c r="B6" s="231"/>
      <c r="C6" s="231"/>
      <c r="D6" s="23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5793.9595386986002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5336.99964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5793.9595386986002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5" t="s">
        <v>5</v>
      </c>
      <c r="B15" s="236" t="s">
        <v>15</v>
      </c>
      <c r="C15" s="236"/>
      <c r="D15" s="236"/>
    </row>
    <row r="16" spans="1:4" x14ac:dyDescent="0.25">
      <c r="A16" s="235"/>
      <c r="B16" s="235" t="s">
        <v>17</v>
      </c>
      <c r="C16" s="236" t="s">
        <v>28</v>
      </c>
      <c r="D16" s="236"/>
    </row>
    <row r="17" spans="1:4" ht="39" customHeight="1" x14ac:dyDescent="0.25">
      <c r="A17" s="235"/>
      <c r="B17" s="23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5793.9595386986002</v>
      </c>
      <c r="C18" s="3">
        <f>C11</f>
        <v>0</v>
      </c>
      <c r="D18" s="3">
        <f>C12</f>
        <v>5336.99964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7" t="s">
        <v>29</v>
      </c>
      <c r="B2" s="237"/>
      <c r="C2" s="237"/>
      <c r="D2" s="237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0" zoomScale="60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39" t="s">
        <v>45</v>
      </c>
      <c r="C3" s="239"/>
      <c r="D3" s="239"/>
    </row>
    <row r="4" spans="2:4" ht="18.75" customHeight="1" x14ac:dyDescent="0.25">
      <c r="B4" s="240" t="s">
        <v>46</v>
      </c>
      <c r="C4" s="240"/>
      <c r="D4" s="240"/>
    </row>
    <row r="5" spans="2:4" ht="84" customHeight="1" x14ac:dyDescent="0.25">
      <c r="B5" s="241" t="s">
        <v>47</v>
      </c>
      <c r="C5" s="241"/>
      <c r="D5" s="241"/>
    </row>
    <row r="6" spans="2:4" ht="18.75" customHeight="1" x14ac:dyDescent="0.25">
      <c r="B6" s="196"/>
      <c r="C6" s="196"/>
      <c r="D6" s="196"/>
    </row>
    <row r="7" spans="2:4" ht="42" customHeight="1" x14ac:dyDescent="0.25">
      <c r="B7" s="242" t="s">
        <v>48</v>
      </c>
      <c r="C7" s="242"/>
      <c r="D7" s="242"/>
    </row>
    <row r="8" spans="2:4" ht="31.5" customHeight="1" x14ac:dyDescent="0.25">
      <c r="B8" s="242" t="s">
        <v>49</v>
      </c>
      <c r="C8" s="242"/>
      <c r="D8" s="242"/>
    </row>
    <row r="9" spans="2:4" ht="15.75" customHeight="1" x14ac:dyDescent="0.25">
      <c r="B9" s="238" t="s">
        <v>50</v>
      </c>
      <c r="C9" s="238"/>
      <c r="D9" s="238"/>
    </row>
    <row r="10" spans="2:4" ht="18.75" customHeight="1" x14ac:dyDescent="0.25">
      <c r="B10" s="116"/>
    </row>
    <row r="11" spans="2:4" ht="15.75" customHeight="1" x14ac:dyDescent="0.25">
      <c r="B11" s="117" t="s">
        <v>33</v>
      </c>
      <c r="C11" s="117" t="s">
        <v>51</v>
      </c>
      <c r="D11" s="117" t="s">
        <v>52</v>
      </c>
    </row>
    <row r="12" spans="2:4" ht="41.25" customHeight="1" x14ac:dyDescent="0.25">
      <c r="B12" s="117">
        <v>1</v>
      </c>
      <c r="C12" s="118" t="s">
        <v>53</v>
      </c>
      <c r="D12" s="117" t="s">
        <v>54</v>
      </c>
    </row>
    <row r="13" spans="2:4" ht="31.5" customHeight="1" x14ac:dyDescent="0.25">
      <c r="B13" s="117">
        <v>2</v>
      </c>
      <c r="C13" s="118" t="s">
        <v>55</v>
      </c>
      <c r="D13" s="117" t="s">
        <v>56</v>
      </c>
    </row>
    <row r="14" spans="2:4" ht="15.75" customHeight="1" x14ac:dyDescent="0.25">
      <c r="B14" s="117">
        <v>3</v>
      </c>
      <c r="C14" s="118" t="s">
        <v>57</v>
      </c>
      <c r="D14" s="117" t="s">
        <v>58</v>
      </c>
    </row>
    <row r="15" spans="2:4" ht="15.75" customHeight="1" x14ac:dyDescent="0.25">
      <c r="B15" s="117">
        <v>4</v>
      </c>
      <c r="C15" s="118" t="s">
        <v>59</v>
      </c>
      <c r="D15" s="117">
        <v>7</v>
      </c>
    </row>
    <row r="16" spans="2:4" ht="107.25" customHeight="1" x14ac:dyDescent="0.25">
      <c r="B16" s="117">
        <v>5</v>
      </c>
      <c r="C16" s="119" t="s">
        <v>60</v>
      </c>
      <c r="D16" s="117" t="s">
        <v>61</v>
      </c>
    </row>
    <row r="17" spans="2:4" ht="95.25" customHeight="1" x14ac:dyDescent="0.25">
      <c r="B17" s="117">
        <v>6</v>
      </c>
      <c r="C17" s="119" t="s">
        <v>62</v>
      </c>
      <c r="D17" s="215">
        <f>SUM(D18:D21)</f>
        <v>12384.01491595</v>
      </c>
    </row>
    <row r="18" spans="2:4" ht="15.75" customHeight="1" x14ac:dyDescent="0.25">
      <c r="B18" s="120" t="s">
        <v>63</v>
      </c>
      <c r="C18" s="118" t="s">
        <v>64</v>
      </c>
      <c r="D18" s="215">
        <v>65.05</v>
      </c>
    </row>
    <row r="19" spans="2:4" ht="15.75" customHeight="1" x14ac:dyDescent="0.25">
      <c r="B19" s="120" t="s">
        <v>65</v>
      </c>
      <c r="C19" s="118" t="s">
        <v>66</v>
      </c>
      <c r="D19" s="215">
        <v>11661.94</v>
      </c>
    </row>
    <row r="20" spans="2:4" ht="15.75" customHeight="1" x14ac:dyDescent="0.25">
      <c r="B20" s="120" t="s">
        <v>67</v>
      </c>
      <c r="C20" s="118" t="s">
        <v>68</v>
      </c>
      <c r="D20" s="215">
        <f>D19*0.8*7%</f>
        <v>653.06863999999996</v>
      </c>
    </row>
    <row r="21" spans="2:4" ht="31.5" customHeight="1" x14ac:dyDescent="0.25">
      <c r="B21" s="120" t="s">
        <v>69</v>
      </c>
      <c r="C21" s="118" t="s">
        <v>70</v>
      </c>
      <c r="D21" s="215">
        <f>D18*3.9%+(D18+D18*3.9%)*2.1%</f>
        <v>3.9562759500000002</v>
      </c>
    </row>
    <row r="22" spans="2:4" ht="15.75" customHeight="1" x14ac:dyDescent="0.25">
      <c r="B22" s="117">
        <v>7</v>
      </c>
      <c r="C22" s="118" t="s">
        <v>71</v>
      </c>
      <c r="D22" s="120" t="s">
        <v>72</v>
      </c>
    </row>
    <row r="23" spans="2:4" ht="110.25" customHeight="1" x14ac:dyDescent="0.25">
      <c r="B23" s="117">
        <v>8</v>
      </c>
      <c r="C23" s="119" t="s">
        <v>73</v>
      </c>
      <c r="D23" s="215">
        <f>D17</f>
        <v>12384.01491595</v>
      </c>
    </row>
    <row r="24" spans="2:4" ht="61.5" customHeight="1" x14ac:dyDescent="0.25">
      <c r="B24" s="117">
        <v>9</v>
      </c>
      <c r="C24" s="119" t="s">
        <v>74</v>
      </c>
      <c r="D24" s="215">
        <f>D23/7</f>
        <v>1769.1449879929</v>
      </c>
    </row>
    <row r="25" spans="2:4" ht="37.5" customHeight="1" x14ac:dyDescent="0.25">
      <c r="B25" s="121"/>
      <c r="C25" s="122"/>
      <c r="D25" s="122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2"/>
      <c r="C31" s="122"/>
      <c r="D31" s="122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78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39" t="s">
        <v>79</v>
      </c>
      <c r="C3" s="239"/>
      <c r="D3" s="239"/>
      <c r="E3" s="239"/>
      <c r="F3" s="239"/>
      <c r="G3" s="239"/>
      <c r="H3" s="239"/>
      <c r="I3" s="239"/>
      <c r="J3" s="239"/>
      <c r="K3" s="239"/>
    </row>
    <row r="4" spans="2:11" ht="15.75" customHeight="1" x14ac:dyDescent="0.25">
      <c r="B4" s="245" t="s">
        <v>80</v>
      </c>
      <c r="C4" s="245"/>
      <c r="D4" s="245"/>
      <c r="E4" s="245"/>
      <c r="F4" s="245"/>
      <c r="G4" s="245"/>
      <c r="H4" s="245"/>
      <c r="I4" s="245"/>
      <c r="J4" s="245"/>
      <c r="K4" s="245"/>
    </row>
    <row r="5" spans="2:11" ht="15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1" ht="15.75" customHeight="1" x14ac:dyDescent="0.25">
      <c r="B6" s="238" t="s">
        <v>48</v>
      </c>
      <c r="C6" s="238"/>
      <c r="D6" s="238"/>
      <c r="E6" s="238"/>
      <c r="F6" s="238"/>
      <c r="G6" s="238"/>
      <c r="H6" s="238"/>
      <c r="I6" s="238"/>
      <c r="J6" s="238"/>
      <c r="K6" s="238"/>
    </row>
    <row r="7" spans="2:11" ht="15.75" customHeight="1" x14ac:dyDescent="0.25">
      <c r="B7" s="238" t="s">
        <v>50</v>
      </c>
      <c r="C7" s="238"/>
      <c r="D7" s="238"/>
      <c r="E7" s="238"/>
      <c r="F7" s="238"/>
      <c r="G7" s="238"/>
      <c r="H7" s="238"/>
      <c r="I7" s="238"/>
      <c r="J7" s="238"/>
      <c r="K7" s="238"/>
    </row>
    <row r="8" spans="2:11" ht="18.75" customHeight="1" x14ac:dyDescent="0.25">
      <c r="B8" s="116"/>
    </row>
    <row r="9" spans="2:11" ht="15.75" customHeight="1" x14ac:dyDescent="0.25">
      <c r="B9" s="246" t="s">
        <v>33</v>
      </c>
      <c r="C9" s="246" t="s">
        <v>81</v>
      </c>
      <c r="D9" s="246" t="s">
        <v>82</v>
      </c>
      <c r="E9" s="246"/>
      <c r="F9" s="246"/>
      <c r="G9" s="246"/>
      <c r="H9" s="246"/>
      <c r="I9" s="246"/>
      <c r="J9" s="246"/>
    </row>
    <row r="10" spans="2:11" ht="15.75" customHeight="1" x14ac:dyDescent="0.25">
      <c r="B10" s="246"/>
      <c r="C10" s="246"/>
      <c r="D10" s="246" t="s">
        <v>83</v>
      </c>
      <c r="E10" s="246" t="s">
        <v>84</v>
      </c>
      <c r="F10" s="246" t="s">
        <v>85</v>
      </c>
      <c r="G10" s="246"/>
      <c r="H10" s="246"/>
      <c r="I10" s="246"/>
      <c r="J10" s="246"/>
    </row>
    <row r="11" spans="2:11" ht="31.5" customHeight="1" x14ac:dyDescent="0.25">
      <c r="B11" s="247"/>
      <c r="C11" s="247"/>
      <c r="D11" s="247"/>
      <c r="E11" s="247"/>
      <c r="F11" s="223" t="s">
        <v>86</v>
      </c>
      <c r="G11" s="223" t="s">
        <v>87</v>
      </c>
      <c r="H11" s="223" t="s">
        <v>43</v>
      </c>
      <c r="I11" s="223" t="s">
        <v>88</v>
      </c>
      <c r="J11" s="223" t="s">
        <v>89</v>
      </c>
    </row>
    <row r="12" spans="2:11" ht="63" customHeight="1" x14ac:dyDescent="0.25">
      <c r="B12" s="224">
        <v>1</v>
      </c>
      <c r="C12" s="117" t="s">
        <v>61</v>
      </c>
      <c r="D12" s="225" t="s">
        <v>90</v>
      </c>
      <c r="E12" s="226" t="s">
        <v>91</v>
      </c>
      <c r="F12" s="227"/>
      <c r="G12" s="227">
        <f>8526.07*7.63/1000</f>
        <v>65.0539141</v>
      </c>
      <c r="H12" s="227">
        <f>(1986785.35+737967.42)*4.28/1000</f>
        <v>11661.9418556</v>
      </c>
      <c r="I12" s="227"/>
      <c r="J12" s="227">
        <f>SUM(F12:I12)</f>
        <v>11726.995769700001</v>
      </c>
    </row>
    <row r="13" spans="2:11" ht="15.75" customHeight="1" x14ac:dyDescent="0.25">
      <c r="B13" s="243" t="s">
        <v>92</v>
      </c>
      <c r="C13" s="243"/>
      <c r="D13" s="243"/>
      <c r="E13" s="243"/>
      <c r="F13" s="228"/>
      <c r="G13" s="228">
        <f>G12</f>
        <v>65.0539141</v>
      </c>
      <c r="H13" s="228">
        <f>H12</f>
        <v>11661.9418556</v>
      </c>
      <c r="I13" s="229"/>
      <c r="J13" s="228">
        <f>J12</f>
        <v>11726.995769700001</v>
      </c>
    </row>
    <row r="14" spans="2:11" ht="15.75" customHeight="1" x14ac:dyDescent="0.25">
      <c r="B14" s="244" t="s">
        <v>93</v>
      </c>
      <c r="C14" s="244"/>
      <c r="D14" s="244"/>
      <c r="E14" s="244"/>
      <c r="F14" s="230"/>
      <c r="G14" s="230">
        <f>G13</f>
        <v>65.0539141</v>
      </c>
      <c r="H14" s="230">
        <f>H13</f>
        <v>11661.9418556</v>
      </c>
      <c r="I14" s="135"/>
      <c r="J14" s="228">
        <f>J13</f>
        <v>11726.995769700001</v>
      </c>
    </row>
    <row r="15" spans="2:11" ht="18.75" customHeight="1" x14ac:dyDescent="0.25">
      <c r="B15" s="116"/>
    </row>
    <row r="18" spans="2:3" x14ac:dyDescent="0.25">
      <c r="B18" s="4" t="s">
        <v>75</v>
      </c>
      <c r="C18" s="12"/>
    </row>
    <row r="19" spans="2:3" x14ac:dyDescent="0.25">
      <c r="B19" s="33" t="s">
        <v>76</v>
      </c>
      <c r="C19" s="12"/>
    </row>
    <row r="20" spans="2:3" x14ac:dyDescent="0.25">
      <c r="B20" s="4"/>
      <c r="C20" s="12"/>
    </row>
    <row r="21" spans="2:3" x14ac:dyDescent="0.25">
      <c r="B21" s="4" t="s">
        <v>77</v>
      </c>
      <c r="C21" s="12"/>
    </row>
    <row r="22" spans="2:3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94"/>
  <sheetViews>
    <sheetView view="pageBreakPreview" topLeftCell="A70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2" customWidth="1"/>
    <col min="9" max="9" width="10.140625" customWidth="1"/>
  </cols>
  <sheetData>
    <row r="2" spans="1:12" ht="15.75" customHeight="1" x14ac:dyDescent="0.25">
      <c r="A2" s="239" t="s">
        <v>94</v>
      </c>
      <c r="B2" s="239"/>
      <c r="C2" s="239"/>
      <c r="D2" s="239"/>
      <c r="E2" s="239"/>
      <c r="F2" s="239"/>
      <c r="G2" s="239"/>
      <c r="H2" s="239"/>
      <c r="I2" s="121"/>
    </row>
    <row r="3" spans="1:12" ht="18.75" customHeight="1" x14ac:dyDescent="0.25">
      <c r="A3" s="240" t="s">
        <v>95</v>
      </c>
      <c r="B3" s="240"/>
      <c r="C3" s="240"/>
      <c r="D3" s="240"/>
      <c r="E3" s="240"/>
      <c r="F3" s="240"/>
      <c r="G3" s="240"/>
      <c r="H3" s="240"/>
      <c r="I3" s="240"/>
    </row>
    <row r="4" spans="1:12" x14ac:dyDescent="0.25">
      <c r="A4" s="203"/>
      <c r="B4" s="204"/>
      <c r="C4" s="257"/>
      <c r="D4" s="257"/>
      <c r="E4" s="257"/>
      <c r="F4" s="257"/>
      <c r="G4" s="257"/>
      <c r="H4" s="257"/>
    </row>
    <row r="5" spans="1:12" ht="15.75" customHeight="1" x14ac:dyDescent="0.25">
      <c r="A5" s="203"/>
      <c r="B5" s="203"/>
      <c r="C5" s="205"/>
      <c r="D5" s="205"/>
      <c r="E5" s="205"/>
      <c r="F5" s="205"/>
      <c r="G5" s="205"/>
      <c r="H5" s="206"/>
    </row>
    <row r="6" spans="1:12" ht="15" customHeight="1" x14ac:dyDescent="0.25">
      <c r="A6" s="258" t="s">
        <v>48</v>
      </c>
      <c r="B6" s="258"/>
      <c r="C6" s="258"/>
      <c r="D6" s="258"/>
      <c r="E6" s="258"/>
      <c r="F6" s="258"/>
      <c r="G6" s="258"/>
      <c r="H6" s="258"/>
    </row>
    <row r="7" spans="1:12" ht="14.25" customHeight="1" x14ac:dyDescent="0.25">
      <c r="A7" s="258"/>
      <c r="B7" s="258"/>
      <c r="C7" s="258"/>
      <c r="D7" s="258"/>
      <c r="E7" s="258"/>
      <c r="F7" s="258"/>
      <c r="G7" s="258"/>
      <c r="H7" s="258"/>
    </row>
    <row r="8" spans="1:12" ht="15.75" customHeight="1" x14ac:dyDescent="0.25">
      <c r="A8" s="203"/>
      <c r="B8" s="203"/>
      <c r="C8" s="207"/>
      <c r="D8" s="208"/>
      <c r="E8" s="209"/>
      <c r="F8" s="210"/>
      <c r="G8" s="211"/>
      <c r="H8" s="212"/>
    </row>
    <row r="9" spans="1:12" ht="38.25" customHeight="1" x14ac:dyDescent="0.25">
      <c r="A9" s="255" t="s">
        <v>96</v>
      </c>
      <c r="B9" s="255" t="s">
        <v>97</v>
      </c>
      <c r="C9" s="255" t="s">
        <v>98</v>
      </c>
      <c r="D9" s="255" t="s">
        <v>99</v>
      </c>
      <c r="E9" s="255" t="s">
        <v>100</v>
      </c>
      <c r="F9" s="255" t="s">
        <v>101</v>
      </c>
      <c r="G9" s="255" t="s">
        <v>102</v>
      </c>
      <c r="H9" s="255"/>
    </row>
    <row r="10" spans="1:12" ht="40.5" customHeight="1" x14ac:dyDescent="0.25">
      <c r="A10" s="255"/>
      <c r="B10" s="255"/>
      <c r="C10" s="255"/>
      <c r="D10" s="255"/>
      <c r="E10" s="255"/>
      <c r="F10" s="255"/>
      <c r="G10" s="197" t="s">
        <v>103</v>
      </c>
      <c r="H10" s="197" t="s">
        <v>104</v>
      </c>
    </row>
    <row r="11" spans="1:12" ht="15.75" customHeight="1" x14ac:dyDescent="0.25">
      <c r="A11" s="197">
        <v>1</v>
      </c>
      <c r="B11" s="213"/>
      <c r="C11" s="197">
        <v>2</v>
      </c>
      <c r="D11" s="197" t="s">
        <v>105</v>
      </c>
      <c r="E11" s="197">
        <v>4</v>
      </c>
      <c r="F11" s="197">
        <v>5</v>
      </c>
      <c r="G11" s="213">
        <v>6</v>
      </c>
      <c r="H11" s="213">
        <v>7</v>
      </c>
    </row>
    <row r="12" spans="1:12" ht="15" customHeight="1" x14ac:dyDescent="0.25">
      <c r="A12" s="256" t="s">
        <v>106</v>
      </c>
      <c r="B12" s="250"/>
      <c r="C12" s="250"/>
      <c r="D12" s="251"/>
      <c r="E12" s="216"/>
      <c r="F12" s="173">
        <f>SUM(F13:F18)</f>
        <v>4136.7604000000001</v>
      </c>
      <c r="G12" s="216"/>
      <c r="H12" s="174">
        <f>SUM(H13:H18)</f>
        <v>52197.46</v>
      </c>
    </row>
    <row r="13" spans="1:12" x14ac:dyDescent="0.25">
      <c r="A13" s="170" t="s">
        <v>107</v>
      </c>
      <c r="B13" s="170"/>
      <c r="C13" s="170" t="s">
        <v>108</v>
      </c>
      <c r="D13" s="8" t="s">
        <v>109</v>
      </c>
      <c r="E13" s="7" t="s">
        <v>110</v>
      </c>
      <c r="F13" s="145">
        <v>1205.5</v>
      </c>
      <c r="G13" s="217">
        <v>15.49</v>
      </c>
      <c r="H13" s="32">
        <f t="shared" ref="H13:H18" si="0">ROUND(F13*G13,2)</f>
        <v>18673.2</v>
      </c>
      <c r="J13" s="147"/>
      <c r="K13" s="146"/>
      <c r="L13" s="146"/>
    </row>
    <row r="14" spans="1:12" x14ac:dyDescent="0.25">
      <c r="A14" s="170" t="s">
        <v>111</v>
      </c>
      <c r="B14" s="170"/>
      <c r="C14" s="170" t="s">
        <v>112</v>
      </c>
      <c r="D14" s="8" t="s">
        <v>113</v>
      </c>
      <c r="E14" s="7" t="s">
        <v>110</v>
      </c>
      <c r="F14" s="145">
        <v>1205.5</v>
      </c>
      <c r="G14" s="217">
        <v>14.09</v>
      </c>
      <c r="H14" s="32">
        <f t="shared" si="0"/>
        <v>16985.5</v>
      </c>
      <c r="J14" s="147"/>
      <c r="K14" s="146"/>
      <c r="L14" s="146"/>
    </row>
    <row r="15" spans="1:12" x14ac:dyDescent="0.25">
      <c r="A15" s="170" t="s">
        <v>114</v>
      </c>
      <c r="B15" s="170"/>
      <c r="C15" s="170" t="s">
        <v>115</v>
      </c>
      <c r="D15" s="8" t="s">
        <v>116</v>
      </c>
      <c r="E15" s="7" t="s">
        <v>110</v>
      </c>
      <c r="F15" s="2">
        <v>1439.8871999999999</v>
      </c>
      <c r="G15" s="32">
        <v>9.6199999999999992</v>
      </c>
      <c r="H15" s="32">
        <f t="shared" si="0"/>
        <v>13851.71</v>
      </c>
      <c r="J15" s="147"/>
      <c r="K15" s="146"/>
      <c r="L15" s="146"/>
    </row>
    <row r="16" spans="1:12" x14ac:dyDescent="0.25">
      <c r="A16" s="170" t="s">
        <v>117</v>
      </c>
      <c r="B16" s="170"/>
      <c r="C16" s="170" t="s">
        <v>118</v>
      </c>
      <c r="D16" s="8" t="s">
        <v>119</v>
      </c>
      <c r="E16" s="7" t="s">
        <v>110</v>
      </c>
      <c r="F16" s="2">
        <v>189.32669999999999</v>
      </c>
      <c r="G16" s="32">
        <v>9.4</v>
      </c>
      <c r="H16" s="32">
        <f t="shared" si="0"/>
        <v>1779.67</v>
      </c>
      <c r="J16" s="147"/>
      <c r="K16" s="146"/>
      <c r="L16" s="146"/>
    </row>
    <row r="17" spans="1:12" x14ac:dyDescent="0.25">
      <c r="A17" s="170" t="s">
        <v>120</v>
      </c>
      <c r="B17" s="170"/>
      <c r="C17" s="170" t="s">
        <v>121</v>
      </c>
      <c r="D17" s="8" t="s">
        <v>122</v>
      </c>
      <c r="E17" s="7" t="s">
        <v>123</v>
      </c>
      <c r="F17" s="2">
        <v>82.557699999999997</v>
      </c>
      <c r="G17" s="32">
        <v>9.51</v>
      </c>
      <c r="H17" s="32">
        <f t="shared" si="0"/>
        <v>785.12</v>
      </c>
      <c r="J17" s="147"/>
      <c r="K17" s="146"/>
      <c r="L17" s="146"/>
    </row>
    <row r="18" spans="1:12" x14ac:dyDescent="0.25">
      <c r="A18" s="170" t="s">
        <v>124</v>
      </c>
      <c r="B18" s="170"/>
      <c r="C18" s="170" t="s">
        <v>125</v>
      </c>
      <c r="D18" s="8" t="s">
        <v>126</v>
      </c>
      <c r="E18" s="7" t="s">
        <v>110</v>
      </c>
      <c r="F18" s="2">
        <v>13.988799999999999</v>
      </c>
      <c r="G18" s="32">
        <v>8.74</v>
      </c>
      <c r="H18" s="32">
        <f t="shared" si="0"/>
        <v>122.26</v>
      </c>
      <c r="J18" s="147"/>
      <c r="K18" s="146"/>
      <c r="L18" s="146"/>
    </row>
    <row r="19" spans="1:12" x14ac:dyDescent="0.25">
      <c r="A19" s="248" t="s">
        <v>127</v>
      </c>
      <c r="B19" s="249"/>
      <c r="C19" s="250"/>
      <c r="D19" s="251"/>
      <c r="E19" s="2"/>
      <c r="F19" s="170"/>
      <c r="G19" s="47"/>
      <c r="H19" s="175">
        <f>H20</f>
        <v>7524.68</v>
      </c>
      <c r="L19" s="146"/>
    </row>
    <row r="20" spans="1:12" x14ac:dyDescent="0.25">
      <c r="A20" s="170">
        <f>A18+1</f>
        <v>7</v>
      </c>
      <c r="B20" s="172"/>
      <c r="C20" s="170">
        <v>2</v>
      </c>
      <c r="D20" s="8" t="s">
        <v>127</v>
      </c>
      <c r="E20" s="2" t="s">
        <v>110</v>
      </c>
      <c r="F20" s="145">
        <v>599.57640000000004</v>
      </c>
      <c r="G20" s="47"/>
      <c r="H20" s="32">
        <v>7524.68</v>
      </c>
      <c r="I20" s="148"/>
    </row>
    <row r="21" spans="1:12" ht="15" customHeight="1" x14ac:dyDescent="0.25">
      <c r="A21" s="252" t="s">
        <v>128</v>
      </c>
      <c r="B21" s="252"/>
      <c r="C21" s="252"/>
      <c r="D21" s="252"/>
      <c r="E21" s="216"/>
      <c r="F21" s="216"/>
      <c r="G21" s="216"/>
      <c r="H21" s="176">
        <f>SUM(H22:H34)</f>
        <v>78253.100000000006</v>
      </c>
      <c r="K21" s="146"/>
    </row>
    <row r="22" spans="1:12" ht="25.5" customHeight="1" x14ac:dyDescent="0.25">
      <c r="A22" s="2">
        <f>A20+1</f>
        <v>8</v>
      </c>
      <c r="B22" s="170"/>
      <c r="C22" s="170" t="s">
        <v>129</v>
      </c>
      <c r="D22" s="8" t="s">
        <v>130</v>
      </c>
      <c r="E22" s="2" t="s">
        <v>131</v>
      </c>
      <c r="F22" s="2">
        <v>336</v>
      </c>
      <c r="G22" s="103">
        <v>110.86</v>
      </c>
      <c r="H22" s="32">
        <f t="shared" ref="H22:H34" si="1">ROUND(F22*G22,2)</f>
        <v>37248.959999999999</v>
      </c>
      <c r="I22" s="148"/>
    </row>
    <row r="23" spans="1:12" x14ac:dyDescent="0.25">
      <c r="A23" s="2">
        <f t="shared" ref="A23:A34" si="2">A22+1</f>
        <v>9</v>
      </c>
      <c r="B23" s="170"/>
      <c r="C23" s="170" t="s">
        <v>132</v>
      </c>
      <c r="D23" s="8" t="s">
        <v>133</v>
      </c>
      <c r="E23" s="2" t="s">
        <v>131</v>
      </c>
      <c r="F23" s="2">
        <v>80.430000000000007</v>
      </c>
      <c r="G23" s="103">
        <v>287.99</v>
      </c>
      <c r="H23" s="32">
        <f t="shared" si="1"/>
        <v>23163.040000000001</v>
      </c>
      <c r="I23" s="148"/>
    </row>
    <row r="24" spans="1:12" ht="25.5" customHeight="1" x14ac:dyDescent="0.25">
      <c r="A24" s="2">
        <f t="shared" si="2"/>
        <v>10</v>
      </c>
      <c r="B24" s="170"/>
      <c r="C24" s="170" t="s">
        <v>134</v>
      </c>
      <c r="D24" s="8" t="s">
        <v>135</v>
      </c>
      <c r="E24" s="2" t="s">
        <v>131</v>
      </c>
      <c r="F24" s="2">
        <v>80.430000000000007</v>
      </c>
      <c r="G24" s="103">
        <v>131.44</v>
      </c>
      <c r="H24" s="32">
        <f t="shared" si="1"/>
        <v>10571.72</v>
      </c>
      <c r="I24" s="148"/>
    </row>
    <row r="25" spans="1:12" ht="25.5" customHeight="1" x14ac:dyDescent="0.25">
      <c r="A25" s="2">
        <f t="shared" si="2"/>
        <v>11</v>
      </c>
      <c r="B25" s="170"/>
      <c r="C25" s="170" t="s">
        <v>136</v>
      </c>
      <c r="D25" s="8" t="s">
        <v>137</v>
      </c>
      <c r="E25" s="2" t="s">
        <v>131</v>
      </c>
      <c r="F25" s="2">
        <v>37.700000000000003</v>
      </c>
      <c r="G25" s="103">
        <v>111.99</v>
      </c>
      <c r="H25" s="32">
        <f t="shared" si="1"/>
        <v>4222.0200000000004</v>
      </c>
      <c r="I25" s="148"/>
    </row>
    <row r="26" spans="1:12" x14ac:dyDescent="0.25">
      <c r="A26" s="2">
        <f t="shared" si="2"/>
        <v>12</v>
      </c>
      <c r="B26" s="170"/>
      <c r="C26" s="170" t="s">
        <v>138</v>
      </c>
      <c r="D26" s="8" t="s">
        <v>139</v>
      </c>
      <c r="E26" s="2" t="s">
        <v>131</v>
      </c>
      <c r="F26" s="2">
        <v>24.47</v>
      </c>
      <c r="G26" s="103">
        <v>65.709999999999994</v>
      </c>
      <c r="H26" s="32">
        <f t="shared" si="1"/>
        <v>1607.92</v>
      </c>
      <c r="I26" s="148"/>
    </row>
    <row r="27" spans="1:12" x14ac:dyDescent="0.25">
      <c r="A27" s="2">
        <f t="shared" si="2"/>
        <v>13</v>
      </c>
      <c r="B27" s="170"/>
      <c r="C27" s="170" t="s">
        <v>140</v>
      </c>
      <c r="D27" s="8" t="s">
        <v>141</v>
      </c>
      <c r="E27" s="2" t="s">
        <v>131</v>
      </c>
      <c r="F27" s="2">
        <v>27.21</v>
      </c>
      <c r="G27" s="103">
        <v>29.6</v>
      </c>
      <c r="H27" s="32">
        <f t="shared" si="1"/>
        <v>805.42</v>
      </c>
      <c r="I27" s="148"/>
    </row>
    <row r="28" spans="1:12" ht="25.5" customHeight="1" x14ac:dyDescent="0.25">
      <c r="A28" s="2">
        <f t="shared" si="2"/>
        <v>14</v>
      </c>
      <c r="B28" s="170"/>
      <c r="C28" s="170" t="s">
        <v>142</v>
      </c>
      <c r="D28" s="8" t="s">
        <v>143</v>
      </c>
      <c r="E28" s="2" t="s">
        <v>131</v>
      </c>
      <c r="F28" s="2">
        <v>44.94</v>
      </c>
      <c r="G28" s="103">
        <v>8.1</v>
      </c>
      <c r="H28" s="32">
        <f t="shared" si="1"/>
        <v>364.01</v>
      </c>
      <c r="I28" s="148"/>
    </row>
    <row r="29" spans="1:12" x14ac:dyDescent="0.25">
      <c r="A29" s="2">
        <f t="shared" si="2"/>
        <v>15</v>
      </c>
      <c r="B29" s="170"/>
      <c r="C29" s="170" t="s">
        <v>144</v>
      </c>
      <c r="D29" s="8" t="s">
        <v>145</v>
      </c>
      <c r="E29" s="2" t="s">
        <v>131</v>
      </c>
      <c r="F29" s="2">
        <v>160.86000000000001</v>
      </c>
      <c r="G29" s="103">
        <v>0.9</v>
      </c>
      <c r="H29" s="32">
        <f t="shared" si="1"/>
        <v>144.77000000000001</v>
      </c>
      <c r="I29" s="148"/>
    </row>
    <row r="30" spans="1:12" x14ac:dyDescent="0.25">
      <c r="A30" s="2">
        <f t="shared" si="2"/>
        <v>16</v>
      </c>
      <c r="B30" s="170"/>
      <c r="C30" s="170" t="s">
        <v>146</v>
      </c>
      <c r="D30" s="8" t="s">
        <v>147</v>
      </c>
      <c r="E30" s="2" t="s">
        <v>131</v>
      </c>
      <c r="F30" s="2">
        <v>0.81</v>
      </c>
      <c r="G30" s="103">
        <v>70</v>
      </c>
      <c r="H30" s="32">
        <f t="shared" si="1"/>
        <v>56.7</v>
      </c>
      <c r="I30" s="148"/>
    </row>
    <row r="31" spans="1:12" x14ac:dyDescent="0.25">
      <c r="A31" s="2">
        <f t="shared" si="2"/>
        <v>17</v>
      </c>
      <c r="B31" s="170"/>
      <c r="C31" s="170" t="s">
        <v>148</v>
      </c>
      <c r="D31" s="8" t="s">
        <v>149</v>
      </c>
      <c r="E31" s="2" t="s">
        <v>131</v>
      </c>
      <c r="F31" s="2">
        <v>0.81</v>
      </c>
      <c r="G31" s="103">
        <v>56.24</v>
      </c>
      <c r="H31" s="32">
        <f t="shared" si="1"/>
        <v>45.55</v>
      </c>
      <c r="I31" s="148"/>
    </row>
    <row r="32" spans="1:12" x14ac:dyDescent="0.25">
      <c r="A32" s="2">
        <f t="shared" si="2"/>
        <v>18</v>
      </c>
      <c r="B32" s="170"/>
      <c r="C32" s="170" t="s">
        <v>150</v>
      </c>
      <c r="D32" s="8" t="s">
        <v>151</v>
      </c>
      <c r="E32" s="2" t="s">
        <v>131</v>
      </c>
      <c r="F32" s="2">
        <v>0.81</v>
      </c>
      <c r="G32" s="103">
        <v>16.920000000000002</v>
      </c>
      <c r="H32" s="32">
        <f t="shared" si="1"/>
        <v>13.71</v>
      </c>
      <c r="I32" s="148"/>
    </row>
    <row r="33" spans="1:9" ht="25.5" customHeight="1" x14ac:dyDescent="0.25">
      <c r="A33" s="2">
        <f t="shared" si="2"/>
        <v>19</v>
      </c>
      <c r="B33" s="170"/>
      <c r="C33" s="170" t="s">
        <v>152</v>
      </c>
      <c r="D33" s="8" t="s">
        <v>153</v>
      </c>
      <c r="E33" s="2" t="s">
        <v>131</v>
      </c>
      <c r="F33" s="2">
        <v>1.08</v>
      </c>
      <c r="G33" s="103">
        <v>6.82</v>
      </c>
      <c r="H33" s="32">
        <f t="shared" si="1"/>
        <v>7.37</v>
      </c>
      <c r="I33" s="148"/>
    </row>
    <row r="34" spans="1:9" x14ac:dyDescent="0.25">
      <c r="A34" s="2">
        <f t="shared" si="2"/>
        <v>20</v>
      </c>
      <c r="B34" s="170"/>
      <c r="C34" s="170" t="s">
        <v>154</v>
      </c>
      <c r="D34" s="8" t="s">
        <v>155</v>
      </c>
      <c r="E34" s="2" t="s">
        <v>131</v>
      </c>
      <c r="F34" s="2">
        <v>0.81</v>
      </c>
      <c r="G34" s="103">
        <v>2.36</v>
      </c>
      <c r="H34" s="32">
        <f t="shared" si="1"/>
        <v>1.91</v>
      </c>
      <c r="I34" s="148"/>
    </row>
    <row r="35" spans="1:9" ht="15" customHeight="1" x14ac:dyDescent="0.25">
      <c r="A35" s="252" t="s">
        <v>43</v>
      </c>
      <c r="B35" s="252"/>
      <c r="C35" s="252"/>
      <c r="D35" s="252"/>
      <c r="E35" s="149"/>
      <c r="F35" s="150"/>
      <c r="G35" s="47"/>
      <c r="H35" s="177">
        <f>SUM(H36:H39)</f>
        <v>2535362.34</v>
      </c>
      <c r="I35" s="148"/>
    </row>
    <row r="36" spans="1:9" ht="15" customHeight="1" x14ac:dyDescent="0.25">
      <c r="A36" s="2">
        <f>A34+1</f>
        <v>21</v>
      </c>
      <c r="B36" s="214"/>
      <c r="C36" s="170" t="s">
        <v>156</v>
      </c>
      <c r="D36" s="8" t="s">
        <v>157</v>
      </c>
      <c r="E36" s="2" t="s">
        <v>158</v>
      </c>
      <c r="F36" s="2" t="s">
        <v>159</v>
      </c>
      <c r="G36" s="103">
        <v>117574.26</v>
      </c>
      <c r="H36" s="32">
        <f>ROUND(F36*G36,2)</f>
        <v>2469059.46</v>
      </c>
      <c r="I36" s="148"/>
    </row>
    <row r="37" spans="1:9" x14ac:dyDescent="0.25">
      <c r="A37" s="2">
        <v>22</v>
      </c>
      <c r="B37" s="170"/>
      <c r="C37" s="194" t="s">
        <v>156</v>
      </c>
      <c r="D37" s="195" t="s">
        <v>160</v>
      </c>
      <c r="E37" s="2" t="s">
        <v>158</v>
      </c>
      <c r="F37" s="2">
        <v>7</v>
      </c>
      <c r="G37" s="103">
        <v>6790.9</v>
      </c>
      <c r="H37" s="32">
        <f>ROUND(F37*G37,2)</f>
        <v>47536.3</v>
      </c>
      <c r="I37" s="148"/>
    </row>
    <row r="38" spans="1:9" ht="25.5" customHeight="1" x14ac:dyDescent="0.25">
      <c r="A38" s="198">
        <f>A37+1</f>
        <v>23</v>
      </c>
      <c r="B38" s="199"/>
      <c r="C38" s="194" t="s">
        <v>156</v>
      </c>
      <c r="D38" s="195" t="s">
        <v>161</v>
      </c>
      <c r="E38" s="198" t="s">
        <v>162</v>
      </c>
      <c r="F38" s="2">
        <v>7</v>
      </c>
      <c r="G38" s="103">
        <v>1759.31</v>
      </c>
      <c r="H38" s="32">
        <f>ROUND(F38*G38,2)</f>
        <v>12315.17</v>
      </c>
      <c r="I38" s="148"/>
    </row>
    <row r="39" spans="1:9" ht="25.5" customHeight="1" x14ac:dyDescent="0.25">
      <c r="A39" s="198">
        <f>A38+1</f>
        <v>24</v>
      </c>
      <c r="B39" s="199"/>
      <c r="C39" s="201" t="s">
        <v>156</v>
      </c>
      <c r="D39" s="202" t="s">
        <v>163</v>
      </c>
      <c r="E39" s="198" t="s">
        <v>158</v>
      </c>
      <c r="F39" s="2">
        <v>7</v>
      </c>
      <c r="G39" s="103">
        <v>921.63</v>
      </c>
      <c r="H39" s="32">
        <f>ROUND(F39*G39,2)</f>
        <v>6451.41</v>
      </c>
      <c r="I39" s="148"/>
    </row>
    <row r="40" spans="1:9" ht="15" customHeight="1" x14ac:dyDescent="0.25">
      <c r="A40" s="253" t="s">
        <v>164</v>
      </c>
      <c r="B40" s="253"/>
      <c r="C40" s="254"/>
      <c r="D40" s="254"/>
      <c r="E40" s="200"/>
      <c r="F40" s="171"/>
      <c r="G40" s="103"/>
      <c r="H40" s="176">
        <f>SUM(H41:H84)</f>
        <v>62988.89</v>
      </c>
    </row>
    <row r="41" spans="1:9" ht="25.5" customHeight="1" x14ac:dyDescent="0.25">
      <c r="A41" s="198">
        <f>A39+1</f>
        <v>25</v>
      </c>
      <c r="B41" s="199"/>
      <c r="C41" s="199" t="s">
        <v>165</v>
      </c>
      <c r="D41" s="195" t="s">
        <v>166</v>
      </c>
      <c r="E41" s="198" t="s">
        <v>167</v>
      </c>
      <c r="F41" s="2">
        <f>0.009*3*7</f>
        <v>0.189</v>
      </c>
      <c r="G41" s="103">
        <v>98440.41</v>
      </c>
      <c r="H41" s="32">
        <f t="shared" ref="H41:H84" si="3">ROUND(F41*G41,2)</f>
        <v>18605.240000000002</v>
      </c>
      <c r="I41" s="148"/>
    </row>
    <row r="42" spans="1:9" x14ac:dyDescent="0.25">
      <c r="A42" s="198">
        <f t="shared" ref="A42:A84" si="4">A41+1</f>
        <v>26</v>
      </c>
      <c r="B42" s="199"/>
      <c r="C42" s="199" t="s">
        <v>168</v>
      </c>
      <c r="D42" s="195" t="s">
        <v>169</v>
      </c>
      <c r="E42" s="198" t="s">
        <v>167</v>
      </c>
      <c r="F42" s="2">
        <f>0.016*3*7</f>
        <v>0.33600000000000002</v>
      </c>
      <c r="G42" s="103">
        <v>38348.22</v>
      </c>
      <c r="H42" s="32">
        <f t="shared" si="3"/>
        <v>12885</v>
      </c>
      <c r="I42" s="148"/>
    </row>
    <row r="43" spans="1:9" x14ac:dyDescent="0.25">
      <c r="A43" s="198">
        <f t="shared" si="4"/>
        <v>27</v>
      </c>
      <c r="B43" s="199"/>
      <c r="C43" s="199" t="s">
        <v>170</v>
      </c>
      <c r="D43" s="195" t="s">
        <v>171</v>
      </c>
      <c r="E43" s="198" t="s">
        <v>162</v>
      </c>
      <c r="F43" s="2">
        <v>176</v>
      </c>
      <c r="G43" s="103">
        <v>64.69</v>
      </c>
      <c r="H43" s="32">
        <f t="shared" si="3"/>
        <v>11385.44</v>
      </c>
      <c r="I43" s="148"/>
    </row>
    <row r="44" spans="1:9" ht="25.5" customHeight="1" x14ac:dyDescent="0.25">
      <c r="A44" s="198">
        <f t="shared" si="4"/>
        <v>28</v>
      </c>
      <c r="B44" s="199"/>
      <c r="C44" s="199" t="s">
        <v>172</v>
      </c>
      <c r="D44" s="195" t="s">
        <v>173</v>
      </c>
      <c r="E44" s="198" t="s">
        <v>174</v>
      </c>
      <c r="F44" s="2">
        <f>0.28*7</f>
        <v>1.96</v>
      </c>
      <c r="G44" s="103">
        <v>1837.28</v>
      </c>
      <c r="H44" s="32">
        <f t="shared" si="3"/>
        <v>3601.07</v>
      </c>
      <c r="I44" s="148"/>
    </row>
    <row r="45" spans="1:9" ht="25.5" customHeight="1" x14ac:dyDescent="0.25">
      <c r="A45" s="198">
        <f t="shared" si="4"/>
        <v>29</v>
      </c>
      <c r="B45" s="199"/>
      <c r="C45" s="199" t="s">
        <v>175</v>
      </c>
      <c r="D45" s="195" t="s">
        <v>176</v>
      </c>
      <c r="E45" s="198" t="s">
        <v>177</v>
      </c>
      <c r="F45" s="2">
        <v>9.5161999999999997E-2</v>
      </c>
      <c r="G45" s="103">
        <v>32752.18</v>
      </c>
      <c r="H45" s="32">
        <f t="shared" si="3"/>
        <v>3116.76</v>
      </c>
      <c r="I45" s="148"/>
    </row>
    <row r="46" spans="1:9" x14ac:dyDescent="0.25">
      <c r="A46" s="2">
        <f t="shared" si="4"/>
        <v>30</v>
      </c>
      <c r="B46" s="170"/>
      <c r="C46" s="170" t="s">
        <v>178</v>
      </c>
      <c r="D46" s="8" t="s">
        <v>179</v>
      </c>
      <c r="E46" s="2" t="s">
        <v>180</v>
      </c>
      <c r="F46" s="2">
        <v>0.66</v>
      </c>
      <c r="G46" s="103">
        <v>3314</v>
      </c>
      <c r="H46" s="32">
        <f t="shared" si="3"/>
        <v>2187.2399999999998</v>
      </c>
      <c r="I46" s="148"/>
    </row>
    <row r="47" spans="1:9" x14ac:dyDescent="0.25">
      <c r="A47" s="2">
        <f t="shared" si="4"/>
        <v>31</v>
      </c>
      <c r="B47" s="170"/>
      <c r="C47" s="170" t="s">
        <v>181</v>
      </c>
      <c r="D47" s="8" t="s">
        <v>182</v>
      </c>
      <c r="E47" s="2" t="s">
        <v>162</v>
      </c>
      <c r="F47" s="2">
        <v>176</v>
      </c>
      <c r="G47" s="103">
        <v>12.24</v>
      </c>
      <c r="H47" s="32">
        <f t="shared" si="3"/>
        <v>2154.2399999999998</v>
      </c>
      <c r="I47" s="148"/>
    </row>
    <row r="48" spans="1:9" x14ac:dyDescent="0.25">
      <c r="A48" s="2">
        <f t="shared" si="4"/>
        <v>32</v>
      </c>
      <c r="B48" s="170"/>
      <c r="C48" s="170" t="s">
        <v>183</v>
      </c>
      <c r="D48" s="8" t="s">
        <v>184</v>
      </c>
      <c r="E48" s="2" t="s">
        <v>185</v>
      </c>
      <c r="F48" s="2">
        <v>28</v>
      </c>
      <c r="G48" s="103">
        <v>50</v>
      </c>
      <c r="H48" s="32">
        <f t="shared" si="3"/>
        <v>1400</v>
      </c>
      <c r="I48" s="148"/>
    </row>
    <row r="49" spans="1:9" x14ac:dyDescent="0.25">
      <c r="A49" s="2">
        <f t="shared" si="4"/>
        <v>33</v>
      </c>
      <c r="B49" s="170"/>
      <c r="C49" s="170" t="s">
        <v>186</v>
      </c>
      <c r="D49" s="8" t="s">
        <v>187</v>
      </c>
      <c r="E49" s="2" t="s">
        <v>162</v>
      </c>
      <c r="F49" s="2">
        <v>18</v>
      </c>
      <c r="G49" s="103">
        <v>66.819999999999993</v>
      </c>
      <c r="H49" s="32">
        <f t="shared" si="3"/>
        <v>1202.76</v>
      </c>
      <c r="I49" s="148"/>
    </row>
    <row r="50" spans="1:9" x14ac:dyDescent="0.25">
      <c r="A50" s="2">
        <f t="shared" si="4"/>
        <v>34</v>
      </c>
      <c r="B50" s="170"/>
      <c r="C50" s="170" t="s">
        <v>188</v>
      </c>
      <c r="D50" s="8" t="s">
        <v>189</v>
      </c>
      <c r="E50" s="2" t="s">
        <v>190</v>
      </c>
      <c r="F50" s="2">
        <v>932.9556</v>
      </c>
      <c r="G50" s="103">
        <v>1</v>
      </c>
      <c r="H50" s="32">
        <f t="shared" si="3"/>
        <v>932.96</v>
      </c>
      <c r="I50" s="148"/>
    </row>
    <row r="51" spans="1:9" x14ac:dyDescent="0.25">
      <c r="A51" s="2">
        <f t="shared" si="4"/>
        <v>35</v>
      </c>
      <c r="B51" s="170"/>
      <c r="C51" s="170" t="s">
        <v>191</v>
      </c>
      <c r="D51" s="8" t="s">
        <v>192</v>
      </c>
      <c r="E51" s="2" t="s">
        <v>185</v>
      </c>
      <c r="F51" s="2">
        <v>88.069000000000003</v>
      </c>
      <c r="G51" s="103">
        <v>9.0399999999999991</v>
      </c>
      <c r="H51" s="32">
        <f t="shared" si="3"/>
        <v>796.14</v>
      </c>
    </row>
    <row r="52" spans="1:9" x14ac:dyDescent="0.25">
      <c r="A52" s="2">
        <f t="shared" si="4"/>
        <v>36</v>
      </c>
      <c r="B52" s="170"/>
      <c r="C52" s="170" t="s">
        <v>193</v>
      </c>
      <c r="D52" s="8" t="s">
        <v>194</v>
      </c>
      <c r="E52" s="2" t="s">
        <v>174</v>
      </c>
      <c r="F52" s="2">
        <f>1*1*7</f>
        <v>7</v>
      </c>
      <c r="G52" s="103">
        <v>108.4</v>
      </c>
      <c r="H52" s="32">
        <f t="shared" si="3"/>
        <v>758.8</v>
      </c>
      <c r="I52" s="148"/>
    </row>
    <row r="53" spans="1:9" x14ac:dyDescent="0.25">
      <c r="A53" s="2">
        <f t="shared" si="4"/>
        <v>37</v>
      </c>
      <c r="B53" s="170"/>
      <c r="C53" s="170" t="s">
        <v>195</v>
      </c>
      <c r="D53" s="8" t="s">
        <v>196</v>
      </c>
      <c r="E53" s="2" t="s">
        <v>180</v>
      </c>
      <c r="F53" s="2">
        <v>7.79</v>
      </c>
      <c r="G53" s="103">
        <v>86</v>
      </c>
      <c r="H53" s="32">
        <f t="shared" si="3"/>
        <v>669.94</v>
      </c>
      <c r="I53" s="148"/>
    </row>
    <row r="54" spans="1:9" ht="25.5" customHeight="1" x14ac:dyDescent="0.25">
      <c r="A54" s="2">
        <f t="shared" si="4"/>
        <v>38</v>
      </c>
      <c r="B54" s="170"/>
      <c r="C54" s="170" t="s">
        <v>197</v>
      </c>
      <c r="D54" s="8" t="s">
        <v>198</v>
      </c>
      <c r="E54" s="2" t="s">
        <v>177</v>
      </c>
      <c r="F54" s="2">
        <v>0.1263</v>
      </c>
      <c r="G54" s="103">
        <v>5000</v>
      </c>
      <c r="H54" s="32">
        <f t="shared" si="3"/>
        <v>631.5</v>
      </c>
      <c r="I54" s="148"/>
    </row>
    <row r="55" spans="1:9" x14ac:dyDescent="0.25">
      <c r="A55" s="2">
        <f t="shared" si="4"/>
        <v>39</v>
      </c>
      <c r="B55" s="170"/>
      <c r="C55" s="170" t="s">
        <v>199</v>
      </c>
      <c r="D55" s="8" t="s">
        <v>200</v>
      </c>
      <c r="E55" s="2" t="s">
        <v>162</v>
      </c>
      <c r="F55" s="2">
        <v>4</v>
      </c>
      <c r="G55" s="103">
        <v>147.18</v>
      </c>
      <c r="H55" s="32">
        <f t="shared" si="3"/>
        <v>588.72</v>
      </c>
      <c r="I55" s="148"/>
    </row>
    <row r="56" spans="1:9" x14ac:dyDescent="0.25">
      <c r="A56" s="2">
        <f t="shared" si="4"/>
        <v>40</v>
      </c>
      <c r="B56" s="170"/>
      <c r="C56" s="170" t="s">
        <v>201</v>
      </c>
      <c r="D56" s="8" t="s">
        <v>202</v>
      </c>
      <c r="E56" s="2" t="s">
        <v>185</v>
      </c>
      <c r="F56" s="2">
        <v>15.058</v>
      </c>
      <c r="G56" s="103">
        <v>28.6</v>
      </c>
      <c r="H56" s="32">
        <f t="shared" si="3"/>
        <v>430.66</v>
      </c>
      <c r="I56" s="148"/>
    </row>
    <row r="57" spans="1:9" ht="25.5" customHeight="1" x14ac:dyDescent="0.25">
      <c r="A57" s="2">
        <f t="shared" si="4"/>
        <v>41</v>
      </c>
      <c r="B57" s="170"/>
      <c r="C57" s="170" t="s">
        <v>203</v>
      </c>
      <c r="D57" s="8" t="s">
        <v>204</v>
      </c>
      <c r="E57" s="2" t="s">
        <v>205</v>
      </c>
      <c r="F57" s="2">
        <v>17.100000000000001</v>
      </c>
      <c r="G57" s="103">
        <v>15.13</v>
      </c>
      <c r="H57" s="32">
        <f t="shared" si="3"/>
        <v>258.72000000000003</v>
      </c>
      <c r="I57" s="148"/>
    </row>
    <row r="58" spans="1:9" x14ac:dyDescent="0.25">
      <c r="A58" s="2">
        <f t="shared" si="4"/>
        <v>42</v>
      </c>
      <c r="B58" s="170"/>
      <c r="C58" s="170" t="s">
        <v>206</v>
      </c>
      <c r="D58" s="8" t="s">
        <v>207</v>
      </c>
      <c r="E58" s="2" t="s">
        <v>180</v>
      </c>
      <c r="F58" s="2">
        <v>2.52</v>
      </c>
      <c r="G58" s="103">
        <v>63</v>
      </c>
      <c r="H58" s="32">
        <f t="shared" si="3"/>
        <v>158.76</v>
      </c>
      <c r="I58" s="148"/>
    </row>
    <row r="59" spans="1:9" x14ac:dyDescent="0.25">
      <c r="A59" s="2">
        <f t="shared" si="4"/>
        <v>43</v>
      </c>
      <c r="B59" s="170"/>
      <c r="C59" s="170" t="s">
        <v>208</v>
      </c>
      <c r="D59" s="8" t="s">
        <v>209</v>
      </c>
      <c r="E59" s="2" t="s">
        <v>185</v>
      </c>
      <c r="F59" s="2">
        <v>0.64400000000000002</v>
      </c>
      <c r="G59" s="103">
        <v>238.48</v>
      </c>
      <c r="H59" s="32">
        <f t="shared" si="3"/>
        <v>153.58000000000001</v>
      </c>
      <c r="I59" s="148"/>
    </row>
    <row r="60" spans="1:9" x14ac:dyDescent="0.25">
      <c r="A60" s="2">
        <f t="shared" si="4"/>
        <v>44</v>
      </c>
      <c r="B60" s="170"/>
      <c r="C60" s="170" t="s">
        <v>210</v>
      </c>
      <c r="D60" s="8" t="s">
        <v>211</v>
      </c>
      <c r="E60" s="2" t="s">
        <v>185</v>
      </c>
      <c r="F60" s="2">
        <v>14.513400000000001</v>
      </c>
      <c r="G60" s="103">
        <v>10.57</v>
      </c>
      <c r="H60" s="32">
        <f t="shared" si="3"/>
        <v>153.41</v>
      </c>
      <c r="I60" s="148"/>
    </row>
    <row r="61" spans="1:9" x14ac:dyDescent="0.25">
      <c r="A61" s="2">
        <f t="shared" si="4"/>
        <v>45</v>
      </c>
      <c r="B61" s="170"/>
      <c r="C61" s="170" t="s">
        <v>212</v>
      </c>
      <c r="D61" s="8" t="s">
        <v>213</v>
      </c>
      <c r="E61" s="2" t="s">
        <v>162</v>
      </c>
      <c r="F61" s="2">
        <v>10.8</v>
      </c>
      <c r="G61" s="103">
        <v>10.54</v>
      </c>
      <c r="H61" s="32">
        <f t="shared" si="3"/>
        <v>113.83</v>
      </c>
      <c r="I61" s="148"/>
    </row>
    <row r="62" spans="1:9" x14ac:dyDescent="0.25">
      <c r="A62" s="2">
        <f t="shared" si="4"/>
        <v>46</v>
      </c>
      <c r="B62" s="170"/>
      <c r="C62" s="170" t="s">
        <v>214</v>
      </c>
      <c r="D62" s="8" t="s">
        <v>215</v>
      </c>
      <c r="E62" s="2" t="s">
        <v>180</v>
      </c>
      <c r="F62" s="2">
        <v>1.002</v>
      </c>
      <c r="G62" s="103">
        <v>110</v>
      </c>
      <c r="H62" s="32">
        <f t="shared" si="3"/>
        <v>110.22</v>
      </c>
      <c r="I62" s="148"/>
    </row>
    <row r="63" spans="1:9" ht="25.5" customHeight="1" x14ac:dyDescent="0.25">
      <c r="A63" s="2">
        <f t="shared" si="4"/>
        <v>47</v>
      </c>
      <c r="B63" s="170"/>
      <c r="C63" s="170" t="s">
        <v>216</v>
      </c>
      <c r="D63" s="8" t="s">
        <v>217</v>
      </c>
      <c r="E63" s="2" t="s">
        <v>177</v>
      </c>
      <c r="F63" s="2">
        <v>6.1999999999999998E-3</v>
      </c>
      <c r="G63" s="103">
        <v>17500</v>
      </c>
      <c r="H63" s="32">
        <f t="shared" si="3"/>
        <v>108.5</v>
      </c>
      <c r="I63" s="148"/>
    </row>
    <row r="64" spans="1:9" ht="25.5" customHeight="1" x14ac:dyDescent="0.25">
      <c r="A64" s="2">
        <f t="shared" si="4"/>
        <v>48</v>
      </c>
      <c r="B64" s="170"/>
      <c r="C64" s="170" t="s">
        <v>218</v>
      </c>
      <c r="D64" s="8" t="s">
        <v>219</v>
      </c>
      <c r="E64" s="2" t="s">
        <v>177</v>
      </c>
      <c r="F64" s="2">
        <v>0.22539999999999999</v>
      </c>
      <c r="G64" s="103">
        <v>480</v>
      </c>
      <c r="H64" s="32">
        <f t="shared" si="3"/>
        <v>108.19</v>
      </c>
      <c r="I64" s="148"/>
    </row>
    <row r="65" spans="1:9" ht="25.5" customHeight="1" x14ac:dyDescent="0.25">
      <c r="A65" s="2">
        <f t="shared" si="4"/>
        <v>49</v>
      </c>
      <c r="B65" s="170"/>
      <c r="C65" s="170" t="s">
        <v>220</v>
      </c>
      <c r="D65" s="8" t="s">
        <v>221</v>
      </c>
      <c r="E65" s="2" t="s">
        <v>177</v>
      </c>
      <c r="F65" s="2">
        <v>1.7999999999999999E-2</v>
      </c>
      <c r="G65" s="103">
        <v>5941.89</v>
      </c>
      <c r="H65" s="32">
        <f t="shared" si="3"/>
        <v>106.95</v>
      </c>
      <c r="I65" s="148"/>
    </row>
    <row r="66" spans="1:9" x14ac:dyDescent="0.25">
      <c r="A66" s="2">
        <f t="shared" si="4"/>
        <v>50</v>
      </c>
      <c r="B66" s="170"/>
      <c r="C66" s="170" t="s">
        <v>222</v>
      </c>
      <c r="D66" s="8" t="s">
        <v>223</v>
      </c>
      <c r="E66" s="2" t="s">
        <v>224</v>
      </c>
      <c r="F66" s="2">
        <v>1.0920000000000001</v>
      </c>
      <c r="G66" s="103">
        <v>79.099999999999994</v>
      </c>
      <c r="H66" s="32">
        <f t="shared" si="3"/>
        <v>86.38</v>
      </c>
      <c r="I66" s="148"/>
    </row>
    <row r="67" spans="1:9" x14ac:dyDescent="0.25">
      <c r="A67" s="2">
        <f t="shared" si="4"/>
        <v>51</v>
      </c>
      <c r="B67" s="170"/>
      <c r="C67" s="170" t="s">
        <v>225</v>
      </c>
      <c r="D67" s="8" t="s">
        <v>226</v>
      </c>
      <c r="E67" s="2" t="s">
        <v>162</v>
      </c>
      <c r="F67" s="2">
        <v>4</v>
      </c>
      <c r="G67" s="103">
        <v>18.46</v>
      </c>
      <c r="H67" s="32">
        <f t="shared" si="3"/>
        <v>73.84</v>
      </c>
      <c r="I67" s="148"/>
    </row>
    <row r="68" spans="1:9" x14ac:dyDescent="0.25">
      <c r="A68" s="2">
        <f t="shared" si="4"/>
        <v>52</v>
      </c>
      <c r="B68" s="170"/>
      <c r="C68" s="170" t="s">
        <v>227</v>
      </c>
      <c r="D68" s="8" t="s">
        <v>228</v>
      </c>
      <c r="E68" s="2" t="s">
        <v>229</v>
      </c>
      <c r="F68" s="2">
        <v>1.1000000000000001</v>
      </c>
      <c r="G68" s="103">
        <v>39</v>
      </c>
      <c r="H68" s="32">
        <f t="shared" si="3"/>
        <v>42.9</v>
      </c>
      <c r="I68" s="148"/>
    </row>
    <row r="69" spans="1:9" ht="25.5" customHeight="1" x14ac:dyDescent="0.25">
      <c r="A69" s="2">
        <f t="shared" si="4"/>
        <v>53</v>
      </c>
      <c r="B69" s="170"/>
      <c r="C69" s="170" t="s">
        <v>230</v>
      </c>
      <c r="D69" s="8" t="s">
        <v>231</v>
      </c>
      <c r="E69" s="2" t="s">
        <v>185</v>
      </c>
      <c r="F69" s="2">
        <v>0.94399999999999995</v>
      </c>
      <c r="G69" s="103">
        <v>30.4</v>
      </c>
      <c r="H69" s="32">
        <f t="shared" si="3"/>
        <v>28.7</v>
      </c>
      <c r="I69" s="148"/>
    </row>
    <row r="70" spans="1:9" x14ac:dyDescent="0.25">
      <c r="A70" s="2">
        <f t="shared" si="4"/>
        <v>54</v>
      </c>
      <c r="B70" s="170"/>
      <c r="C70" s="170" t="s">
        <v>232</v>
      </c>
      <c r="D70" s="8" t="s">
        <v>233</v>
      </c>
      <c r="E70" s="2" t="s">
        <v>185</v>
      </c>
      <c r="F70" s="2">
        <v>0.47199999999999998</v>
      </c>
      <c r="G70" s="103">
        <v>44.97</v>
      </c>
      <c r="H70" s="32">
        <f t="shared" si="3"/>
        <v>21.23</v>
      </c>
      <c r="I70" s="148"/>
    </row>
    <row r="71" spans="1:9" x14ac:dyDescent="0.25">
      <c r="A71" s="2">
        <f t="shared" si="4"/>
        <v>55</v>
      </c>
      <c r="B71" s="170"/>
      <c r="C71" s="170" t="s">
        <v>234</v>
      </c>
      <c r="D71" s="8" t="s">
        <v>235</v>
      </c>
      <c r="E71" s="2" t="s">
        <v>185</v>
      </c>
      <c r="F71" s="2">
        <v>0.47199999999999998</v>
      </c>
      <c r="G71" s="103">
        <v>35.630000000000003</v>
      </c>
      <c r="H71" s="32">
        <f t="shared" si="3"/>
        <v>16.82</v>
      </c>
      <c r="I71" s="148"/>
    </row>
    <row r="72" spans="1:9" x14ac:dyDescent="0.25">
      <c r="A72" s="2">
        <f t="shared" si="4"/>
        <v>56</v>
      </c>
      <c r="B72" s="170"/>
      <c r="C72" s="170" t="s">
        <v>236</v>
      </c>
      <c r="D72" s="8" t="s">
        <v>237</v>
      </c>
      <c r="E72" s="2" t="s">
        <v>180</v>
      </c>
      <c r="F72" s="2">
        <v>7.5279999999999996</v>
      </c>
      <c r="G72" s="103">
        <v>2</v>
      </c>
      <c r="H72" s="32">
        <f t="shared" si="3"/>
        <v>15.06</v>
      </c>
      <c r="I72" s="148"/>
    </row>
    <row r="73" spans="1:9" x14ac:dyDescent="0.25">
      <c r="A73" s="2">
        <f t="shared" si="4"/>
        <v>57</v>
      </c>
      <c r="B73" s="170"/>
      <c r="C73" s="170" t="s">
        <v>238</v>
      </c>
      <c r="D73" s="8" t="s">
        <v>239</v>
      </c>
      <c r="E73" s="2" t="s">
        <v>177</v>
      </c>
      <c r="F73" s="2">
        <v>5.0000000000000001E-4</v>
      </c>
      <c r="G73" s="103">
        <v>28300.400000000001</v>
      </c>
      <c r="H73" s="32">
        <f t="shared" si="3"/>
        <v>14.15</v>
      </c>
      <c r="I73" s="148"/>
    </row>
    <row r="74" spans="1:9" ht="25.5" customHeight="1" x14ac:dyDescent="0.25">
      <c r="A74" s="2">
        <f t="shared" si="4"/>
        <v>58</v>
      </c>
      <c r="B74" s="170"/>
      <c r="C74" s="170" t="s">
        <v>240</v>
      </c>
      <c r="D74" s="8" t="s">
        <v>241</v>
      </c>
      <c r="E74" s="2" t="s">
        <v>174</v>
      </c>
      <c r="F74" s="2">
        <v>0.18779999999999999</v>
      </c>
      <c r="G74" s="103">
        <v>59.99</v>
      </c>
      <c r="H74" s="32">
        <f t="shared" si="3"/>
        <v>11.27</v>
      </c>
      <c r="I74" s="148"/>
    </row>
    <row r="75" spans="1:9" x14ac:dyDescent="0.25">
      <c r="A75" s="2">
        <f t="shared" si="4"/>
        <v>59</v>
      </c>
      <c r="B75" s="170"/>
      <c r="C75" s="170" t="s">
        <v>242</v>
      </c>
      <c r="D75" s="8" t="s">
        <v>243</v>
      </c>
      <c r="E75" s="2" t="s">
        <v>162</v>
      </c>
      <c r="F75" s="2">
        <v>2.16</v>
      </c>
      <c r="G75" s="103">
        <v>5</v>
      </c>
      <c r="H75" s="32">
        <f t="shared" si="3"/>
        <v>10.8</v>
      </c>
      <c r="I75" s="148"/>
    </row>
    <row r="76" spans="1:9" x14ac:dyDescent="0.25">
      <c r="A76" s="2">
        <f t="shared" si="4"/>
        <v>60</v>
      </c>
      <c r="B76" s="170"/>
      <c r="C76" s="170" t="s">
        <v>244</v>
      </c>
      <c r="D76" s="8" t="s">
        <v>245</v>
      </c>
      <c r="E76" s="2" t="s">
        <v>180</v>
      </c>
      <c r="F76" s="2">
        <v>0.36</v>
      </c>
      <c r="G76" s="103">
        <v>26.6</v>
      </c>
      <c r="H76" s="32">
        <f t="shared" si="3"/>
        <v>9.58</v>
      </c>
      <c r="I76" s="148"/>
    </row>
    <row r="77" spans="1:9" x14ac:dyDescent="0.25">
      <c r="A77" s="2">
        <f t="shared" si="4"/>
        <v>61</v>
      </c>
      <c r="B77" s="170"/>
      <c r="C77" s="170" t="s">
        <v>246</v>
      </c>
      <c r="D77" s="8" t="s">
        <v>247</v>
      </c>
      <c r="E77" s="2" t="s">
        <v>177</v>
      </c>
      <c r="F77" s="2">
        <v>5.0000000000000001E-4</v>
      </c>
      <c r="G77" s="103">
        <v>15620</v>
      </c>
      <c r="H77" s="32">
        <f t="shared" si="3"/>
        <v>7.81</v>
      </c>
      <c r="I77" s="148"/>
    </row>
    <row r="78" spans="1:9" x14ac:dyDescent="0.25">
      <c r="A78" s="2">
        <f t="shared" si="4"/>
        <v>62</v>
      </c>
      <c r="B78" s="170"/>
      <c r="C78" s="170" t="s">
        <v>248</v>
      </c>
      <c r="D78" s="8" t="s">
        <v>249</v>
      </c>
      <c r="E78" s="2" t="s">
        <v>177</v>
      </c>
      <c r="F78" s="2">
        <v>6.9999999999999999E-4</v>
      </c>
      <c r="G78" s="103">
        <v>10315.01</v>
      </c>
      <c r="H78" s="32">
        <f t="shared" si="3"/>
        <v>7.22</v>
      </c>
      <c r="I78" s="148"/>
    </row>
    <row r="79" spans="1:9" x14ac:dyDescent="0.25">
      <c r="A79" s="2">
        <f t="shared" si="4"/>
        <v>63</v>
      </c>
      <c r="B79" s="170"/>
      <c r="C79" s="170" t="s">
        <v>250</v>
      </c>
      <c r="D79" s="8" t="s">
        <v>251</v>
      </c>
      <c r="E79" s="2" t="s">
        <v>177</v>
      </c>
      <c r="F79" s="2">
        <v>1.1540000000000001E-3</v>
      </c>
      <c r="G79" s="103">
        <v>6159.22</v>
      </c>
      <c r="H79" s="32">
        <f t="shared" si="3"/>
        <v>7.11</v>
      </c>
      <c r="I79" s="148"/>
    </row>
    <row r="80" spans="1:9" x14ac:dyDescent="0.25">
      <c r="A80" s="2">
        <f t="shared" si="4"/>
        <v>64</v>
      </c>
      <c r="B80" s="170"/>
      <c r="C80" s="170" t="s">
        <v>252</v>
      </c>
      <c r="D80" s="8" t="s">
        <v>253</v>
      </c>
      <c r="E80" s="2" t="s">
        <v>185</v>
      </c>
      <c r="F80" s="2">
        <v>4.5999999999999999E-2</v>
      </c>
      <c r="G80" s="103">
        <v>133.05000000000001</v>
      </c>
      <c r="H80" s="32">
        <f t="shared" si="3"/>
        <v>6.12</v>
      </c>
      <c r="I80" s="148"/>
    </row>
    <row r="81" spans="1:9" ht="25.5" customHeight="1" x14ac:dyDescent="0.25">
      <c r="A81" s="2">
        <f t="shared" si="4"/>
        <v>65</v>
      </c>
      <c r="B81" s="170"/>
      <c r="C81" s="170" t="s">
        <v>254</v>
      </c>
      <c r="D81" s="8" t="s">
        <v>255</v>
      </c>
      <c r="E81" s="2" t="s">
        <v>185</v>
      </c>
      <c r="F81" s="2">
        <v>0.18</v>
      </c>
      <c r="G81" s="103">
        <v>28.22</v>
      </c>
      <c r="H81" s="32">
        <f t="shared" si="3"/>
        <v>5.08</v>
      </c>
      <c r="I81" s="148"/>
    </row>
    <row r="82" spans="1:9" x14ac:dyDescent="0.25">
      <c r="A82" s="2">
        <f t="shared" si="4"/>
        <v>66</v>
      </c>
      <c r="B82" s="170"/>
      <c r="C82" s="170" t="s">
        <v>256</v>
      </c>
      <c r="D82" s="8" t="s">
        <v>257</v>
      </c>
      <c r="E82" s="2" t="s">
        <v>177</v>
      </c>
      <c r="F82" s="2">
        <v>4.0000000000000002E-4</v>
      </c>
      <c r="G82" s="103">
        <v>9420</v>
      </c>
      <c r="H82" s="32">
        <f t="shared" si="3"/>
        <v>3.77</v>
      </c>
      <c r="I82" s="148"/>
    </row>
    <row r="83" spans="1:9" x14ac:dyDescent="0.25">
      <c r="A83" s="2">
        <f t="shared" si="4"/>
        <v>67</v>
      </c>
      <c r="B83" s="170"/>
      <c r="C83" s="170" t="s">
        <v>258</v>
      </c>
      <c r="D83" s="8" t="s">
        <v>259</v>
      </c>
      <c r="E83" s="2" t="s">
        <v>177</v>
      </c>
      <c r="F83" s="2">
        <v>2.0000000000000001E-4</v>
      </c>
      <c r="G83" s="103">
        <v>6667</v>
      </c>
      <c r="H83" s="32">
        <f t="shared" si="3"/>
        <v>1.33</v>
      </c>
      <c r="I83" s="148"/>
    </row>
    <row r="84" spans="1:9" x14ac:dyDescent="0.25">
      <c r="A84" s="2">
        <f t="shared" si="4"/>
        <v>68</v>
      </c>
      <c r="B84" s="170"/>
      <c r="C84" s="170" t="s">
        <v>260</v>
      </c>
      <c r="D84" s="8" t="s">
        <v>261</v>
      </c>
      <c r="E84" s="2" t="s">
        <v>185</v>
      </c>
      <c r="F84" s="2">
        <v>9.5000000000000001E-2</v>
      </c>
      <c r="G84" s="103">
        <v>11.5</v>
      </c>
      <c r="H84" s="32">
        <f t="shared" si="3"/>
        <v>1.0900000000000001</v>
      </c>
      <c r="I84" s="148"/>
    </row>
    <row r="85" spans="1:9" x14ac:dyDescent="0.25">
      <c r="C85" s="154"/>
      <c r="D85" s="155"/>
      <c r="E85" s="156"/>
      <c r="F85" s="156"/>
      <c r="G85" s="157"/>
      <c r="H85" s="158"/>
    </row>
    <row r="86" spans="1:9" ht="25.5" customHeight="1" x14ac:dyDescent="0.25">
      <c r="B86" s="151" t="s">
        <v>262</v>
      </c>
      <c r="C86" s="259" t="s">
        <v>263</v>
      </c>
      <c r="D86" s="259"/>
      <c r="E86" s="259"/>
      <c r="F86" s="259"/>
      <c r="G86" s="259"/>
      <c r="H86" s="259"/>
    </row>
    <row r="87" spans="1:9" x14ac:dyDescent="0.25">
      <c r="I87" s="152"/>
    </row>
    <row r="90" spans="1:9" x14ac:dyDescent="0.25">
      <c r="B90" s="4" t="s">
        <v>75</v>
      </c>
      <c r="C90" s="12"/>
      <c r="H90"/>
    </row>
    <row r="91" spans="1:9" x14ac:dyDescent="0.25">
      <c r="B91" s="33" t="s">
        <v>76</v>
      </c>
      <c r="C91" s="12"/>
      <c r="H91"/>
    </row>
    <row r="92" spans="1:9" x14ac:dyDescent="0.25">
      <c r="B92" s="4"/>
      <c r="C92" s="12"/>
      <c r="H92"/>
    </row>
    <row r="93" spans="1:9" x14ac:dyDescent="0.25">
      <c r="B93" s="4" t="s">
        <v>77</v>
      </c>
      <c r="C93" s="12"/>
      <c r="H93"/>
    </row>
    <row r="94" spans="1:9" x14ac:dyDescent="0.25">
      <c r="B94" s="33" t="s">
        <v>78</v>
      </c>
      <c r="C94" s="12"/>
      <c r="H94"/>
    </row>
  </sheetData>
  <mergeCells count="17">
    <mergeCell ref="C86:H86"/>
    <mergeCell ref="A3:I3"/>
    <mergeCell ref="D9:D10"/>
    <mergeCell ref="C9:C10"/>
    <mergeCell ref="B9:B10"/>
    <mergeCell ref="G9:H9"/>
    <mergeCell ref="A2:H2"/>
    <mergeCell ref="A19:D19"/>
    <mergeCell ref="A21:D21"/>
    <mergeCell ref="A40:D40"/>
    <mergeCell ref="A35:D35"/>
    <mergeCell ref="A9:A10"/>
    <mergeCell ref="A12:D12"/>
    <mergeCell ref="E9:E10"/>
    <mergeCell ref="F9:F10"/>
    <mergeCell ref="C4:H4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1" manualBreakCount="1">
    <brk id="84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37" t="s">
        <v>264</v>
      </c>
      <c r="B1" s="237"/>
      <c r="C1" s="237"/>
      <c r="D1" s="237"/>
    </row>
    <row r="2" spans="1:10" x14ac:dyDescent="0.25">
      <c r="A2" s="260" t="str">
        <f>'4.1 Отдел 1'!A10</f>
        <v>И5-05-02</v>
      </c>
      <c r="B2" s="260"/>
      <c r="C2" s="260"/>
      <c r="D2" s="260"/>
    </row>
    <row r="3" spans="1:10" x14ac:dyDescent="0.25">
      <c r="A3" s="261"/>
      <c r="B3" s="261"/>
      <c r="C3" s="261"/>
      <c r="D3" s="261"/>
    </row>
    <row r="4" spans="1:10" ht="51.75" customHeight="1" x14ac:dyDescent="0.25">
      <c r="A4" s="234" t="str">
        <f>'Прил. 3'!A6</f>
        <v>Наименование разрабатываемого показателя УНЦ - Элементы ПС без устройства фундаментов. Цифровой ТТ на три фазы  110 кВ.</v>
      </c>
      <c r="B4" s="234"/>
      <c r="C4" s="234"/>
      <c r="D4" s="234"/>
    </row>
    <row r="5" spans="1:10" ht="15" customHeight="1" x14ac:dyDescent="0.25">
      <c r="A5" s="234"/>
      <c r="B5" s="262"/>
      <c r="C5" s="262"/>
      <c r="D5" s="262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265</v>
      </c>
      <c r="B7" s="2" t="s">
        <v>102</v>
      </c>
      <c r="C7" s="2" t="s">
        <v>266</v>
      </c>
      <c r="D7" s="2" t="s">
        <v>267</v>
      </c>
    </row>
    <row r="8" spans="1:10" x14ac:dyDescent="0.25">
      <c r="A8" s="25" t="s">
        <v>268</v>
      </c>
      <c r="B8" s="26">
        <f>'Прил.5 Расчет СМР и ОБ'!G16</f>
        <v>52197.46</v>
      </c>
      <c r="C8" s="27">
        <f t="shared" ref="C8:C15" si="0">B8/$B$21</f>
        <v>0.18637464361702</v>
      </c>
      <c r="D8" s="27">
        <f t="shared" ref="D8:D15" si="1">B8/$B$35</f>
        <v>9.0089445139142996E-3</v>
      </c>
      <c r="I8" s="28"/>
      <c r="J8" s="28"/>
    </row>
    <row r="9" spans="1:10" x14ac:dyDescent="0.25">
      <c r="A9" s="25" t="s">
        <v>269</v>
      </c>
      <c r="B9" s="26">
        <f>'Прил.5 Расчет СМР и ОБ'!G24</f>
        <v>70983.72</v>
      </c>
      <c r="C9" s="27">
        <f t="shared" si="0"/>
        <v>0.25345228518036</v>
      </c>
      <c r="D9" s="27">
        <f t="shared" si="1"/>
        <v>1.2251331671526E-2</v>
      </c>
      <c r="I9" s="28"/>
      <c r="J9" s="28"/>
    </row>
    <row r="10" spans="1:10" x14ac:dyDescent="0.25">
      <c r="A10" s="25" t="s">
        <v>270</v>
      </c>
      <c r="B10" s="26">
        <f>'Прил.5 Расчет СМР и ОБ'!G35</f>
        <v>7269.38</v>
      </c>
      <c r="C10" s="27">
        <f t="shared" si="0"/>
        <v>2.5955824417829999E-2</v>
      </c>
      <c r="D10" s="27">
        <f t="shared" si="1"/>
        <v>1.2546480436127999E-3</v>
      </c>
      <c r="I10" s="28"/>
      <c r="J10" s="28"/>
    </row>
    <row r="11" spans="1:10" x14ac:dyDescent="0.25">
      <c r="A11" s="25" t="s">
        <v>271</v>
      </c>
      <c r="B11" s="26">
        <f>B9+B10</f>
        <v>78253.100000000006</v>
      </c>
      <c r="C11" s="27">
        <f t="shared" si="0"/>
        <v>0.27940810959819001</v>
      </c>
      <c r="D11" s="27">
        <f t="shared" si="1"/>
        <v>1.3505979715139E-2</v>
      </c>
      <c r="I11" s="28"/>
      <c r="J11" s="28"/>
    </row>
    <row r="12" spans="1:10" x14ac:dyDescent="0.25">
      <c r="A12" s="25" t="s">
        <v>272</v>
      </c>
      <c r="B12" s="26">
        <f>'Прил.5 Расчет СМР и ОБ'!G18</f>
        <v>7524.68</v>
      </c>
      <c r="C12" s="27">
        <f t="shared" si="0"/>
        <v>2.6867390737635999E-2</v>
      </c>
      <c r="D12" s="27">
        <f t="shared" si="1"/>
        <v>1.2987111749300001E-3</v>
      </c>
      <c r="I12" s="28"/>
      <c r="J12" s="28"/>
    </row>
    <row r="13" spans="1:10" x14ac:dyDescent="0.25">
      <c r="A13" s="25" t="s">
        <v>273</v>
      </c>
      <c r="B13" s="26">
        <f>'Прил.5 Расчет СМР и ОБ'!G56</f>
        <v>53934.99</v>
      </c>
      <c r="C13" s="27">
        <f t="shared" si="0"/>
        <v>0.19257861473983001</v>
      </c>
      <c r="D13" s="27">
        <f t="shared" si="1"/>
        <v>9.3088309712488007E-3</v>
      </c>
      <c r="I13" s="28"/>
      <c r="J13" s="28"/>
    </row>
    <row r="14" spans="1:10" x14ac:dyDescent="0.25">
      <c r="A14" s="25" t="s">
        <v>274</v>
      </c>
      <c r="B14" s="26">
        <f>'Прил.5 Расчет СМР и ОБ'!G94</f>
        <v>9053.9</v>
      </c>
      <c r="C14" s="27">
        <f t="shared" si="0"/>
        <v>3.2327576587905998E-2</v>
      </c>
      <c r="D14" s="27">
        <f t="shared" si="1"/>
        <v>1.5626446714941001E-3</v>
      </c>
      <c r="I14" s="28"/>
      <c r="J14" s="28"/>
    </row>
    <row r="15" spans="1:10" x14ac:dyDescent="0.25">
      <c r="A15" s="25" t="s">
        <v>275</v>
      </c>
      <c r="B15" s="26">
        <f>B13+B14</f>
        <v>62988.89</v>
      </c>
      <c r="C15" s="27">
        <f t="shared" si="0"/>
        <v>0.22490619132774001</v>
      </c>
      <c r="D15" s="27">
        <f t="shared" si="1"/>
        <v>1.0871475642743E-2</v>
      </c>
      <c r="I15" s="28"/>
      <c r="J15" s="28"/>
    </row>
    <row r="16" spans="1:10" x14ac:dyDescent="0.25">
      <c r="A16" s="25" t="s">
        <v>276</v>
      </c>
      <c r="B16" s="26">
        <f>B8+B11+B15</f>
        <v>193439.45</v>
      </c>
      <c r="C16" s="27"/>
      <c r="D16" s="27"/>
      <c r="I16" s="28"/>
      <c r="J16" s="28"/>
    </row>
    <row r="17" spans="1:10" x14ac:dyDescent="0.25">
      <c r="A17" s="25" t="s">
        <v>277</v>
      </c>
      <c r="B17" s="26">
        <f>'Прил.5 Расчет СМР и ОБ'!G98</f>
        <v>36433.07</v>
      </c>
      <c r="C17" s="27">
        <f>B17/$B$21</f>
        <v>0.13008679803813999</v>
      </c>
      <c r="D17" s="27">
        <f>B17/$B$35</f>
        <v>6.2881126035931999E-3</v>
      </c>
      <c r="I17" s="28"/>
      <c r="J17" s="28"/>
    </row>
    <row r="18" spans="1:10" x14ac:dyDescent="0.25">
      <c r="A18" s="25" t="s">
        <v>278</v>
      </c>
      <c r="B18" s="29">
        <f>B17/(B8+B12)</f>
        <v>0.61004294219865995</v>
      </c>
      <c r="C18" s="27"/>
      <c r="D18" s="27"/>
      <c r="I18" s="28"/>
      <c r="J18" s="28"/>
    </row>
    <row r="19" spans="1:10" x14ac:dyDescent="0.25">
      <c r="A19" s="25" t="s">
        <v>279</v>
      </c>
      <c r="B19" s="26">
        <f>'Прил.5 Расчет СМР и ОБ'!G97</f>
        <v>50194.87</v>
      </c>
      <c r="C19" s="27">
        <f>B19/$B$21</f>
        <v>0.1792242574189</v>
      </c>
      <c r="D19" s="27">
        <f>B19/$B$35</f>
        <v>8.6633104122908998E-3</v>
      </c>
      <c r="I19" s="28"/>
      <c r="J19" s="28"/>
    </row>
    <row r="20" spans="1:10" x14ac:dyDescent="0.25">
      <c r="A20" s="25" t="s">
        <v>280</v>
      </c>
      <c r="B20" s="29">
        <f>B19/(B8+B12)</f>
        <v>0.84047339897732998</v>
      </c>
      <c r="C20" s="27"/>
      <c r="D20" s="27"/>
      <c r="J20" s="28"/>
    </row>
    <row r="21" spans="1:10" x14ac:dyDescent="0.25">
      <c r="A21" s="25" t="s">
        <v>281</v>
      </c>
      <c r="B21" s="26">
        <f>B16+B17+B19</f>
        <v>280067.39</v>
      </c>
      <c r="C21" s="27">
        <f>B21/$B$21</f>
        <v>1</v>
      </c>
      <c r="D21" s="27">
        <f>B21/$B$35</f>
        <v>4.8337822887680001E-2</v>
      </c>
      <c r="J21" s="28"/>
    </row>
    <row r="22" spans="1:10" ht="26.45" customHeight="1" x14ac:dyDescent="0.25">
      <c r="A22" s="25" t="s">
        <v>282</v>
      </c>
      <c r="B22" s="26">
        <f>'Прил.6 Расчет ОБ'!G17</f>
        <v>5336999.6399999997</v>
      </c>
      <c r="C22" s="27"/>
      <c r="D22" s="27">
        <f>B22/$B$35</f>
        <v>0.92113167245188998</v>
      </c>
      <c r="J22" s="28"/>
    </row>
    <row r="23" spans="1:10" ht="26.45" customHeight="1" x14ac:dyDescent="0.25">
      <c r="A23" s="25" t="s">
        <v>283</v>
      </c>
      <c r="B23" s="26">
        <f>'Прил.6 Расчет ОБ'!G16</f>
        <v>5336999.6399999997</v>
      </c>
      <c r="C23" s="27"/>
      <c r="D23" s="27">
        <f>B23/$B$35</f>
        <v>0.92113167245188998</v>
      </c>
      <c r="J23" s="28"/>
    </row>
    <row r="24" spans="1:10" x14ac:dyDescent="0.25">
      <c r="A24" s="25" t="s">
        <v>284</v>
      </c>
      <c r="B24" s="26">
        <f>'Прил.5 Расчет СМР и ОБ'!G100</f>
        <v>5617067.0300000003</v>
      </c>
      <c r="C24" s="27"/>
      <c r="D24" s="27">
        <f>B24/$B$35</f>
        <v>0.96946949533957005</v>
      </c>
      <c r="J24" s="28"/>
    </row>
    <row r="25" spans="1:10" ht="26.45" customHeight="1" x14ac:dyDescent="0.25">
      <c r="A25" s="25" t="s">
        <v>285</v>
      </c>
      <c r="B25" s="26"/>
      <c r="C25" s="27"/>
      <c r="D25" s="27"/>
      <c r="J25" s="28"/>
    </row>
    <row r="26" spans="1:10" x14ac:dyDescent="0.25">
      <c r="A26" s="25" t="s">
        <v>286</v>
      </c>
      <c r="B26" s="26">
        <f>'4.7 Прил.6 Расчет Прочие'!I9*1000</f>
        <v>278.41007999999999</v>
      </c>
      <c r="C26" s="27"/>
      <c r="D26" s="27">
        <f>B26/$B$35</f>
        <v>4.8051781884299003E-5</v>
      </c>
      <c r="J26" s="28"/>
    </row>
    <row r="27" spans="1:10" x14ac:dyDescent="0.25">
      <c r="A27" s="25" t="s">
        <v>287</v>
      </c>
      <c r="B27" s="26">
        <f>'4.7 Прил.6 Расчет Прочие'!I11*1000</f>
        <v>86.950678710000005</v>
      </c>
      <c r="C27" s="27"/>
      <c r="D27" s="27">
        <f>B27/$B$35</f>
        <v>1.5007125633039999E-5</v>
      </c>
      <c r="J27" s="28"/>
    </row>
    <row r="28" spans="1:10" x14ac:dyDescent="0.25">
      <c r="A28" s="25" t="s">
        <v>288</v>
      </c>
      <c r="B28" s="26">
        <f>'4.7 Прил.6 Расчет Прочие'!I12*1000</f>
        <v>5470.4031199999999</v>
      </c>
      <c r="C28" s="27"/>
      <c r="D28" s="27">
        <f>B28/$B$35</f>
        <v>9.441562516035E-4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289</v>
      </c>
      <c r="B30" s="26">
        <f>'4.7 Прил.6 Расчет Прочие'!I14*1000</f>
        <v>2300.6417510043998</v>
      </c>
      <c r="C30" s="27"/>
      <c r="D30" s="27">
        <f>B30/$B$35</f>
        <v>3.9707590908049999E-4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290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291</v>
      </c>
      <c r="B33" s="26">
        <f>B24+B26+B27+B28+B30+B32</f>
        <v>5625203.4356297003</v>
      </c>
      <c r="C33" s="27"/>
      <c r="D33" s="27">
        <f>B33/$B$35</f>
        <v>0.97087378640777</v>
      </c>
      <c r="J33" s="28"/>
    </row>
    <row r="34" spans="1:10" x14ac:dyDescent="0.25">
      <c r="A34" s="25" t="s">
        <v>292</v>
      </c>
      <c r="B34" s="26">
        <f>B33*3%</f>
        <v>168756.10306888999</v>
      </c>
      <c r="C34" s="27"/>
      <c r="D34" s="27">
        <f>B34/$B$35</f>
        <v>2.9126213592233E-2</v>
      </c>
      <c r="J34" s="28"/>
    </row>
    <row r="35" spans="1:10" x14ac:dyDescent="0.25">
      <c r="A35" s="25" t="s">
        <v>293</v>
      </c>
      <c r="B35" s="26">
        <f>B33+B34</f>
        <v>5793959.5386985997</v>
      </c>
      <c r="C35" s="27"/>
      <c r="D35" s="27">
        <f>B35/$B$35</f>
        <v>1</v>
      </c>
      <c r="J35" s="28"/>
    </row>
    <row r="36" spans="1:10" x14ac:dyDescent="0.25">
      <c r="A36" s="25" t="s">
        <v>294</v>
      </c>
      <c r="B36" s="26">
        <f>B35</f>
        <v>5793959.5386985997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295</v>
      </c>
      <c r="B38" s="30"/>
      <c r="C38" s="30"/>
      <c r="D38" s="30"/>
    </row>
    <row r="39" spans="1:10" x14ac:dyDescent="0.25">
      <c r="A39" s="31" t="s">
        <v>296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297</v>
      </c>
      <c r="B41" s="30"/>
      <c r="C41" s="30"/>
      <c r="D41" s="30"/>
    </row>
    <row r="42" spans="1:10" x14ac:dyDescent="0.25">
      <c r="A42" s="31" t="s">
        <v>298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299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1" t="s">
        <v>264</v>
      </c>
      <c r="C5" s="231"/>
      <c r="D5" s="231"/>
      <c r="E5" s="231"/>
    </row>
    <row r="6" spans="2:5" x14ac:dyDescent="0.25">
      <c r="B6" s="139"/>
      <c r="C6" s="4"/>
      <c r="D6" s="4"/>
      <c r="E6" s="4"/>
    </row>
    <row r="7" spans="2:5" ht="25.5" customHeight="1" x14ac:dyDescent="0.25">
      <c r="B7" s="262" t="s">
        <v>48</v>
      </c>
      <c r="C7" s="262"/>
      <c r="D7" s="262"/>
      <c r="E7" s="262"/>
    </row>
    <row r="8" spans="2:5" x14ac:dyDescent="0.25">
      <c r="B8" s="263" t="s">
        <v>50</v>
      </c>
      <c r="C8" s="263"/>
      <c r="D8" s="263"/>
      <c r="E8" s="263"/>
    </row>
    <row r="9" spans="2:5" x14ac:dyDescent="0.25">
      <c r="B9" s="139"/>
      <c r="C9" s="4"/>
      <c r="D9" s="4"/>
      <c r="E9" s="4"/>
    </row>
    <row r="10" spans="2:5" ht="51" customHeight="1" x14ac:dyDescent="0.25">
      <c r="B10" s="2" t="s">
        <v>265</v>
      </c>
      <c r="C10" s="2" t="s">
        <v>300</v>
      </c>
      <c r="D10" s="2" t="s">
        <v>301</v>
      </c>
      <c r="E10" s="2" t="s">
        <v>302</v>
      </c>
    </row>
    <row r="11" spans="2:5" x14ac:dyDescent="0.25">
      <c r="B11" s="25" t="s">
        <v>268</v>
      </c>
      <c r="C11" s="180">
        <f>'Прил.5 Расчет СМР и ОБ'!J16</f>
        <v>2407162.58</v>
      </c>
      <c r="D11" s="27">
        <f t="shared" ref="D11:D18" si="0">C11/$C$24</f>
        <v>0.30311996539401997</v>
      </c>
      <c r="E11" s="27">
        <f t="shared" ref="E11:E18" si="1">C11/$C$40</f>
        <v>5.3593460841569997E-2</v>
      </c>
    </row>
    <row r="12" spans="2:5" x14ac:dyDescent="0.25">
      <c r="B12" s="25" t="s">
        <v>269</v>
      </c>
      <c r="C12" s="180">
        <f>'Прил.5 Расчет СМР и ОБ'!J24</f>
        <v>956149.87</v>
      </c>
      <c r="D12" s="27">
        <f t="shared" si="0"/>
        <v>0.12040238491324</v>
      </c>
      <c r="E12" s="27">
        <f t="shared" si="1"/>
        <v>2.1287876873076001E-2</v>
      </c>
    </row>
    <row r="13" spans="2:5" x14ac:dyDescent="0.25">
      <c r="B13" s="25" t="s">
        <v>270</v>
      </c>
      <c r="C13" s="180">
        <f>'Прил.5 Расчет СМР и ОБ'!J35</f>
        <v>97918.34</v>
      </c>
      <c r="D13" s="27">
        <f t="shared" si="0"/>
        <v>1.2330286320852001E-2</v>
      </c>
      <c r="E13" s="27">
        <f t="shared" si="1"/>
        <v>2.1800699147049001E-3</v>
      </c>
    </row>
    <row r="14" spans="2:5" x14ac:dyDescent="0.25">
      <c r="B14" s="25" t="s">
        <v>271</v>
      </c>
      <c r="C14" s="180">
        <f>C13+C12</f>
        <v>1054068.21</v>
      </c>
      <c r="D14" s="27">
        <f t="shared" si="0"/>
        <v>0.13273267123408999</v>
      </c>
      <c r="E14" s="27">
        <f t="shared" si="1"/>
        <v>2.3467946787781E-2</v>
      </c>
    </row>
    <row r="15" spans="2:5" x14ac:dyDescent="0.25">
      <c r="B15" s="25" t="s">
        <v>272</v>
      </c>
      <c r="C15" s="180">
        <f>'Прил.5 Расчет СМР и ОБ'!J18</f>
        <v>333268.55</v>
      </c>
      <c r="D15" s="27">
        <f t="shared" si="0"/>
        <v>4.1966567685227003E-2</v>
      </c>
      <c r="E15" s="27">
        <f t="shared" si="1"/>
        <v>7.4199454297563996E-3</v>
      </c>
    </row>
    <row r="16" spans="2:5" x14ac:dyDescent="0.25">
      <c r="B16" s="25" t="s">
        <v>273</v>
      </c>
      <c r="C16" s="180">
        <f>'Прил.5 Расчет СМР и ОБ'!J56</f>
        <v>433637.82</v>
      </c>
      <c r="D16" s="27">
        <f t="shared" si="0"/>
        <v>5.460548534779E-2</v>
      </c>
      <c r="E16" s="27">
        <f t="shared" si="1"/>
        <v>9.6545832502903002E-3</v>
      </c>
    </row>
    <row r="17" spans="2:7" x14ac:dyDescent="0.25">
      <c r="B17" s="25" t="s">
        <v>274</v>
      </c>
      <c r="C17" s="180">
        <f>'Прил.5 Расчет СМР и ОБ'!J94</f>
        <v>72793.05</v>
      </c>
      <c r="D17" s="27">
        <f t="shared" si="0"/>
        <v>9.1664048703038997E-3</v>
      </c>
      <c r="E17" s="27">
        <f t="shared" si="1"/>
        <v>1.6206763544461E-3</v>
      </c>
      <c r="G17" s="140"/>
    </row>
    <row r="18" spans="2:7" x14ac:dyDescent="0.25">
      <c r="B18" s="25" t="s">
        <v>275</v>
      </c>
      <c r="C18" s="180">
        <f>C17+C16</f>
        <v>506430.87</v>
      </c>
      <c r="D18" s="27">
        <f t="shared" si="0"/>
        <v>6.3771890218093999E-2</v>
      </c>
      <c r="E18" s="27">
        <f t="shared" si="1"/>
        <v>1.1275259604736E-2</v>
      </c>
    </row>
    <row r="19" spans="2:7" x14ac:dyDescent="0.25">
      <c r="B19" s="25" t="s">
        <v>276</v>
      </c>
      <c r="C19" s="180">
        <f>C18+C14+C11</f>
        <v>3967661.66</v>
      </c>
      <c r="D19" s="27"/>
      <c r="E19" s="25"/>
    </row>
    <row r="20" spans="2:7" x14ac:dyDescent="0.25">
      <c r="B20" s="25" t="s">
        <v>277</v>
      </c>
      <c r="C20" s="180">
        <f>ROUND(C21*(C11+C15),2)</f>
        <v>1671662.99</v>
      </c>
      <c r="D20" s="27">
        <f>C20/$C$24</f>
        <v>0.21050278526648999</v>
      </c>
      <c r="E20" s="27">
        <f>C20/$C$40</f>
        <v>3.7218177841093998E-2</v>
      </c>
    </row>
    <row r="21" spans="2:7" x14ac:dyDescent="0.25">
      <c r="B21" s="25" t="s">
        <v>278</v>
      </c>
      <c r="C21" s="29">
        <f>'Прил.5 Расчет СМР и ОБ'!D98</f>
        <v>0.61</v>
      </c>
      <c r="D21" s="27"/>
      <c r="E21" s="25"/>
    </row>
    <row r="22" spans="2:7" x14ac:dyDescent="0.25">
      <c r="B22" s="25" t="s">
        <v>279</v>
      </c>
      <c r="C22" s="180">
        <f>ROUND(C23*(C11+C15),2)</f>
        <v>2301962.15</v>
      </c>
      <c r="D22" s="27">
        <f>C22/$C$24</f>
        <v>0.28987268788731002</v>
      </c>
      <c r="E22" s="27">
        <f>C22/$C$40</f>
        <v>5.1251261285724999E-2</v>
      </c>
    </row>
    <row r="23" spans="2:7" x14ac:dyDescent="0.25">
      <c r="B23" s="25" t="s">
        <v>280</v>
      </c>
      <c r="C23" s="29">
        <f>'Прил.5 Расчет СМР и ОБ'!D97</f>
        <v>0.84</v>
      </c>
      <c r="D23" s="27"/>
      <c r="E23" s="25"/>
    </row>
    <row r="24" spans="2:7" x14ac:dyDescent="0.25">
      <c r="B24" s="25" t="s">
        <v>281</v>
      </c>
      <c r="C24" s="180">
        <f>C19+C20+C22</f>
        <v>7941286.7999999998</v>
      </c>
      <c r="D24" s="27">
        <f>C24/$C$24</f>
        <v>1</v>
      </c>
      <c r="E24" s="27">
        <f>C24/$C$40</f>
        <v>0.17680610636090999</v>
      </c>
    </row>
    <row r="25" spans="2:7" ht="25.5" customHeight="1" x14ac:dyDescent="0.25">
      <c r="B25" s="25" t="s">
        <v>282</v>
      </c>
      <c r="C25" s="180">
        <f>'Прил.5 Расчет СМР и ОБ'!J45</f>
        <v>33409617.57</v>
      </c>
      <c r="D25" s="27"/>
      <c r="E25" s="27">
        <f>C25/$C$40</f>
        <v>0.74383718235169005</v>
      </c>
    </row>
    <row r="26" spans="2:7" ht="25.5" customHeight="1" x14ac:dyDescent="0.25">
      <c r="B26" s="25" t="s">
        <v>283</v>
      </c>
      <c r="C26" s="180">
        <f>C25</f>
        <v>33409617.57</v>
      </c>
      <c r="D26" s="27"/>
      <c r="E26" s="27">
        <f>C26/$C$40</f>
        <v>0.74383718235169005</v>
      </c>
    </row>
    <row r="27" spans="2:7" x14ac:dyDescent="0.25">
      <c r="B27" s="25" t="s">
        <v>284</v>
      </c>
      <c r="C27" s="26">
        <f>C24+C25</f>
        <v>41350904.369999997</v>
      </c>
      <c r="D27" s="27"/>
      <c r="E27" s="27">
        <f>C27/$C$40</f>
        <v>0.92064328871259005</v>
      </c>
    </row>
    <row r="28" spans="2:7" ht="33" customHeight="1" x14ac:dyDescent="0.25">
      <c r="B28" s="25" t="s">
        <v>285</v>
      </c>
      <c r="C28" s="25"/>
      <c r="D28" s="25"/>
      <c r="E28" s="25"/>
    </row>
    <row r="29" spans="2:7" ht="25.5" customHeight="1" x14ac:dyDescent="0.25">
      <c r="B29" s="25" t="s">
        <v>303</v>
      </c>
      <c r="C29" s="26">
        <f>ROUND(C24*3.9%,2)</f>
        <v>309710.19</v>
      </c>
      <c r="D29" s="25"/>
      <c r="E29" s="27">
        <f t="shared" ref="E29:E38" si="2">C29/$C$40</f>
        <v>6.8954382549433002E-3</v>
      </c>
    </row>
    <row r="30" spans="2:7" ht="38.25" customHeight="1" x14ac:dyDescent="0.25">
      <c r="B30" s="25" t="s">
        <v>304</v>
      </c>
      <c r="C30" s="26">
        <f>ROUND((C24+C29)*2.1%,2)</f>
        <v>173270.94</v>
      </c>
      <c r="D30" s="25"/>
      <c r="E30" s="27">
        <f t="shared" si="2"/>
        <v>3.8577325084008002E-3</v>
      </c>
    </row>
    <row r="31" spans="2:7" ht="25.5" customHeight="1" x14ac:dyDescent="0.25">
      <c r="B31" s="25" t="s">
        <v>305</v>
      </c>
      <c r="C31" s="26">
        <v>776060.46</v>
      </c>
      <c r="D31" s="25"/>
      <c r="E31" s="27">
        <f t="shared" si="2"/>
        <v>1.7278336834939002E-2</v>
      </c>
    </row>
    <row r="32" spans="2:7" ht="25.5" customHeight="1" x14ac:dyDescent="0.25">
      <c r="B32" s="25" t="s">
        <v>306</v>
      </c>
      <c r="C32" s="26">
        <f>ROUND(C27*0%,2)</f>
        <v>0</v>
      </c>
      <c r="D32" s="25"/>
      <c r="E32" s="27">
        <f t="shared" si="2"/>
        <v>0</v>
      </c>
    </row>
    <row r="33" spans="2:12" ht="38.25" customHeight="1" x14ac:dyDescent="0.25">
      <c r="B33" s="25" t="s">
        <v>307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308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309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310</v>
      </c>
      <c r="C36" s="26">
        <f>ROUND((C27+C32+C33+C34+C35+C29+C31+C30)*2.14%,2)</f>
        <v>911852.84</v>
      </c>
      <c r="D36" s="25"/>
      <c r="E36" s="27">
        <f t="shared" si="2"/>
        <v>2.0301640562149E-2</v>
      </c>
      <c r="L36" s="141"/>
    </row>
    <row r="37" spans="2:12" x14ac:dyDescent="0.25">
      <c r="B37" s="25" t="s">
        <v>311</v>
      </c>
      <c r="C37" s="26">
        <f>ROUND((C27+C32+C33+C34+C35+C29+C31+C30)*0.2%,2)</f>
        <v>85219.89</v>
      </c>
      <c r="D37" s="25"/>
      <c r="E37" s="27">
        <f t="shared" si="2"/>
        <v>1.8973495498746001E-3</v>
      </c>
      <c r="L37" s="141"/>
    </row>
    <row r="38" spans="2:12" ht="38.25" customHeight="1" x14ac:dyDescent="0.25">
      <c r="B38" s="25" t="s">
        <v>291</v>
      </c>
      <c r="C38" s="180">
        <f>C27+C32+C33+C34+C35+C29+C31+C30+C36+C37</f>
        <v>43607018.689999998</v>
      </c>
      <c r="D38" s="25"/>
      <c r="E38" s="27">
        <f t="shared" si="2"/>
        <v>0.97087378642290001</v>
      </c>
    </row>
    <row r="39" spans="2:12" ht="13.5" customHeight="1" x14ac:dyDescent="0.25">
      <c r="B39" s="25" t="s">
        <v>292</v>
      </c>
      <c r="C39" s="180">
        <f>ROUND(C38*3%,2)</f>
        <v>1308210.56</v>
      </c>
      <c r="D39" s="25"/>
      <c r="E39" s="27">
        <f>C39/$C$38</f>
        <v>2.9999999983947999E-2</v>
      </c>
    </row>
    <row r="40" spans="2:12" x14ac:dyDescent="0.25">
      <c r="B40" s="25" t="s">
        <v>293</v>
      </c>
      <c r="C40" s="180">
        <f>C39+C38</f>
        <v>44915229.25</v>
      </c>
      <c r="D40" s="25"/>
      <c r="E40" s="27">
        <f>C40/$C$40</f>
        <v>1</v>
      </c>
    </row>
    <row r="41" spans="2:12" x14ac:dyDescent="0.25">
      <c r="B41" s="25" t="s">
        <v>294</v>
      </c>
      <c r="C41" s="180">
        <f>C40/'Прил.5 Расчет СМР и ОБ'!E101</f>
        <v>6416461.3214285998</v>
      </c>
      <c r="D41" s="25"/>
      <c r="E41" s="25"/>
    </row>
    <row r="42" spans="2:12" x14ac:dyDescent="0.25">
      <c r="B42" s="142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view="pageBreakPreview" topLeftCell="A5" zoomScaleSheetLayoutView="100" workbookViewId="0">
      <selection activeCell="B17" sqref="B17:H1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4" t="s">
        <v>312</v>
      </c>
      <c r="I2" s="274"/>
      <c r="J2" s="27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1" t="s">
        <v>313</v>
      </c>
      <c r="B4" s="231"/>
      <c r="C4" s="231"/>
      <c r="D4" s="231"/>
      <c r="E4" s="231"/>
      <c r="F4" s="231"/>
      <c r="G4" s="231"/>
      <c r="H4" s="231"/>
      <c r="I4" s="231"/>
      <c r="J4" s="231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93" t="s">
        <v>314</v>
      </c>
      <c r="B6" s="193"/>
      <c r="C6" s="193"/>
      <c r="D6" s="193" t="s">
        <v>315</v>
      </c>
      <c r="E6" s="193"/>
      <c r="F6" s="193"/>
      <c r="G6" s="193"/>
      <c r="H6" s="193"/>
      <c r="I6" s="144"/>
      <c r="J6" s="144"/>
    </row>
    <row r="7" spans="1:14" s="4" customFormat="1" ht="12.75" customHeight="1" x14ac:dyDescent="0.2">
      <c r="A7" s="234" t="s">
        <v>316</v>
      </c>
      <c r="B7" s="262"/>
      <c r="C7" s="262"/>
      <c r="D7" s="262"/>
      <c r="E7" s="262"/>
      <c r="F7" s="262"/>
      <c r="G7" s="262"/>
      <c r="H7" s="262"/>
      <c r="I7" s="49"/>
      <c r="J7" s="49"/>
    </row>
    <row r="8" spans="1:14" s="4" customFormat="1" ht="13.5" customHeight="1" x14ac:dyDescent="0.2">
      <c r="A8" s="234"/>
      <c r="B8" s="262"/>
      <c r="C8" s="262"/>
      <c r="D8" s="262"/>
      <c r="E8" s="262"/>
      <c r="F8" s="262"/>
      <c r="G8" s="262"/>
      <c r="H8" s="262"/>
    </row>
    <row r="9" spans="1:14" ht="27" customHeight="1" x14ac:dyDescent="0.25">
      <c r="A9" s="265" t="s">
        <v>13</v>
      </c>
      <c r="B9" s="265" t="s">
        <v>98</v>
      </c>
      <c r="C9" s="265" t="s">
        <v>265</v>
      </c>
      <c r="D9" s="265" t="s">
        <v>100</v>
      </c>
      <c r="E9" s="277" t="s">
        <v>317</v>
      </c>
      <c r="F9" s="275" t="s">
        <v>102</v>
      </c>
      <c r="G9" s="276"/>
      <c r="H9" s="277" t="s">
        <v>318</v>
      </c>
      <c r="I9" s="275" t="s">
        <v>319</v>
      </c>
      <c r="J9" s="276"/>
      <c r="M9" s="12"/>
      <c r="N9" s="12"/>
    </row>
    <row r="10" spans="1:14" ht="28.5" customHeight="1" x14ac:dyDescent="0.25">
      <c r="A10" s="265"/>
      <c r="B10" s="265"/>
      <c r="C10" s="265"/>
      <c r="D10" s="265"/>
      <c r="E10" s="278"/>
      <c r="F10" s="2" t="s">
        <v>320</v>
      </c>
      <c r="G10" s="2" t="s">
        <v>104</v>
      </c>
      <c r="H10" s="278"/>
      <c r="I10" s="2" t="s">
        <v>320</v>
      </c>
      <c r="J10" s="2" t="s">
        <v>104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1">
        <v>9</v>
      </c>
      <c r="J11" s="181">
        <v>10</v>
      </c>
      <c r="M11" s="12"/>
      <c r="N11" s="12"/>
    </row>
    <row r="12" spans="1:14" x14ac:dyDescent="0.25">
      <c r="A12" s="2"/>
      <c r="B12" s="269" t="s">
        <v>321</v>
      </c>
      <c r="C12" s="264"/>
      <c r="D12" s="265"/>
      <c r="E12" s="266"/>
      <c r="F12" s="267"/>
      <c r="G12" s="267"/>
      <c r="H12" s="268"/>
      <c r="I12" s="184"/>
      <c r="J12" s="184"/>
    </row>
    <row r="13" spans="1:14" x14ac:dyDescent="0.25">
      <c r="A13" s="2">
        <v>1</v>
      </c>
      <c r="B13" s="170" t="s">
        <v>108</v>
      </c>
      <c r="C13" s="8" t="s">
        <v>109</v>
      </c>
      <c r="D13" s="2" t="s">
        <v>123</v>
      </c>
      <c r="E13" s="145">
        <f>G13/F13</f>
        <v>1205.5003227888999</v>
      </c>
      <c r="F13" s="32">
        <v>15.49</v>
      </c>
      <c r="G13" s="32">
        <v>18673.2</v>
      </c>
      <c r="H13" s="185">
        <f>G13/G16</f>
        <v>0.35774154527826002</v>
      </c>
      <c r="I13" s="32">
        <f>ФОТр.тек.!E21</f>
        <v>713.02776960364997</v>
      </c>
      <c r="J13" s="32">
        <f>ROUND(I13*E13,2)</f>
        <v>859555.21</v>
      </c>
    </row>
    <row r="14" spans="1:14" x14ac:dyDescent="0.25">
      <c r="A14" s="2">
        <v>2</v>
      </c>
      <c r="B14" s="170" t="s">
        <v>112</v>
      </c>
      <c r="C14" s="8" t="s">
        <v>113</v>
      </c>
      <c r="D14" s="2" t="s">
        <v>123</v>
      </c>
      <c r="E14" s="145">
        <f>G14/F14</f>
        <v>1205.5003548616</v>
      </c>
      <c r="F14" s="32">
        <v>14.09</v>
      </c>
      <c r="G14" s="32">
        <v>16985.5</v>
      </c>
      <c r="H14" s="185">
        <f>G14/G16</f>
        <v>0.32540855436261001</v>
      </c>
      <c r="I14" s="32">
        <f>ФОТр.тек.!E29</f>
        <v>650.01601322007002</v>
      </c>
      <c r="J14" s="32">
        <f>ROUND(I14*E14,2)</f>
        <v>783594.53</v>
      </c>
    </row>
    <row r="15" spans="1:14" ht="25.5" customHeight="1" x14ac:dyDescent="0.25">
      <c r="A15" s="2">
        <v>3</v>
      </c>
      <c r="B15" s="170" t="s">
        <v>115</v>
      </c>
      <c r="C15" s="8" t="s">
        <v>322</v>
      </c>
      <c r="D15" s="2" t="s">
        <v>123</v>
      </c>
      <c r="E15" s="145">
        <f>G15/F15</f>
        <v>1719.2058212058</v>
      </c>
      <c r="F15" s="32">
        <v>9.6199999999999992</v>
      </c>
      <c r="G15" s="32">
        <v>16538.759999999998</v>
      </c>
      <c r="H15" s="185">
        <f>G15/G16</f>
        <v>0.31684990035914001</v>
      </c>
      <c r="I15" s="32">
        <f>ФОТр.тек.!E13</f>
        <v>444.39870291576</v>
      </c>
      <c r="J15" s="32">
        <f>ROUND(I15*E15,2)</f>
        <v>764012.84</v>
      </c>
    </row>
    <row r="16" spans="1:14" s="12" customFormat="1" ht="25.5" customHeight="1" x14ac:dyDescent="0.2">
      <c r="A16" s="2"/>
      <c r="B16" s="2"/>
      <c r="C16" s="104" t="s">
        <v>323</v>
      </c>
      <c r="D16" s="2" t="s">
        <v>123</v>
      </c>
      <c r="E16" s="145">
        <f>SUM(E13:E15)</f>
        <v>4130.2064988562997</v>
      </c>
      <c r="F16" s="32"/>
      <c r="G16" s="32">
        <f>SUM(G13:G15)</f>
        <v>52197.46</v>
      </c>
      <c r="H16" s="183">
        <v>1</v>
      </c>
      <c r="I16" s="184"/>
      <c r="J16" s="32">
        <f>SUM(J13:J15)</f>
        <v>2407162.58</v>
      </c>
    </row>
    <row r="17" spans="1:10" s="12" customFormat="1" ht="14.25" customHeight="1" x14ac:dyDescent="0.2">
      <c r="A17" s="2"/>
      <c r="B17" s="264" t="s">
        <v>127</v>
      </c>
      <c r="C17" s="264"/>
      <c r="D17" s="265"/>
      <c r="E17" s="266"/>
      <c r="F17" s="267"/>
      <c r="G17" s="267"/>
      <c r="H17" s="268"/>
      <c r="I17" s="184"/>
      <c r="J17" s="184"/>
    </row>
    <row r="18" spans="1:10" s="12" customFormat="1" ht="14.25" customHeight="1" x14ac:dyDescent="0.2">
      <c r="A18" s="2">
        <v>4</v>
      </c>
      <c r="B18" s="2">
        <v>2</v>
      </c>
      <c r="C18" s="8" t="s">
        <v>127</v>
      </c>
      <c r="D18" s="2" t="s">
        <v>123</v>
      </c>
      <c r="E18" s="145">
        <v>599.57640000000004</v>
      </c>
      <c r="F18" s="32">
        <f>G18/E18</f>
        <v>12.549993628835001</v>
      </c>
      <c r="G18" s="32">
        <f>'Прил. 3'!H20</f>
        <v>7524.68</v>
      </c>
      <c r="H18" s="183">
        <v>1</v>
      </c>
      <c r="I18" s="32">
        <f>ROUND(F18*'Прил. 10'!D11,2)</f>
        <v>555.84</v>
      </c>
      <c r="J18" s="32">
        <f>ROUND(I18*E18,2)</f>
        <v>333268.55</v>
      </c>
    </row>
    <row r="19" spans="1:10" s="12" customFormat="1" ht="14.25" customHeight="1" x14ac:dyDescent="0.2">
      <c r="A19" s="2"/>
      <c r="B19" s="269" t="s">
        <v>128</v>
      </c>
      <c r="C19" s="264"/>
      <c r="D19" s="265"/>
      <c r="E19" s="266"/>
      <c r="F19" s="267"/>
      <c r="G19" s="267"/>
      <c r="H19" s="268"/>
      <c r="I19" s="184"/>
      <c r="J19" s="184"/>
    </row>
    <row r="20" spans="1:10" s="12" customFormat="1" ht="14.25" customHeight="1" x14ac:dyDescent="0.2">
      <c r="A20" s="2"/>
      <c r="B20" s="264" t="s">
        <v>324</v>
      </c>
      <c r="C20" s="264"/>
      <c r="D20" s="265"/>
      <c r="E20" s="266"/>
      <c r="F20" s="267"/>
      <c r="G20" s="267"/>
      <c r="H20" s="268"/>
      <c r="I20" s="184"/>
      <c r="J20" s="184"/>
    </row>
    <row r="21" spans="1:10" s="12" customFormat="1" ht="38.25" customHeight="1" x14ac:dyDescent="0.2">
      <c r="A21" s="2">
        <v>5</v>
      </c>
      <c r="B21" s="170" t="s">
        <v>129</v>
      </c>
      <c r="C21" s="8" t="s">
        <v>130</v>
      </c>
      <c r="D21" s="2" t="s">
        <v>131</v>
      </c>
      <c r="E21" s="145">
        <v>336</v>
      </c>
      <c r="F21" s="32">
        <v>110.86</v>
      </c>
      <c r="G21" s="32">
        <f>ROUND(E21*F21,2)</f>
        <v>37248.959999999999</v>
      </c>
      <c r="H21" s="185">
        <f>G21/$G$36</f>
        <v>0.47600619017009999</v>
      </c>
      <c r="I21" s="32">
        <f>ROUND(F21*'Прил. 10'!$D$12,2)</f>
        <v>1493.28</v>
      </c>
      <c r="J21" s="32">
        <f>ROUND(I21*E21,2)</f>
        <v>501742.08000000002</v>
      </c>
    </row>
    <row r="22" spans="1:10" s="12" customFormat="1" ht="25.5" customHeight="1" x14ac:dyDescent="0.2">
      <c r="A22" s="2">
        <v>6</v>
      </c>
      <c r="B22" s="170" t="s">
        <v>132</v>
      </c>
      <c r="C22" s="8" t="s">
        <v>133</v>
      </c>
      <c r="D22" s="2" t="s">
        <v>131</v>
      </c>
      <c r="E22" s="145">
        <v>80.430000000000007</v>
      </c>
      <c r="F22" s="32">
        <v>287.99</v>
      </c>
      <c r="G22" s="32">
        <f>ROUND(E22*F22,2)</f>
        <v>23163.040000000001</v>
      </c>
      <c r="H22" s="185">
        <f>G22/$G$36</f>
        <v>0.29600156415529</v>
      </c>
      <c r="I22" s="32">
        <f>ROUND(F22*'Прил. 10'!$D$12,2)</f>
        <v>3879.23</v>
      </c>
      <c r="J22" s="32">
        <f>ROUND(I22*E22,2)</f>
        <v>312006.46999999997</v>
      </c>
    </row>
    <row r="23" spans="1:10" s="12" customFormat="1" ht="25.5" customHeight="1" x14ac:dyDescent="0.2">
      <c r="A23" s="2">
        <v>7</v>
      </c>
      <c r="B23" s="170" t="s">
        <v>134</v>
      </c>
      <c r="C23" s="8" t="s">
        <v>135</v>
      </c>
      <c r="D23" s="2" t="s">
        <v>131</v>
      </c>
      <c r="E23" s="145">
        <v>80.430000000000007</v>
      </c>
      <c r="F23" s="32">
        <v>131.44</v>
      </c>
      <c r="G23" s="32">
        <f>ROUND(E23*F23,2)</f>
        <v>10571.72</v>
      </c>
      <c r="H23" s="185">
        <f>G23/$G$36</f>
        <v>0.13509650096928999</v>
      </c>
      <c r="I23" s="32">
        <f>ROUND(F23*'Прил. 10'!$D$12,2)</f>
        <v>1770.5</v>
      </c>
      <c r="J23" s="32">
        <f>ROUND(I23*E23,2)</f>
        <v>142401.32</v>
      </c>
    </row>
    <row r="24" spans="1:10" s="12" customFormat="1" ht="14.25" customHeight="1" x14ac:dyDescent="0.2">
      <c r="A24" s="2"/>
      <c r="B24" s="170"/>
      <c r="C24" s="8" t="s">
        <v>325</v>
      </c>
      <c r="D24" s="2"/>
      <c r="E24" s="145"/>
      <c r="F24" s="32"/>
      <c r="G24" s="32">
        <f>SUM(G21:G23)</f>
        <v>70983.72</v>
      </c>
      <c r="H24" s="185">
        <f>G24/G36</f>
        <v>0.90710425529467997</v>
      </c>
      <c r="I24" s="32"/>
      <c r="J24" s="32">
        <f>SUM(J21:J23)</f>
        <v>956149.87</v>
      </c>
    </row>
    <row r="25" spans="1:10" s="12" customFormat="1" ht="25.5" customHeight="1" outlineLevel="1" x14ac:dyDescent="0.2">
      <c r="A25" s="2">
        <v>8</v>
      </c>
      <c r="B25" s="170" t="s">
        <v>136</v>
      </c>
      <c r="C25" s="8" t="s">
        <v>137</v>
      </c>
      <c r="D25" s="2" t="s">
        <v>131</v>
      </c>
      <c r="E25" s="145">
        <v>37.700000000000003</v>
      </c>
      <c r="F25" s="32">
        <v>111.99</v>
      </c>
      <c r="G25" s="32">
        <f t="shared" ref="G25:G34" si="0">ROUND(E25*F25,2)</f>
        <v>4222.0200000000004</v>
      </c>
      <c r="H25" s="185">
        <f t="shared" ref="H25:H34" si="1">G25/$G$36</f>
        <v>5.3953389705966998E-2</v>
      </c>
      <c r="I25" s="32">
        <f>ROUND(F25*'Прил. 10'!$D$12,2)</f>
        <v>1508.51</v>
      </c>
      <c r="J25" s="32">
        <f t="shared" ref="J25:J34" si="2">ROUND(I25*E25,2)</f>
        <v>56870.83</v>
      </c>
    </row>
    <row r="26" spans="1:10" s="12" customFormat="1" ht="25.5" customHeight="1" outlineLevel="1" x14ac:dyDescent="0.2">
      <c r="A26" s="2">
        <v>9</v>
      </c>
      <c r="B26" s="170" t="s">
        <v>138</v>
      </c>
      <c r="C26" s="8" t="s">
        <v>139</v>
      </c>
      <c r="D26" s="2" t="s">
        <v>131</v>
      </c>
      <c r="E26" s="145">
        <v>24.47</v>
      </c>
      <c r="F26" s="32">
        <v>65.709999999999994</v>
      </c>
      <c r="G26" s="32">
        <f t="shared" si="0"/>
        <v>1607.92</v>
      </c>
      <c r="H26" s="185">
        <f t="shared" si="1"/>
        <v>2.0547684372886999E-2</v>
      </c>
      <c r="I26" s="32">
        <f>ROUND(F26*'Прил. 10'!$D$12,2)</f>
        <v>885.11</v>
      </c>
      <c r="J26" s="32">
        <f t="shared" si="2"/>
        <v>21658.639999999999</v>
      </c>
    </row>
    <row r="27" spans="1:10" s="12" customFormat="1" ht="25.5" customHeight="1" outlineLevel="1" x14ac:dyDescent="0.2">
      <c r="A27" s="2">
        <v>10</v>
      </c>
      <c r="B27" s="170" t="s">
        <v>140</v>
      </c>
      <c r="C27" s="8" t="s">
        <v>141</v>
      </c>
      <c r="D27" s="2" t="s">
        <v>131</v>
      </c>
      <c r="E27" s="145">
        <v>27.21</v>
      </c>
      <c r="F27" s="32">
        <v>29.6</v>
      </c>
      <c r="G27" s="32">
        <f t="shared" si="0"/>
        <v>805.42</v>
      </c>
      <c r="H27" s="185">
        <f t="shared" si="1"/>
        <v>1.0292499594265E-2</v>
      </c>
      <c r="I27" s="32">
        <f>ROUND(F27*'Прил. 10'!$D$12,2)</f>
        <v>398.71</v>
      </c>
      <c r="J27" s="32">
        <f t="shared" si="2"/>
        <v>10848.9</v>
      </c>
    </row>
    <row r="28" spans="1:10" s="12" customFormat="1" ht="25.5" customHeight="1" outlineLevel="1" x14ac:dyDescent="0.2">
      <c r="A28" s="2">
        <v>11</v>
      </c>
      <c r="B28" s="170" t="s">
        <v>142</v>
      </c>
      <c r="C28" s="8" t="s">
        <v>143</v>
      </c>
      <c r="D28" s="2" t="s">
        <v>131</v>
      </c>
      <c r="E28" s="145">
        <v>44.94</v>
      </c>
      <c r="F28" s="32">
        <v>8.1</v>
      </c>
      <c r="G28" s="32">
        <f t="shared" si="0"/>
        <v>364.01</v>
      </c>
      <c r="H28" s="185">
        <f t="shared" si="1"/>
        <v>4.6517006993971998E-3</v>
      </c>
      <c r="I28" s="32">
        <f>ROUND(F28*'Прил. 10'!$D$12,2)</f>
        <v>109.11</v>
      </c>
      <c r="J28" s="32">
        <f t="shared" si="2"/>
        <v>4903.3999999999996</v>
      </c>
    </row>
    <row r="29" spans="1:10" s="12" customFormat="1" ht="25.5" customHeight="1" outlineLevel="1" x14ac:dyDescent="0.2">
      <c r="A29" s="2">
        <v>12</v>
      </c>
      <c r="B29" s="170" t="s">
        <v>144</v>
      </c>
      <c r="C29" s="8" t="s">
        <v>145</v>
      </c>
      <c r="D29" s="2" t="s">
        <v>131</v>
      </c>
      <c r="E29" s="145">
        <v>160.86000000000001</v>
      </c>
      <c r="F29" s="32">
        <v>0.9</v>
      </c>
      <c r="G29" s="32">
        <f t="shared" si="0"/>
        <v>144.77000000000001</v>
      </c>
      <c r="H29" s="185">
        <f t="shared" si="1"/>
        <v>1.850022555017E-3</v>
      </c>
      <c r="I29" s="32">
        <f>ROUND(F29*'Прил. 10'!$D$12,2)</f>
        <v>12.12</v>
      </c>
      <c r="J29" s="32">
        <f t="shared" si="2"/>
        <v>1949.62</v>
      </c>
    </row>
    <row r="30" spans="1:10" s="12" customFormat="1" ht="25.5" customHeight="1" outlineLevel="1" x14ac:dyDescent="0.2">
      <c r="A30" s="2">
        <v>13</v>
      </c>
      <c r="B30" s="170" t="s">
        <v>146</v>
      </c>
      <c r="C30" s="8" t="s">
        <v>147</v>
      </c>
      <c r="D30" s="2" t="s">
        <v>131</v>
      </c>
      <c r="E30" s="145">
        <v>0.81</v>
      </c>
      <c r="F30" s="32">
        <v>70</v>
      </c>
      <c r="G30" s="32">
        <f t="shared" si="0"/>
        <v>56.7</v>
      </c>
      <c r="H30" s="185">
        <f t="shared" si="1"/>
        <v>7.2457193389144001E-4</v>
      </c>
      <c r="I30" s="32">
        <f>ROUND(F30*'Прил. 10'!$D$12,2)</f>
        <v>942.9</v>
      </c>
      <c r="J30" s="32">
        <f t="shared" si="2"/>
        <v>763.75</v>
      </c>
    </row>
    <row r="31" spans="1:10" s="12" customFormat="1" ht="25.5" customHeight="1" outlineLevel="1" x14ac:dyDescent="0.2">
      <c r="A31" s="2">
        <v>14</v>
      </c>
      <c r="B31" s="170" t="s">
        <v>148</v>
      </c>
      <c r="C31" s="8" t="s">
        <v>149</v>
      </c>
      <c r="D31" s="2" t="s">
        <v>131</v>
      </c>
      <c r="E31" s="145">
        <v>0.81</v>
      </c>
      <c r="F31" s="32">
        <v>56.24</v>
      </c>
      <c r="G31" s="32">
        <f t="shared" si="0"/>
        <v>45.55</v>
      </c>
      <c r="H31" s="185">
        <f t="shared" si="1"/>
        <v>5.8208556593924001E-4</v>
      </c>
      <c r="I31" s="32">
        <f>ROUND(F31*'Прил. 10'!$D$12,2)</f>
        <v>757.55</v>
      </c>
      <c r="J31" s="32">
        <f t="shared" si="2"/>
        <v>613.62</v>
      </c>
    </row>
    <row r="32" spans="1:10" s="12" customFormat="1" ht="25.5" customHeight="1" outlineLevel="1" x14ac:dyDescent="0.2">
      <c r="A32" s="2">
        <v>15</v>
      </c>
      <c r="B32" s="170" t="s">
        <v>150</v>
      </c>
      <c r="C32" s="8" t="s">
        <v>151</v>
      </c>
      <c r="D32" s="2" t="s">
        <v>131</v>
      </c>
      <c r="E32" s="145">
        <v>0.81</v>
      </c>
      <c r="F32" s="32">
        <v>16.920000000000002</v>
      </c>
      <c r="G32" s="32">
        <f t="shared" si="0"/>
        <v>13.71</v>
      </c>
      <c r="H32" s="185">
        <f t="shared" si="1"/>
        <v>1.7520072687216001E-4</v>
      </c>
      <c r="I32" s="32">
        <f>ROUND(F32*'Прил. 10'!$D$12,2)</f>
        <v>227.91</v>
      </c>
      <c r="J32" s="32">
        <f t="shared" si="2"/>
        <v>184.61</v>
      </c>
    </row>
    <row r="33" spans="1:10" s="12" customFormat="1" ht="38.25" customHeight="1" outlineLevel="1" x14ac:dyDescent="0.2">
      <c r="A33" s="2">
        <v>16</v>
      </c>
      <c r="B33" s="170" t="s">
        <v>152</v>
      </c>
      <c r="C33" s="8" t="s">
        <v>153</v>
      </c>
      <c r="D33" s="2" t="s">
        <v>131</v>
      </c>
      <c r="E33" s="145">
        <v>1.08</v>
      </c>
      <c r="F33" s="32">
        <v>6.82</v>
      </c>
      <c r="G33" s="32">
        <f t="shared" si="0"/>
        <v>7.37</v>
      </c>
      <c r="H33" s="185">
        <f t="shared" si="1"/>
        <v>9.4181572359434003E-5</v>
      </c>
      <c r="I33" s="32">
        <f>ROUND(F33*'Прил. 10'!$D$12,2)</f>
        <v>91.87</v>
      </c>
      <c r="J33" s="32">
        <f t="shared" si="2"/>
        <v>99.22</v>
      </c>
    </row>
    <row r="34" spans="1:10" s="12" customFormat="1" ht="14.25" customHeight="1" outlineLevel="1" x14ac:dyDescent="0.2">
      <c r="A34" s="2">
        <v>17</v>
      </c>
      <c r="B34" s="170" t="s">
        <v>154</v>
      </c>
      <c r="C34" s="8" t="s">
        <v>155</v>
      </c>
      <c r="D34" s="2" t="s">
        <v>131</v>
      </c>
      <c r="E34" s="145">
        <v>0.81</v>
      </c>
      <c r="F34" s="32">
        <v>2.36</v>
      </c>
      <c r="G34" s="32">
        <f t="shared" si="0"/>
        <v>1.91</v>
      </c>
      <c r="H34" s="185">
        <f t="shared" si="1"/>
        <v>2.4407978725443001E-5</v>
      </c>
      <c r="I34" s="32">
        <f>ROUND(F34*'Прил. 10'!$D$12,2)</f>
        <v>31.79</v>
      </c>
      <c r="J34" s="32">
        <f t="shared" si="2"/>
        <v>25.75</v>
      </c>
    </row>
    <row r="35" spans="1:10" s="12" customFormat="1" ht="14.25" customHeight="1" x14ac:dyDescent="0.2">
      <c r="A35" s="2"/>
      <c r="B35" s="2"/>
      <c r="C35" s="8" t="s">
        <v>326</v>
      </c>
      <c r="D35" s="2"/>
      <c r="E35" s="182"/>
      <c r="F35" s="32"/>
      <c r="G35" s="186">
        <f>SUM(G25:G34)</f>
        <v>7269.38</v>
      </c>
      <c r="H35" s="185">
        <f>G35/G36</f>
        <v>9.2895744705321998E-2</v>
      </c>
      <c r="I35" s="32"/>
      <c r="J35" s="32">
        <f>SUM(J25:J34)</f>
        <v>97918.34</v>
      </c>
    </row>
    <row r="36" spans="1:10" s="12" customFormat="1" ht="25.5" customHeight="1" x14ac:dyDescent="0.2">
      <c r="A36" s="2"/>
      <c r="B36" s="2"/>
      <c r="C36" s="104" t="s">
        <v>327</v>
      </c>
      <c r="D36" s="2"/>
      <c r="E36" s="182"/>
      <c r="F36" s="32"/>
      <c r="G36" s="32">
        <f>G35+G24</f>
        <v>78253.100000000006</v>
      </c>
      <c r="H36" s="187">
        <v>1</v>
      </c>
      <c r="I36" s="188"/>
      <c r="J36" s="189">
        <f>J35+J24</f>
        <v>1054068.21</v>
      </c>
    </row>
    <row r="37" spans="1:10" s="12" customFormat="1" ht="14.25" customHeight="1" x14ac:dyDescent="0.2">
      <c r="A37" s="2"/>
      <c r="B37" s="269" t="s">
        <v>43</v>
      </c>
      <c r="C37" s="269"/>
      <c r="D37" s="270"/>
      <c r="E37" s="271"/>
      <c r="F37" s="272"/>
      <c r="G37" s="272"/>
      <c r="H37" s="273"/>
      <c r="I37" s="184"/>
      <c r="J37" s="184"/>
    </row>
    <row r="38" spans="1:10" x14ac:dyDescent="0.25">
      <c r="A38" s="2"/>
      <c r="B38" s="264" t="s">
        <v>328</v>
      </c>
      <c r="C38" s="264"/>
      <c r="D38" s="265"/>
      <c r="E38" s="266"/>
      <c r="F38" s="267"/>
      <c r="G38" s="267"/>
      <c r="H38" s="268"/>
      <c r="I38" s="184"/>
      <c r="J38" s="184"/>
    </row>
    <row r="39" spans="1:10" ht="25.5" customHeight="1" x14ac:dyDescent="0.25">
      <c r="A39" s="2">
        <v>18</v>
      </c>
      <c r="B39" s="170" t="s">
        <v>329</v>
      </c>
      <c r="C39" s="8" t="s">
        <v>157</v>
      </c>
      <c r="D39" s="2" t="s">
        <v>158</v>
      </c>
      <c r="E39" s="218">
        <v>21</v>
      </c>
      <c r="F39" s="32">
        <f>ROUND(I39/'Прил. 10'!$D$14,2)</f>
        <v>250985.56</v>
      </c>
      <c r="G39" s="32">
        <f>F39*E39</f>
        <v>5270696.76</v>
      </c>
      <c r="H39" s="183">
        <f t="shared" ref="H39:H45" si="3">G39/$G$45</f>
        <v>0.98757675014571</v>
      </c>
      <c r="I39" s="32">
        <v>1571169.6</v>
      </c>
      <c r="J39" s="190">
        <f>ROUND(I39*E39,2)</f>
        <v>32994561.600000001</v>
      </c>
    </row>
    <row r="40" spans="1:10" x14ac:dyDescent="0.25">
      <c r="A40" s="2"/>
      <c r="B40" s="2"/>
      <c r="C40" s="8" t="s">
        <v>330</v>
      </c>
      <c r="D40" s="2"/>
      <c r="E40" s="218"/>
      <c r="F40" s="103"/>
      <c r="G40" s="32">
        <f>G39</f>
        <v>5270696.76</v>
      </c>
      <c r="H40" s="183">
        <f t="shared" si="3"/>
        <v>0.98757675014571</v>
      </c>
      <c r="I40" s="186"/>
      <c r="J40" s="32">
        <f>J39</f>
        <v>32994561.600000001</v>
      </c>
    </row>
    <row r="41" spans="1:10" ht="25.5" customHeight="1" x14ac:dyDescent="0.25">
      <c r="A41" s="2">
        <v>19</v>
      </c>
      <c r="B41" s="170" t="s">
        <v>156</v>
      </c>
      <c r="C41" s="8" t="s">
        <v>160</v>
      </c>
      <c r="D41" s="2" t="s">
        <v>158</v>
      </c>
      <c r="E41" s="218">
        <v>7</v>
      </c>
      <c r="F41" s="32">
        <v>6790.9</v>
      </c>
      <c r="G41" s="32">
        <f>F41*E41</f>
        <v>47536.3</v>
      </c>
      <c r="H41" s="183">
        <f t="shared" si="3"/>
        <v>8.9069333345505007E-3</v>
      </c>
      <c r="I41" s="32">
        <f>ROUND(F41*'Прил. 10'!$D$14,2)</f>
        <v>42511.03</v>
      </c>
      <c r="J41" s="190">
        <f>ROUND(I41*E41,2)</f>
        <v>297577.21000000002</v>
      </c>
    </row>
    <row r="42" spans="1:10" ht="25.5" customHeight="1" x14ac:dyDescent="0.25">
      <c r="A42" s="2">
        <v>20</v>
      </c>
      <c r="B42" s="170" t="s">
        <v>156</v>
      </c>
      <c r="C42" s="8" t="s">
        <v>161</v>
      </c>
      <c r="D42" s="2" t="s">
        <v>158</v>
      </c>
      <c r="E42" s="218">
        <v>7</v>
      </c>
      <c r="F42" s="32">
        <v>1759.31</v>
      </c>
      <c r="G42" s="32">
        <f>F42*E42</f>
        <v>12315.17</v>
      </c>
      <c r="H42" s="183">
        <f t="shared" si="3"/>
        <v>2.3075081189249998E-3</v>
      </c>
      <c r="I42" s="32">
        <f>ROUND(F42*'Прил. 10'!$D$14,2)</f>
        <v>11013.28</v>
      </c>
      <c r="J42" s="190">
        <f>ROUND(I42*E42,2)</f>
        <v>77092.960000000006</v>
      </c>
    </row>
    <row r="43" spans="1:10" ht="25.5" customHeight="1" x14ac:dyDescent="0.25">
      <c r="A43" s="2">
        <v>21</v>
      </c>
      <c r="B43" s="170" t="s">
        <v>156</v>
      </c>
      <c r="C43" s="8" t="s">
        <v>163</v>
      </c>
      <c r="D43" s="2" t="s">
        <v>158</v>
      </c>
      <c r="E43" s="218">
        <v>7</v>
      </c>
      <c r="F43" s="32">
        <v>921.63</v>
      </c>
      <c r="G43" s="32">
        <f>F43*E43</f>
        <v>6451.41</v>
      </c>
      <c r="H43" s="183">
        <f t="shared" si="3"/>
        <v>1.208808400819E-3</v>
      </c>
      <c r="I43" s="32">
        <f>ROUND(F43*'Прил. 10'!$D$14,2)</f>
        <v>5769.4</v>
      </c>
      <c r="J43" s="190">
        <f>ROUND(I43*E43,2)</f>
        <v>40385.800000000003</v>
      </c>
    </row>
    <row r="44" spans="1:10" x14ac:dyDescent="0.25">
      <c r="A44" s="2"/>
      <c r="B44" s="2"/>
      <c r="C44" s="8" t="s">
        <v>331</v>
      </c>
      <c r="D44" s="2"/>
      <c r="E44" s="145"/>
      <c r="F44" s="103"/>
      <c r="G44" s="32">
        <f>SUM(G41:G43)</f>
        <v>66302.880000000005</v>
      </c>
      <c r="H44" s="183">
        <f t="shared" si="3"/>
        <v>1.2423249854295E-2</v>
      </c>
      <c r="I44" s="186"/>
      <c r="J44" s="32">
        <f>SUM(J41:J43)</f>
        <v>415055.97</v>
      </c>
    </row>
    <row r="45" spans="1:10" x14ac:dyDescent="0.25">
      <c r="A45" s="2"/>
      <c r="B45" s="2"/>
      <c r="C45" s="104" t="s">
        <v>332</v>
      </c>
      <c r="D45" s="2"/>
      <c r="E45" s="182"/>
      <c r="F45" s="103"/>
      <c r="G45" s="32">
        <f>G40+G44</f>
        <v>5336999.6399999997</v>
      </c>
      <c r="H45" s="183">
        <f t="shared" si="3"/>
        <v>1</v>
      </c>
      <c r="I45" s="186"/>
      <c r="J45" s="32">
        <f>J44+J40</f>
        <v>33409617.57</v>
      </c>
    </row>
    <row r="46" spans="1:10" ht="25.5" customHeight="1" x14ac:dyDescent="0.25">
      <c r="A46" s="2"/>
      <c r="B46" s="2"/>
      <c r="C46" s="8" t="s">
        <v>333</v>
      </c>
      <c r="D46" s="2"/>
      <c r="E46" s="191"/>
      <c r="F46" s="103"/>
      <c r="G46" s="32">
        <f>G45</f>
        <v>5336999.6399999997</v>
      </c>
      <c r="H46" s="183"/>
      <c r="I46" s="186"/>
      <c r="J46" s="32">
        <f>J45</f>
        <v>33409617.57</v>
      </c>
    </row>
    <row r="47" spans="1:10" s="12" customFormat="1" ht="14.25" customHeight="1" x14ac:dyDescent="0.2">
      <c r="A47" s="2"/>
      <c r="B47" s="269" t="s">
        <v>164</v>
      </c>
      <c r="C47" s="269"/>
      <c r="D47" s="270"/>
      <c r="E47" s="271"/>
      <c r="F47" s="272"/>
      <c r="G47" s="272"/>
      <c r="H47" s="273"/>
      <c r="I47" s="184"/>
      <c r="J47" s="184"/>
    </row>
    <row r="48" spans="1:10" s="12" customFormat="1" ht="14.25" customHeight="1" x14ac:dyDescent="0.2">
      <c r="A48" s="2"/>
      <c r="B48" s="264" t="s">
        <v>334</v>
      </c>
      <c r="C48" s="264"/>
      <c r="D48" s="265"/>
      <c r="E48" s="266"/>
      <c r="F48" s="267"/>
      <c r="G48" s="267"/>
      <c r="H48" s="268"/>
      <c r="I48" s="184"/>
      <c r="J48" s="184"/>
    </row>
    <row r="49" spans="1:10" s="12" customFormat="1" ht="25.5" customHeight="1" x14ac:dyDescent="0.2">
      <c r="A49" s="2">
        <v>22</v>
      </c>
      <c r="B49" s="170" t="s">
        <v>165</v>
      </c>
      <c r="C49" s="8" t="s">
        <v>166</v>
      </c>
      <c r="D49" s="2" t="s">
        <v>167</v>
      </c>
      <c r="E49" s="145">
        <f>0.009*3*7</f>
        <v>0.189</v>
      </c>
      <c r="F49" s="32">
        <v>98440.41</v>
      </c>
      <c r="G49" s="32">
        <f t="shared" ref="G49:G55" si="4">ROUND(E49*F49,2)</f>
        <v>18605.240000000002</v>
      </c>
      <c r="H49" s="185">
        <f t="shared" ref="H49:H93" si="5">G49/$G$95</f>
        <v>0.29537335869865</v>
      </c>
      <c r="I49" s="32">
        <f>ROUND(F49*'Прил. 10'!$D$13,2)</f>
        <v>791460.9</v>
      </c>
      <c r="J49" s="32">
        <f t="shared" ref="J49:J55" si="6">ROUND(I49*E49,2)</f>
        <v>149586.10999999999</v>
      </c>
    </row>
    <row r="50" spans="1:10" s="12" customFormat="1" ht="14.25" customHeight="1" x14ac:dyDescent="0.2">
      <c r="A50" s="2">
        <v>23</v>
      </c>
      <c r="B50" s="170" t="s">
        <v>168</v>
      </c>
      <c r="C50" s="8" t="s">
        <v>169</v>
      </c>
      <c r="D50" s="2" t="s">
        <v>167</v>
      </c>
      <c r="E50" s="145">
        <f>0.016*3*7</f>
        <v>0.33600000000000002</v>
      </c>
      <c r="F50" s="32">
        <v>38348.22</v>
      </c>
      <c r="G50" s="32">
        <f t="shared" si="4"/>
        <v>12885</v>
      </c>
      <c r="H50" s="185">
        <f t="shared" si="5"/>
        <v>0.20455988349692</v>
      </c>
      <c r="I50" s="32">
        <f>ROUND(F50*'Прил. 10'!$D$13,2)</f>
        <v>308319.69</v>
      </c>
      <c r="J50" s="32">
        <f t="shared" si="6"/>
        <v>103595.42</v>
      </c>
    </row>
    <row r="51" spans="1:10" s="12" customFormat="1" ht="25.5" customHeight="1" x14ac:dyDescent="0.2">
      <c r="A51" s="2">
        <v>24</v>
      </c>
      <c r="B51" s="170" t="s">
        <v>170</v>
      </c>
      <c r="C51" s="8" t="s">
        <v>171</v>
      </c>
      <c r="D51" s="2" t="s">
        <v>162</v>
      </c>
      <c r="E51" s="145">
        <v>176</v>
      </c>
      <c r="F51" s="32">
        <v>64.69</v>
      </c>
      <c r="G51" s="32">
        <f t="shared" si="4"/>
        <v>11385.44</v>
      </c>
      <c r="H51" s="185">
        <f t="shared" si="5"/>
        <v>0.18075314551502999</v>
      </c>
      <c r="I51" s="32">
        <f>ROUND(F51*'Прил. 10'!$D$13,2)</f>
        <v>520.11</v>
      </c>
      <c r="J51" s="32">
        <f t="shared" si="6"/>
        <v>91539.36</v>
      </c>
    </row>
    <row r="52" spans="1:10" s="12" customFormat="1" ht="38.25" customHeight="1" x14ac:dyDescent="0.2">
      <c r="A52" s="2">
        <v>25</v>
      </c>
      <c r="B52" s="170" t="s">
        <v>172</v>
      </c>
      <c r="C52" s="8" t="s">
        <v>173</v>
      </c>
      <c r="D52" s="2" t="s">
        <v>174</v>
      </c>
      <c r="E52" s="145">
        <f>0.28*7</f>
        <v>1.96</v>
      </c>
      <c r="F52" s="32">
        <v>1837.28</v>
      </c>
      <c r="G52" s="32">
        <f t="shared" si="4"/>
        <v>3601.07</v>
      </c>
      <c r="H52" s="185">
        <f t="shared" si="5"/>
        <v>5.7169923140413997E-2</v>
      </c>
      <c r="I52" s="32">
        <f>ROUND(F52*'Прил. 10'!$D$13,2)</f>
        <v>14771.73</v>
      </c>
      <c r="J52" s="32">
        <f t="shared" si="6"/>
        <v>28952.59</v>
      </c>
    </row>
    <row r="53" spans="1:10" s="12" customFormat="1" ht="25.5" customHeight="1" x14ac:dyDescent="0.2">
      <c r="A53" s="2">
        <v>26</v>
      </c>
      <c r="B53" s="170" t="s">
        <v>175</v>
      </c>
      <c r="C53" s="8" t="s">
        <v>176</v>
      </c>
      <c r="D53" s="2" t="s">
        <v>177</v>
      </c>
      <c r="E53" s="145">
        <v>9.5161999999999997E-2</v>
      </c>
      <c r="F53" s="32">
        <v>32752.18</v>
      </c>
      <c r="G53" s="32">
        <f t="shared" si="4"/>
        <v>3116.76</v>
      </c>
      <c r="H53" s="185">
        <f t="shared" si="5"/>
        <v>4.9481106906313001E-2</v>
      </c>
      <c r="I53" s="32">
        <f>ROUND(F53*'Прил. 10'!$D$13,2)</f>
        <v>263327.53000000003</v>
      </c>
      <c r="J53" s="32">
        <f t="shared" si="6"/>
        <v>25058.77</v>
      </c>
    </row>
    <row r="54" spans="1:10" s="12" customFormat="1" ht="25.5" customHeight="1" x14ac:dyDescent="0.2">
      <c r="A54" s="2">
        <v>27</v>
      </c>
      <c r="B54" s="170" t="s">
        <v>178</v>
      </c>
      <c r="C54" s="8" t="s">
        <v>179</v>
      </c>
      <c r="D54" s="2" t="s">
        <v>180</v>
      </c>
      <c r="E54" s="145">
        <v>0.66</v>
      </c>
      <c r="F54" s="32">
        <v>3314</v>
      </c>
      <c r="G54" s="32">
        <f t="shared" si="4"/>
        <v>2187.2399999999998</v>
      </c>
      <c r="H54" s="185">
        <f t="shared" si="5"/>
        <v>3.4724218826526002E-2</v>
      </c>
      <c r="I54" s="32">
        <f>ROUND(F54*'Прил. 10'!$D$13,2)</f>
        <v>26644.560000000001</v>
      </c>
      <c r="J54" s="32">
        <f t="shared" si="6"/>
        <v>17585.41</v>
      </c>
    </row>
    <row r="55" spans="1:10" s="12" customFormat="1" ht="25.5" customHeight="1" x14ac:dyDescent="0.2">
      <c r="A55" s="2">
        <v>28</v>
      </c>
      <c r="B55" s="170" t="s">
        <v>181</v>
      </c>
      <c r="C55" s="8" t="s">
        <v>182</v>
      </c>
      <c r="D55" s="2" t="s">
        <v>162</v>
      </c>
      <c r="E55" s="145">
        <v>176</v>
      </c>
      <c r="F55" s="32">
        <v>12.24</v>
      </c>
      <c r="G55" s="32">
        <f t="shared" si="4"/>
        <v>2154.2399999999998</v>
      </c>
      <c r="H55" s="185">
        <f t="shared" si="5"/>
        <v>3.420031691303E-2</v>
      </c>
      <c r="I55" s="32">
        <f>ROUND(F55*'Прил. 10'!$D$13,2)</f>
        <v>98.41</v>
      </c>
      <c r="J55" s="32">
        <f t="shared" si="6"/>
        <v>17320.16</v>
      </c>
    </row>
    <row r="56" spans="1:10" s="12" customFormat="1" ht="14.25" customHeight="1" x14ac:dyDescent="0.2">
      <c r="A56" s="2"/>
      <c r="B56" s="170"/>
      <c r="C56" s="8" t="s">
        <v>335</v>
      </c>
      <c r="D56" s="2"/>
      <c r="E56" s="145"/>
      <c r="F56" s="32"/>
      <c r="G56" s="32">
        <f>SUM(G49:G55)</f>
        <v>53934.99</v>
      </c>
      <c r="H56" s="185">
        <f t="shared" si="5"/>
        <v>0.85626195349687995</v>
      </c>
      <c r="I56" s="32"/>
      <c r="J56" s="32">
        <f>SUM(J49:J55)</f>
        <v>433637.82</v>
      </c>
    </row>
    <row r="57" spans="1:10" s="12" customFormat="1" ht="14.25" customHeight="1" outlineLevel="1" x14ac:dyDescent="0.2">
      <c r="A57" s="2">
        <v>29</v>
      </c>
      <c r="B57" s="170" t="s">
        <v>183</v>
      </c>
      <c r="C57" s="8" t="s">
        <v>184</v>
      </c>
      <c r="D57" s="2" t="s">
        <v>185</v>
      </c>
      <c r="E57" s="145">
        <v>28</v>
      </c>
      <c r="F57" s="32">
        <v>50</v>
      </c>
      <c r="G57" s="32">
        <f t="shared" ref="G57:G93" si="7">ROUND(E57*F57,2)</f>
        <v>1400</v>
      </c>
      <c r="H57" s="185">
        <f t="shared" si="5"/>
        <v>2.2226141784686002E-2</v>
      </c>
      <c r="I57" s="32">
        <f>ROUND(F57*'Прил. 10'!$D$13,2)</f>
        <v>402</v>
      </c>
      <c r="J57" s="32">
        <f t="shared" ref="J57:J93" si="8">ROUND(I57*E57,2)</f>
        <v>11256</v>
      </c>
    </row>
    <row r="58" spans="1:10" s="12" customFormat="1" ht="14.25" customHeight="1" outlineLevel="1" x14ac:dyDescent="0.2">
      <c r="A58" s="2">
        <v>30</v>
      </c>
      <c r="B58" s="170" t="s">
        <v>186</v>
      </c>
      <c r="C58" s="8" t="s">
        <v>187</v>
      </c>
      <c r="D58" s="2" t="s">
        <v>162</v>
      </c>
      <c r="E58" s="145">
        <v>18</v>
      </c>
      <c r="F58" s="32">
        <v>66.819999999999993</v>
      </c>
      <c r="G58" s="32">
        <f t="shared" si="7"/>
        <v>1202.76</v>
      </c>
      <c r="H58" s="185">
        <f t="shared" si="5"/>
        <v>1.9094795923535E-2</v>
      </c>
      <c r="I58" s="32">
        <f>ROUND(F58*'Прил. 10'!$D$13,2)</f>
        <v>537.23</v>
      </c>
      <c r="J58" s="32">
        <f t="shared" si="8"/>
        <v>9670.14</v>
      </c>
    </row>
    <row r="59" spans="1:10" s="12" customFormat="1" ht="25.5" customHeight="1" outlineLevel="1" x14ac:dyDescent="0.2">
      <c r="A59" s="2">
        <v>31</v>
      </c>
      <c r="B59" s="170" t="s">
        <v>188</v>
      </c>
      <c r="C59" s="8" t="s">
        <v>189</v>
      </c>
      <c r="D59" s="2" t="s">
        <v>190</v>
      </c>
      <c r="E59" s="145">
        <v>932.9556</v>
      </c>
      <c r="F59" s="32">
        <v>1</v>
      </c>
      <c r="G59" s="32">
        <f t="shared" si="7"/>
        <v>932.96</v>
      </c>
      <c r="H59" s="185">
        <f t="shared" si="5"/>
        <v>1.4811500885315E-2</v>
      </c>
      <c r="I59" s="32">
        <f>ROUND(F59*'Прил. 10'!$D$13,2)</f>
        <v>8.0399999999999991</v>
      </c>
      <c r="J59" s="32">
        <f t="shared" si="8"/>
        <v>7500.96</v>
      </c>
    </row>
    <row r="60" spans="1:10" s="12" customFormat="1" ht="14.25" customHeight="1" outlineLevel="1" x14ac:dyDescent="0.2">
      <c r="A60" s="2">
        <v>32</v>
      </c>
      <c r="B60" s="170" t="s">
        <v>191</v>
      </c>
      <c r="C60" s="8" t="s">
        <v>192</v>
      </c>
      <c r="D60" s="2" t="s">
        <v>185</v>
      </c>
      <c r="E60" s="145">
        <v>88.069000000000003</v>
      </c>
      <c r="F60" s="32">
        <v>9.0399999999999991</v>
      </c>
      <c r="G60" s="32">
        <f t="shared" si="7"/>
        <v>796.14</v>
      </c>
      <c r="H60" s="185">
        <f t="shared" si="5"/>
        <v>1.2639371800328999E-2</v>
      </c>
      <c r="I60" s="32">
        <f>ROUND(F60*'Прил. 10'!$D$13,2)</f>
        <v>72.680000000000007</v>
      </c>
      <c r="J60" s="32">
        <f t="shared" si="8"/>
        <v>6400.85</v>
      </c>
    </row>
    <row r="61" spans="1:10" s="12" customFormat="1" ht="25.5" customHeight="1" outlineLevel="1" x14ac:dyDescent="0.2">
      <c r="A61" s="2">
        <v>33</v>
      </c>
      <c r="B61" s="170" t="s">
        <v>193</v>
      </c>
      <c r="C61" s="8" t="s">
        <v>194</v>
      </c>
      <c r="D61" s="2" t="s">
        <v>174</v>
      </c>
      <c r="E61" s="145">
        <f>1*1*7</f>
        <v>7</v>
      </c>
      <c r="F61" s="32">
        <v>108.4</v>
      </c>
      <c r="G61" s="32">
        <f t="shared" si="7"/>
        <v>758.8</v>
      </c>
      <c r="H61" s="185">
        <f t="shared" si="5"/>
        <v>1.20465688473E-2</v>
      </c>
      <c r="I61" s="32">
        <f>ROUND(F61*'Прил. 10'!$D$13,2)</f>
        <v>871.54</v>
      </c>
      <c r="J61" s="32">
        <f t="shared" si="8"/>
        <v>6100.78</v>
      </c>
    </row>
    <row r="62" spans="1:10" s="12" customFormat="1" ht="14.25" customHeight="1" outlineLevel="1" x14ac:dyDescent="0.2">
      <c r="A62" s="2">
        <v>34</v>
      </c>
      <c r="B62" s="170" t="s">
        <v>195</v>
      </c>
      <c r="C62" s="8" t="s">
        <v>196</v>
      </c>
      <c r="D62" s="2" t="s">
        <v>180</v>
      </c>
      <c r="E62" s="145">
        <v>7.79</v>
      </c>
      <c r="F62" s="32">
        <v>86</v>
      </c>
      <c r="G62" s="32">
        <f t="shared" si="7"/>
        <v>669.94</v>
      </c>
      <c r="H62" s="185">
        <f t="shared" si="5"/>
        <v>1.0635843876595E-2</v>
      </c>
      <c r="I62" s="32">
        <f>ROUND(F62*'Прил. 10'!$D$13,2)</f>
        <v>691.44</v>
      </c>
      <c r="J62" s="32">
        <f t="shared" si="8"/>
        <v>5386.32</v>
      </c>
    </row>
    <row r="63" spans="1:10" s="12" customFormat="1" ht="25.5" customHeight="1" outlineLevel="1" x14ac:dyDescent="0.2">
      <c r="A63" s="2">
        <v>35</v>
      </c>
      <c r="B63" s="170" t="s">
        <v>197</v>
      </c>
      <c r="C63" s="8" t="s">
        <v>198</v>
      </c>
      <c r="D63" s="2" t="s">
        <v>177</v>
      </c>
      <c r="E63" s="145">
        <v>0.1263</v>
      </c>
      <c r="F63" s="32">
        <v>5000</v>
      </c>
      <c r="G63" s="32">
        <f t="shared" si="7"/>
        <v>631.5</v>
      </c>
      <c r="H63" s="185">
        <f t="shared" si="5"/>
        <v>1.0025577526450001E-2</v>
      </c>
      <c r="I63" s="32">
        <f>ROUND(F63*'Прил. 10'!$D$13,2)</f>
        <v>40200</v>
      </c>
      <c r="J63" s="32">
        <f t="shared" si="8"/>
        <v>5077.26</v>
      </c>
    </row>
    <row r="64" spans="1:10" s="12" customFormat="1" ht="14.25" customHeight="1" outlineLevel="1" x14ac:dyDescent="0.2">
      <c r="A64" s="2">
        <v>36</v>
      </c>
      <c r="B64" s="170" t="s">
        <v>199</v>
      </c>
      <c r="C64" s="8" t="s">
        <v>200</v>
      </c>
      <c r="D64" s="2" t="s">
        <v>162</v>
      </c>
      <c r="E64" s="145">
        <v>4</v>
      </c>
      <c r="F64" s="32">
        <v>147.18</v>
      </c>
      <c r="G64" s="32">
        <f t="shared" si="7"/>
        <v>588.72</v>
      </c>
      <c r="H64" s="185">
        <f t="shared" si="5"/>
        <v>9.3464101367716993E-3</v>
      </c>
      <c r="I64" s="32">
        <f>ROUND(F64*'Прил. 10'!$D$13,2)</f>
        <v>1183.33</v>
      </c>
      <c r="J64" s="32">
        <f t="shared" si="8"/>
        <v>4733.32</v>
      </c>
    </row>
    <row r="65" spans="1:10" s="12" customFormat="1" ht="14.25" customHeight="1" outlineLevel="1" x14ac:dyDescent="0.2">
      <c r="A65" s="2">
        <v>37</v>
      </c>
      <c r="B65" s="170" t="s">
        <v>201</v>
      </c>
      <c r="C65" s="8" t="s">
        <v>202</v>
      </c>
      <c r="D65" s="2" t="s">
        <v>185</v>
      </c>
      <c r="E65" s="145">
        <v>15.058</v>
      </c>
      <c r="F65" s="32">
        <v>28.6</v>
      </c>
      <c r="G65" s="32">
        <f t="shared" si="7"/>
        <v>430.66</v>
      </c>
      <c r="H65" s="185">
        <f t="shared" si="5"/>
        <v>6.8370787292807E-3</v>
      </c>
      <c r="I65" s="32">
        <f>ROUND(F65*'Прил. 10'!$D$13,2)</f>
        <v>229.94</v>
      </c>
      <c r="J65" s="32">
        <f t="shared" si="8"/>
        <v>3462.44</v>
      </c>
    </row>
    <row r="66" spans="1:10" s="12" customFormat="1" ht="25.5" customHeight="1" outlineLevel="1" x14ac:dyDescent="0.2">
      <c r="A66" s="2">
        <v>38</v>
      </c>
      <c r="B66" s="170" t="s">
        <v>203</v>
      </c>
      <c r="C66" s="8" t="s">
        <v>204</v>
      </c>
      <c r="D66" s="2" t="s">
        <v>205</v>
      </c>
      <c r="E66" s="145">
        <v>17.100000000000001</v>
      </c>
      <c r="F66" s="32">
        <v>15.13</v>
      </c>
      <c r="G66" s="32">
        <f t="shared" si="7"/>
        <v>258.72000000000003</v>
      </c>
      <c r="H66" s="185">
        <f t="shared" si="5"/>
        <v>4.1073910018100002E-3</v>
      </c>
      <c r="I66" s="32">
        <f>ROUND(F66*'Прил. 10'!$D$13,2)</f>
        <v>121.65</v>
      </c>
      <c r="J66" s="32">
        <f t="shared" si="8"/>
        <v>2080.2199999999998</v>
      </c>
    </row>
    <row r="67" spans="1:10" s="12" customFormat="1" ht="14.25" customHeight="1" outlineLevel="1" x14ac:dyDescent="0.2">
      <c r="A67" s="2">
        <v>39</v>
      </c>
      <c r="B67" s="170" t="s">
        <v>206</v>
      </c>
      <c r="C67" s="8" t="s">
        <v>207</v>
      </c>
      <c r="D67" s="2" t="s">
        <v>180</v>
      </c>
      <c r="E67" s="145">
        <v>2.52</v>
      </c>
      <c r="F67" s="32">
        <v>63</v>
      </c>
      <c r="G67" s="32">
        <f t="shared" si="7"/>
        <v>158.76</v>
      </c>
      <c r="H67" s="185">
        <f t="shared" si="5"/>
        <v>2.5204444783833999E-3</v>
      </c>
      <c r="I67" s="32">
        <f>ROUND(F67*'Прил. 10'!$D$13,2)</f>
        <v>506.52</v>
      </c>
      <c r="J67" s="32">
        <f t="shared" si="8"/>
        <v>1276.43</v>
      </c>
    </row>
    <row r="68" spans="1:10" s="12" customFormat="1" ht="14.25" customHeight="1" outlineLevel="1" x14ac:dyDescent="0.2">
      <c r="A68" s="2">
        <v>40</v>
      </c>
      <c r="B68" s="170" t="s">
        <v>208</v>
      </c>
      <c r="C68" s="8" t="s">
        <v>209</v>
      </c>
      <c r="D68" s="2" t="s">
        <v>185</v>
      </c>
      <c r="E68" s="145">
        <v>0.64400000000000002</v>
      </c>
      <c r="F68" s="32">
        <v>238.48</v>
      </c>
      <c r="G68" s="32">
        <f t="shared" si="7"/>
        <v>153.58000000000001</v>
      </c>
      <c r="H68" s="185">
        <f t="shared" si="5"/>
        <v>2.4382077537800999E-3</v>
      </c>
      <c r="I68" s="32">
        <f>ROUND(F68*'Прил. 10'!$D$13,2)</f>
        <v>1917.38</v>
      </c>
      <c r="J68" s="32">
        <f t="shared" si="8"/>
        <v>1234.79</v>
      </c>
    </row>
    <row r="69" spans="1:10" s="12" customFormat="1" ht="14.25" customHeight="1" outlineLevel="1" x14ac:dyDescent="0.2">
      <c r="A69" s="2">
        <v>41</v>
      </c>
      <c r="B69" s="170" t="s">
        <v>210</v>
      </c>
      <c r="C69" s="8" t="s">
        <v>211</v>
      </c>
      <c r="D69" s="2" t="s">
        <v>185</v>
      </c>
      <c r="E69" s="145">
        <v>14.513400000000001</v>
      </c>
      <c r="F69" s="32">
        <v>10.57</v>
      </c>
      <c r="G69" s="32">
        <f t="shared" si="7"/>
        <v>153.41</v>
      </c>
      <c r="H69" s="185">
        <f t="shared" si="5"/>
        <v>2.4355088651348E-3</v>
      </c>
      <c r="I69" s="32">
        <f>ROUND(F69*'Прил. 10'!$D$13,2)</f>
        <v>84.98</v>
      </c>
      <c r="J69" s="32">
        <f t="shared" si="8"/>
        <v>1233.3499999999999</v>
      </c>
    </row>
    <row r="70" spans="1:10" s="12" customFormat="1" ht="14.25" customHeight="1" outlineLevel="1" x14ac:dyDescent="0.2">
      <c r="A70" s="2">
        <v>42</v>
      </c>
      <c r="B70" s="170" t="s">
        <v>212</v>
      </c>
      <c r="C70" s="8" t="s">
        <v>213</v>
      </c>
      <c r="D70" s="2" t="s">
        <v>162</v>
      </c>
      <c r="E70" s="145">
        <v>10.8</v>
      </c>
      <c r="F70" s="32">
        <v>10.54</v>
      </c>
      <c r="G70" s="32">
        <f t="shared" si="7"/>
        <v>113.83</v>
      </c>
      <c r="H70" s="185">
        <f t="shared" si="5"/>
        <v>1.8071440852506001E-3</v>
      </c>
      <c r="I70" s="32">
        <f>ROUND(F70*'Прил. 10'!$D$13,2)</f>
        <v>84.74</v>
      </c>
      <c r="J70" s="32">
        <f t="shared" si="8"/>
        <v>915.19</v>
      </c>
    </row>
    <row r="71" spans="1:10" s="12" customFormat="1" ht="14.25" customHeight="1" outlineLevel="1" x14ac:dyDescent="0.2">
      <c r="A71" s="2">
        <v>43</v>
      </c>
      <c r="B71" s="170" t="s">
        <v>214</v>
      </c>
      <c r="C71" s="8" t="s">
        <v>215</v>
      </c>
      <c r="D71" s="2" t="s">
        <v>180</v>
      </c>
      <c r="E71" s="145">
        <v>1.002</v>
      </c>
      <c r="F71" s="32">
        <v>110</v>
      </c>
      <c r="G71" s="32">
        <f t="shared" si="7"/>
        <v>110.22</v>
      </c>
      <c r="H71" s="185">
        <f t="shared" si="5"/>
        <v>1.7498323910771999E-3</v>
      </c>
      <c r="I71" s="32">
        <f>ROUND(F71*'Прил. 10'!$D$13,2)</f>
        <v>884.4</v>
      </c>
      <c r="J71" s="32">
        <f t="shared" si="8"/>
        <v>886.17</v>
      </c>
    </row>
    <row r="72" spans="1:10" s="12" customFormat="1" ht="25.5" customHeight="1" outlineLevel="1" x14ac:dyDescent="0.2">
      <c r="A72" s="2">
        <v>44</v>
      </c>
      <c r="B72" s="170" t="s">
        <v>216</v>
      </c>
      <c r="C72" s="8" t="s">
        <v>217</v>
      </c>
      <c r="D72" s="2" t="s">
        <v>177</v>
      </c>
      <c r="E72" s="145">
        <v>6.1999999999999998E-3</v>
      </c>
      <c r="F72" s="32">
        <v>17500</v>
      </c>
      <c r="G72" s="32">
        <f t="shared" si="7"/>
        <v>108.5</v>
      </c>
      <c r="H72" s="185">
        <f t="shared" si="5"/>
        <v>1.7225259883132001E-3</v>
      </c>
      <c r="I72" s="32">
        <f>ROUND(F72*'Прил. 10'!$D$13,2)</f>
        <v>140700</v>
      </c>
      <c r="J72" s="32">
        <f t="shared" si="8"/>
        <v>872.34</v>
      </c>
    </row>
    <row r="73" spans="1:10" s="12" customFormat="1" ht="25.5" customHeight="1" outlineLevel="1" x14ac:dyDescent="0.2">
      <c r="A73" s="2">
        <v>45</v>
      </c>
      <c r="B73" s="170" t="s">
        <v>218</v>
      </c>
      <c r="C73" s="8" t="s">
        <v>219</v>
      </c>
      <c r="D73" s="2" t="s">
        <v>177</v>
      </c>
      <c r="E73" s="145">
        <v>0.22539999999999999</v>
      </c>
      <c r="F73" s="32">
        <v>480</v>
      </c>
      <c r="G73" s="32">
        <f t="shared" si="7"/>
        <v>108.19</v>
      </c>
      <c r="H73" s="185">
        <f t="shared" si="5"/>
        <v>1.7176044854893999E-3</v>
      </c>
      <c r="I73" s="32">
        <f>ROUND(F73*'Прил. 10'!$D$13,2)</f>
        <v>3859.2</v>
      </c>
      <c r="J73" s="32">
        <f t="shared" si="8"/>
        <v>869.86</v>
      </c>
    </row>
    <row r="74" spans="1:10" s="12" customFormat="1" ht="25.5" customHeight="1" outlineLevel="1" x14ac:dyDescent="0.2">
      <c r="A74" s="2">
        <v>46</v>
      </c>
      <c r="B74" s="170" t="s">
        <v>220</v>
      </c>
      <c r="C74" s="8" t="s">
        <v>221</v>
      </c>
      <c r="D74" s="2" t="s">
        <v>177</v>
      </c>
      <c r="E74" s="145">
        <v>1.7999999999999999E-2</v>
      </c>
      <c r="F74" s="32">
        <v>5941.89</v>
      </c>
      <c r="G74" s="32">
        <f t="shared" si="7"/>
        <v>106.95</v>
      </c>
      <c r="H74" s="185">
        <f t="shared" si="5"/>
        <v>1.6979184741944E-3</v>
      </c>
      <c r="I74" s="32">
        <f>ROUND(F74*'Прил. 10'!$D$13,2)</f>
        <v>47772.800000000003</v>
      </c>
      <c r="J74" s="32">
        <f t="shared" si="8"/>
        <v>859.91</v>
      </c>
    </row>
    <row r="75" spans="1:10" s="12" customFormat="1" ht="14.25" customHeight="1" outlineLevel="1" x14ac:dyDescent="0.2">
      <c r="A75" s="2">
        <v>47</v>
      </c>
      <c r="B75" s="170" t="s">
        <v>222</v>
      </c>
      <c r="C75" s="8" t="s">
        <v>223</v>
      </c>
      <c r="D75" s="2" t="s">
        <v>224</v>
      </c>
      <c r="E75" s="145">
        <v>1.0920000000000001</v>
      </c>
      <c r="F75" s="32">
        <v>79.099999999999994</v>
      </c>
      <c r="G75" s="32">
        <f t="shared" si="7"/>
        <v>86.38</v>
      </c>
      <c r="H75" s="185">
        <f t="shared" si="5"/>
        <v>1.3713529481151E-3</v>
      </c>
      <c r="I75" s="32">
        <f>ROUND(F75*'Прил. 10'!$D$13,2)</f>
        <v>635.96</v>
      </c>
      <c r="J75" s="32">
        <f t="shared" si="8"/>
        <v>694.47</v>
      </c>
    </row>
    <row r="76" spans="1:10" s="12" customFormat="1" ht="25.5" customHeight="1" outlineLevel="1" x14ac:dyDescent="0.2">
      <c r="A76" s="2">
        <v>48</v>
      </c>
      <c r="B76" s="170" t="s">
        <v>225</v>
      </c>
      <c r="C76" s="8" t="s">
        <v>226</v>
      </c>
      <c r="D76" s="2" t="s">
        <v>162</v>
      </c>
      <c r="E76" s="145">
        <v>4</v>
      </c>
      <c r="F76" s="32">
        <v>18.46</v>
      </c>
      <c r="G76" s="32">
        <f t="shared" si="7"/>
        <v>73.84</v>
      </c>
      <c r="H76" s="185">
        <f t="shared" si="5"/>
        <v>1.1722702209865999E-3</v>
      </c>
      <c r="I76" s="32">
        <f>ROUND(F76*'Прил. 10'!$D$13,2)</f>
        <v>148.41999999999999</v>
      </c>
      <c r="J76" s="32">
        <f t="shared" si="8"/>
        <v>593.67999999999995</v>
      </c>
    </row>
    <row r="77" spans="1:10" s="12" customFormat="1" ht="14.25" customHeight="1" outlineLevel="1" x14ac:dyDescent="0.2">
      <c r="A77" s="2">
        <v>49</v>
      </c>
      <c r="B77" s="170" t="s">
        <v>227</v>
      </c>
      <c r="C77" s="8" t="s">
        <v>228</v>
      </c>
      <c r="D77" s="2" t="s">
        <v>229</v>
      </c>
      <c r="E77" s="145">
        <v>1.1000000000000001</v>
      </c>
      <c r="F77" s="32">
        <v>39</v>
      </c>
      <c r="G77" s="32">
        <f t="shared" si="7"/>
        <v>42.9</v>
      </c>
      <c r="H77" s="185">
        <f t="shared" si="5"/>
        <v>6.8107248754502997E-4</v>
      </c>
      <c r="I77" s="32">
        <f>ROUND(F77*'Прил. 10'!$D$13,2)</f>
        <v>313.56</v>
      </c>
      <c r="J77" s="32">
        <f t="shared" si="8"/>
        <v>344.92</v>
      </c>
    </row>
    <row r="78" spans="1:10" s="12" customFormat="1" ht="38.25" customHeight="1" outlineLevel="1" x14ac:dyDescent="0.2">
      <c r="A78" s="2">
        <v>50</v>
      </c>
      <c r="B78" s="170" t="s">
        <v>230</v>
      </c>
      <c r="C78" s="8" t="s">
        <v>231</v>
      </c>
      <c r="D78" s="2" t="s">
        <v>185</v>
      </c>
      <c r="E78" s="145">
        <v>0.94399999999999995</v>
      </c>
      <c r="F78" s="32">
        <v>30.4</v>
      </c>
      <c r="G78" s="32">
        <f t="shared" si="7"/>
        <v>28.7</v>
      </c>
      <c r="H78" s="185">
        <f t="shared" si="5"/>
        <v>4.5563590658607002E-4</v>
      </c>
      <c r="I78" s="32">
        <f>ROUND(F78*'Прил. 10'!$D$13,2)</f>
        <v>244.42</v>
      </c>
      <c r="J78" s="32">
        <f t="shared" si="8"/>
        <v>230.73</v>
      </c>
    </row>
    <row r="79" spans="1:10" s="12" customFormat="1" ht="14.25" customHeight="1" outlineLevel="1" x14ac:dyDescent="0.2">
      <c r="A79" s="2">
        <v>51</v>
      </c>
      <c r="B79" s="170" t="s">
        <v>232</v>
      </c>
      <c r="C79" s="8" t="s">
        <v>233</v>
      </c>
      <c r="D79" s="2" t="s">
        <v>185</v>
      </c>
      <c r="E79" s="145">
        <v>0.47199999999999998</v>
      </c>
      <c r="F79" s="32">
        <v>44.97</v>
      </c>
      <c r="G79" s="32">
        <f t="shared" si="7"/>
        <v>21.23</v>
      </c>
      <c r="H79" s="185">
        <f t="shared" si="5"/>
        <v>3.3704356434920997E-4</v>
      </c>
      <c r="I79" s="32">
        <f>ROUND(F79*'Прил. 10'!$D$13,2)</f>
        <v>361.56</v>
      </c>
      <c r="J79" s="32">
        <f t="shared" si="8"/>
        <v>170.66</v>
      </c>
    </row>
    <row r="80" spans="1:10" s="12" customFormat="1" ht="14.25" customHeight="1" outlineLevel="1" x14ac:dyDescent="0.2">
      <c r="A80" s="2">
        <v>52</v>
      </c>
      <c r="B80" s="170" t="s">
        <v>234</v>
      </c>
      <c r="C80" s="8" t="s">
        <v>235</v>
      </c>
      <c r="D80" s="2" t="s">
        <v>185</v>
      </c>
      <c r="E80" s="145">
        <v>0.47199999999999998</v>
      </c>
      <c r="F80" s="32">
        <v>35.630000000000003</v>
      </c>
      <c r="G80" s="32">
        <f t="shared" si="7"/>
        <v>16.82</v>
      </c>
      <c r="H80" s="185">
        <f t="shared" si="5"/>
        <v>2.6703121772744001E-4</v>
      </c>
      <c r="I80" s="32">
        <f>ROUND(F80*'Прил. 10'!$D$13,2)</f>
        <v>286.47000000000003</v>
      </c>
      <c r="J80" s="32">
        <f t="shared" si="8"/>
        <v>135.21</v>
      </c>
    </row>
    <row r="81" spans="1:10" s="12" customFormat="1" ht="14.25" customHeight="1" outlineLevel="1" x14ac:dyDescent="0.2">
      <c r="A81" s="2">
        <v>53</v>
      </c>
      <c r="B81" s="170" t="s">
        <v>236</v>
      </c>
      <c r="C81" s="8" t="s">
        <v>237</v>
      </c>
      <c r="D81" s="2" t="s">
        <v>180</v>
      </c>
      <c r="E81" s="145">
        <v>7.5279999999999996</v>
      </c>
      <c r="F81" s="32">
        <v>2</v>
      </c>
      <c r="G81" s="32">
        <f t="shared" si="7"/>
        <v>15.06</v>
      </c>
      <c r="H81" s="185">
        <f t="shared" si="5"/>
        <v>2.3908978234098E-4</v>
      </c>
      <c r="I81" s="32">
        <f>ROUND(F81*'Прил. 10'!$D$13,2)</f>
        <v>16.079999999999998</v>
      </c>
      <c r="J81" s="32">
        <f t="shared" si="8"/>
        <v>121.05</v>
      </c>
    </row>
    <row r="82" spans="1:10" s="12" customFormat="1" ht="14.25" customHeight="1" outlineLevel="1" x14ac:dyDescent="0.2">
      <c r="A82" s="2">
        <v>54</v>
      </c>
      <c r="B82" s="170" t="s">
        <v>238</v>
      </c>
      <c r="C82" s="8" t="s">
        <v>239</v>
      </c>
      <c r="D82" s="2" t="s">
        <v>177</v>
      </c>
      <c r="E82" s="145">
        <v>5.0000000000000001E-4</v>
      </c>
      <c r="F82" s="32">
        <v>28300.400000000001</v>
      </c>
      <c r="G82" s="32">
        <f t="shared" si="7"/>
        <v>14.15</v>
      </c>
      <c r="H82" s="185">
        <f t="shared" si="5"/>
        <v>2.2464279018093999E-4</v>
      </c>
      <c r="I82" s="32">
        <f>ROUND(F82*'Прил. 10'!$D$13,2)</f>
        <v>227535.22</v>
      </c>
      <c r="J82" s="32">
        <f t="shared" si="8"/>
        <v>113.77</v>
      </c>
    </row>
    <row r="83" spans="1:10" s="12" customFormat="1" ht="25.5" customHeight="1" outlineLevel="1" x14ac:dyDescent="0.2">
      <c r="A83" s="2">
        <v>55</v>
      </c>
      <c r="B83" s="170" t="s">
        <v>240</v>
      </c>
      <c r="C83" s="8" t="s">
        <v>241</v>
      </c>
      <c r="D83" s="2" t="s">
        <v>174</v>
      </c>
      <c r="E83" s="145">
        <v>0.18779999999999999</v>
      </c>
      <c r="F83" s="32">
        <v>59.99</v>
      </c>
      <c r="G83" s="32">
        <f t="shared" si="7"/>
        <v>11.27</v>
      </c>
      <c r="H83" s="185">
        <f t="shared" si="5"/>
        <v>1.7892044136672E-4</v>
      </c>
      <c r="I83" s="32">
        <f>ROUND(F83*'Прил. 10'!$D$13,2)</f>
        <v>482.32</v>
      </c>
      <c r="J83" s="32">
        <f t="shared" si="8"/>
        <v>90.58</v>
      </c>
    </row>
    <row r="84" spans="1:10" s="12" customFormat="1" ht="14.25" customHeight="1" outlineLevel="1" x14ac:dyDescent="0.2">
      <c r="A84" s="2">
        <v>56</v>
      </c>
      <c r="B84" s="170" t="s">
        <v>242</v>
      </c>
      <c r="C84" s="8" t="s">
        <v>243</v>
      </c>
      <c r="D84" s="2" t="s">
        <v>162</v>
      </c>
      <c r="E84" s="145">
        <v>2.16</v>
      </c>
      <c r="F84" s="32">
        <v>5</v>
      </c>
      <c r="G84" s="32">
        <f t="shared" si="7"/>
        <v>10.8</v>
      </c>
      <c r="H84" s="185">
        <f t="shared" si="5"/>
        <v>1.7145880805329001E-4</v>
      </c>
      <c r="I84" s="32">
        <f>ROUND(F84*'Прил. 10'!$D$13,2)</f>
        <v>40.200000000000003</v>
      </c>
      <c r="J84" s="32">
        <f t="shared" si="8"/>
        <v>86.83</v>
      </c>
    </row>
    <row r="85" spans="1:10" s="12" customFormat="1" ht="14.25" customHeight="1" outlineLevel="1" x14ac:dyDescent="0.2">
      <c r="A85" s="2">
        <v>57</v>
      </c>
      <c r="B85" s="170" t="s">
        <v>244</v>
      </c>
      <c r="C85" s="8" t="s">
        <v>245</v>
      </c>
      <c r="D85" s="2" t="s">
        <v>180</v>
      </c>
      <c r="E85" s="145">
        <v>0.36</v>
      </c>
      <c r="F85" s="32">
        <v>26.6</v>
      </c>
      <c r="G85" s="32">
        <f t="shared" si="7"/>
        <v>9.58</v>
      </c>
      <c r="H85" s="185">
        <f t="shared" si="5"/>
        <v>1.520903130695E-4</v>
      </c>
      <c r="I85" s="32">
        <f>ROUND(F85*'Прил. 10'!$D$13,2)</f>
        <v>213.86</v>
      </c>
      <c r="J85" s="32">
        <f t="shared" si="8"/>
        <v>76.989999999999995</v>
      </c>
    </row>
    <row r="86" spans="1:10" s="12" customFormat="1" ht="14.25" customHeight="1" outlineLevel="1" x14ac:dyDescent="0.2">
      <c r="A86" s="2">
        <v>58</v>
      </c>
      <c r="B86" s="170" t="s">
        <v>246</v>
      </c>
      <c r="C86" s="8" t="s">
        <v>247</v>
      </c>
      <c r="D86" s="2" t="s">
        <v>177</v>
      </c>
      <c r="E86" s="145">
        <v>5.0000000000000001E-4</v>
      </c>
      <c r="F86" s="32">
        <v>15620</v>
      </c>
      <c r="G86" s="32">
        <f t="shared" si="7"/>
        <v>7.81</v>
      </c>
      <c r="H86" s="185">
        <f t="shared" si="5"/>
        <v>1.2399011952743001E-4</v>
      </c>
      <c r="I86" s="32">
        <f>ROUND(F86*'Прил. 10'!$D$13,2)</f>
        <v>125584.8</v>
      </c>
      <c r="J86" s="32">
        <f t="shared" si="8"/>
        <v>62.79</v>
      </c>
    </row>
    <row r="87" spans="1:10" s="12" customFormat="1" ht="14.25" customHeight="1" outlineLevel="1" x14ac:dyDescent="0.2">
      <c r="A87" s="2">
        <v>59</v>
      </c>
      <c r="B87" s="170" t="s">
        <v>248</v>
      </c>
      <c r="C87" s="8" t="s">
        <v>249</v>
      </c>
      <c r="D87" s="2" t="s">
        <v>177</v>
      </c>
      <c r="E87" s="145">
        <v>6.9999999999999999E-4</v>
      </c>
      <c r="F87" s="32">
        <v>10315.01</v>
      </c>
      <c r="G87" s="32">
        <f t="shared" si="7"/>
        <v>7.22</v>
      </c>
      <c r="H87" s="185">
        <f t="shared" si="5"/>
        <v>1.1462338834674E-4</v>
      </c>
      <c r="I87" s="32">
        <f>ROUND(F87*'Прил. 10'!$D$13,2)</f>
        <v>82932.679999999993</v>
      </c>
      <c r="J87" s="32">
        <f t="shared" si="8"/>
        <v>58.05</v>
      </c>
    </row>
    <row r="88" spans="1:10" s="12" customFormat="1" ht="14.25" customHeight="1" outlineLevel="1" x14ac:dyDescent="0.2">
      <c r="A88" s="2">
        <v>60</v>
      </c>
      <c r="B88" s="170" t="s">
        <v>250</v>
      </c>
      <c r="C88" s="8" t="s">
        <v>251</v>
      </c>
      <c r="D88" s="2" t="s">
        <v>177</v>
      </c>
      <c r="E88" s="145">
        <v>1.1540000000000001E-3</v>
      </c>
      <c r="F88" s="32">
        <v>6159.22</v>
      </c>
      <c r="G88" s="32">
        <f t="shared" si="7"/>
        <v>7.11</v>
      </c>
      <c r="H88" s="185">
        <f t="shared" si="5"/>
        <v>1.1287704863508E-4</v>
      </c>
      <c r="I88" s="32">
        <f>ROUND(F88*'Прил. 10'!$D$13,2)</f>
        <v>49520.13</v>
      </c>
      <c r="J88" s="32">
        <f t="shared" si="8"/>
        <v>57.15</v>
      </c>
    </row>
    <row r="89" spans="1:10" s="12" customFormat="1" ht="14.25" customHeight="1" outlineLevel="1" x14ac:dyDescent="0.2">
      <c r="A89" s="2">
        <v>61</v>
      </c>
      <c r="B89" s="170" t="s">
        <v>252</v>
      </c>
      <c r="C89" s="8" t="s">
        <v>253</v>
      </c>
      <c r="D89" s="2" t="s">
        <v>185</v>
      </c>
      <c r="E89" s="145">
        <v>4.5999999999999999E-2</v>
      </c>
      <c r="F89" s="32">
        <v>133.05000000000001</v>
      </c>
      <c r="G89" s="32">
        <f t="shared" si="7"/>
        <v>6.12</v>
      </c>
      <c r="H89" s="185">
        <f t="shared" si="5"/>
        <v>9.7159991230199005E-5</v>
      </c>
      <c r="I89" s="32">
        <f>ROUND(F89*'Прил. 10'!$D$13,2)</f>
        <v>1069.72</v>
      </c>
      <c r="J89" s="32">
        <f t="shared" si="8"/>
        <v>49.21</v>
      </c>
    </row>
    <row r="90" spans="1:10" s="12" customFormat="1" ht="25.5" customHeight="1" outlineLevel="1" x14ac:dyDescent="0.2">
      <c r="A90" s="2">
        <v>62</v>
      </c>
      <c r="B90" s="170" t="s">
        <v>254</v>
      </c>
      <c r="C90" s="8" t="s">
        <v>255</v>
      </c>
      <c r="D90" s="2" t="s">
        <v>185</v>
      </c>
      <c r="E90" s="145">
        <v>0.18</v>
      </c>
      <c r="F90" s="32">
        <v>28.22</v>
      </c>
      <c r="G90" s="32">
        <f t="shared" si="7"/>
        <v>5.08</v>
      </c>
      <c r="H90" s="185">
        <f t="shared" si="5"/>
        <v>8.0649143047290003E-5</v>
      </c>
      <c r="I90" s="32">
        <f>ROUND(F90*'Прил. 10'!$D$13,2)</f>
        <v>226.89</v>
      </c>
      <c r="J90" s="32">
        <f t="shared" si="8"/>
        <v>40.840000000000003</v>
      </c>
    </row>
    <row r="91" spans="1:10" s="12" customFormat="1" ht="14.25" customHeight="1" outlineLevel="1" x14ac:dyDescent="0.2">
      <c r="A91" s="2">
        <v>63</v>
      </c>
      <c r="B91" s="170" t="s">
        <v>256</v>
      </c>
      <c r="C91" s="8" t="s">
        <v>257</v>
      </c>
      <c r="D91" s="2" t="s">
        <v>177</v>
      </c>
      <c r="E91" s="145">
        <v>4.0000000000000002E-4</v>
      </c>
      <c r="F91" s="32">
        <v>9420</v>
      </c>
      <c r="G91" s="32">
        <f t="shared" si="7"/>
        <v>3.77</v>
      </c>
      <c r="H91" s="185">
        <f t="shared" si="5"/>
        <v>5.9851824663048E-5</v>
      </c>
      <c r="I91" s="32">
        <f>ROUND(F91*'Прил. 10'!$D$13,2)</f>
        <v>75736.800000000003</v>
      </c>
      <c r="J91" s="32">
        <f t="shared" si="8"/>
        <v>30.29</v>
      </c>
    </row>
    <row r="92" spans="1:10" s="12" customFormat="1" ht="14.25" customHeight="1" outlineLevel="1" x14ac:dyDescent="0.2">
      <c r="A92" s="2">
        <v>64</v>
      </c>
      <c r="B92" s="170" t="s">
        <v>258</v>
      </c>
      <c r="C92" s="8" t="s">
        <v>259</v>
      </c>
      <c r="D92" s="2" t="s">
        <v>177</v>
      </c>
      <c r="E92" s="145">
        <v>2.0000000000000001E-4</v>
      </c>
      <c r="F92" s="32">
        <v>6667</v>
      </c>
      <c r="G92" s="32">
        <f t="shared" si="7"/>
        <v>1.33</v>
      </c>
      <c r="H92" s="185">
        <f t="shared" si="5"/>
        <v>2.1114834695452E-5</v>
      </c>
      <c r="I92" s="32">
        <f>ROUND(F92*'Прил. 10'!$D$13,2)</f>
        <v>53602.68</v>
      </c>
      <c r="J92" s="32">
        <f t="shared" si="8"/>
        <v>10.72</v>
      </c>
    </row>
    <row r="93" spans="1:10" s="12" customFormat="1" ht="14.25" customHeight="1" outlineLevel="1" x14ac:dyDescent="0.2">
      <c r="A93" s="2">
        <v>65</v>
      </c>
      <c r="B93" s="170" t="s">
        <v>260</v>
      </c>
      <c r="C93" s="8" t="s">
        <v>261</v>
      </c>
      <c r="D93" s="2" t="s">
        <v>185</v>
      </c>
      <c r="E93" s="145">
        <v>9.5000000000000001E-2</v>
      </c>
      <c r="F93" s="32">
        <v>11.5</v>
      </c>
      <c r="G93" s="32">
        <f t="shared" si="7"/>
        <v>1.0900000000000001</v>
      </c>
      <c r="H93" s="185">
        <f t="shared" si="5"/>
        <v>1.7304638960934001E-5</v>
      </c>
      <c r="I93" s="32">
        <f>ROUND(F93*'Прил. 10'!$D$13,2)</f>
        <v>92.46</v>
      </c>
      <c r="J93" s="32">
        <f t="shared" si="8"/>
        <v>8.7799999999999994</v>
      </c>
    </row>
    <row r="94" spans="1:10" s="12" customFormat="1" ht="14.25" customHeight="1" x14ac:dyDescent="0.2">
      <c r="A94" s="2"/>
      <c r="B94" s="2"/>
      <c r="C94" s="8" t="s">
        <v>336</v>
      </c>
      <c r="D94" s="2"/>
      <c r="E94" s="182"/>
      <c r="F94" s="32"/>
      <c r="G94" s="32">
        <f>SUM(G57:G93)</f>
        <v>9053.9</v>
      </c>
      <c r="H94" s="183">
        <f>G94/G95</f>
        <v>0.14373804650312</v>
      </c>
      <c r="I94" s="32"/>
      <c r="J94" s="32">
        <f>SUM(J57:J93)</f>
        <v>72793.05</v>
      </c>
    </row>
    <row r="95" spans="1:10" s="12" customFormat="1" ht="14.25" customHeight="1" x14ac:dyDescent="0.2">
      <c r="A95" s="2"/>
      <c r="B95" s="2"/>
      <c r="C95" s="104" t="s">
        <v>337</v>
      </c>
      <c r="D95" s="2"/>
      <c r="E95" s="182"/>
      <c r="F95" s="103"/>
      <c r="G95" s="32">
        <f>G56+G94</f>
        <v>62988.89</v>
      </c>
      <c r="H95" s="183">
        <v>1</v>
      </c>
      <c r="I95" s="32"/>
      <c r="J95" s="32">
        <f>J56+J94</f>
        <v>506430.87</v>
      </c>
    </row>
    <row r="96" spans="1:10" s="12" customFormat="1" ht="14.25" customHeight="1" x14ac:dyDescent="0.2">
      <c r="A96" s="2"/>
      <c r="B96" s="2"/>
      <c r="C96" s="8" t="s">
        <v>338</v>
      </c>
      <c r="D96" s="2"/>
      <c r="E96" s="182"/>
      <c r="F96" s="103"/>
      <c r="G96" s="32">
        <f>G16+G36+G95</f>
        <v>193439.45</v>
      </c>
      <c r="H96" s="183"/>
      <c r="I96" s="32"/>
      <c r="J96" s="32">
        <f>J16+J36+J95</f>
        <v>3967661.66</v>
      </c>
    </row>
    <row r="97" spans="1:12" s="12" customFormat="1" ht="14.25" customHeight="1" x14ac:dyDescent="0.2">
      <c r="A97" s="2"/>
      <c r="B97" s="2"/>
      <c r="C97" s="8" t="s">
        <v>339</v>
      </c>
      <c r="D97" s="192">
        <f>ROUND(G97/(G$18+$G$16),2)</f>
        <v>0.84</v>
      </c>
      <c r="E97" s="182"/>
      <c r="F97" s="103"/>
      <c r="G97" s="32">
        <v>50194.87</v>
      </c>
      <c r="H97" s="183"/>
      <c r="I97" s="32"/>
      <c r="J97" s="32">
        <f>ROUND(D97*(J16+J18),2)</f>
        <v>2301962.15</v>
      </c>
    </row>
    <row r="98" spans="1:12" s="12" customFormat="1" ht="14.25" customHeight="1" x14ac:dyDescent="0.2">
      <c r="A98" s="2"/>
      <c r="B98" s="2"/>
      <c r="C98" s="8" t="s">
        <v>340</v>
      </c>
      <c r="D98" s="192">
        <f>ROUND(G98/(G$16+G$18),2)</f>
        <v>0.61</v>
      </c>
      <c r="E98" s="182"/>
      <c r="F98" s="103"/>
      <c r="G98" s="32">
        <v>36433.07</v>
      </c>
      <c r="H98" s="183"/>
      <c r="I98" s="32"/>
      <c r="J98" s="32">
        <f>ROUND(D98*(J16+J18),2)</f>
        <v>1671662.99</v>
      </c>
    </row>
    <row r="99" spans="1:12" s="12" customFormat="1" ht="14.25" customHeight="1" x14ac:dyDescent="0.2">
      <c r="A99" s="2"/>
      <c r="B99" s="2"/>
      <c r="C99" s="8" t="s">
        <v>341</v>
      </c>
      <c r="D99" s="2"/>
      <c r="E99" s="182"/>
      <c r="F99" s="103"/>
      <c r="G99" s="32">
        <f>G16+G36+G95+G97+G98</f>
        <v>280067.39</v>
      </c>
      <c r="H99" s="183"/>
      <c r="I99" s="32"/>
      <c r="J99" s="32">
        <f>J16+J36+J95+J97+J98</f>
        <v>7941286.7999999998</v>
      </c>
    </row>
    <row r="100" spans="1:12" s="12" customFormat="1" ht="14.25" customHeight="1" x14ac:dyDescent="0.2">
      <c r="A100" s="2"/>
      <c r="B100" s="2"/>
      <c r="C100" s="8" t="s">
        <v>342</v>
      </c>
      <c r="D100" s="2"/>
      <c r="E100" s="182"/>
      <c r="F100" s="103"/>
      <c r="G100" s="32">
        <f>G99+G45</f>
        <v>5617067.0300000003</v>
      </c>
      <c r="H100" s="183"/>
      <c r="I100" s="32"/>
      <c r="J100" s="32">
        <f>J99+J45</f>
        <v>41350904.369999997</v>
      </c>
    </row>
    <row r="101" spans="1:12" s="12" customFormat="1" ht="34.5" customHeight="1" x14ac:dyDescent="0.2">
      <c r="A101" s="2"/>
      <c r="B101" s="2"/>
      <c r="C101" s="8" t="s">
        <v>294</v>
      </c>
      <c r="D101" s="2" t="s">
        <v>343</v>
      </c>
      <c r="E101" s="182">
        <v>7</v>
      </c>
      <c r="F101" s="103"/>
      <c r="G101" s="32">
        <f>G100/E101</f>
        <v>802438.14714285999</v>
      </c>
      <c r="H101" s="183"/>
      <c r="I101" s="32"/>
      <c r="J101" s="32">
        <f>J100/E101</f>
        <v>5907272.0528571</v>
      </c>
    </row>
    <row r="103" spans="1:12" x14ac:dyDescent="0.25">
      <c r="A103"/>
      <c r="B103" s="4" t="s">
        <v>75</v>
      </c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 s="33" t="s">
        <v>76</v>
      </c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 s="4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 s="4" t="s">
        <v>77</v>
      </c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 s="33" t="s">
        <v>78</v>
      </c>
      <c r="D107"/>
      <c r="E107"/>
      <c r="F107"/>
      <c r="G107"/>
      <c r="H107"/>
      <c r="I107"/>
      <c r="J107"/>
      <c r="K107"/>
      <c r="L107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8:H48"/>
    <mergeCell ref="B12:H12"/>
    <mergeCell ref="B17:H17"/>
    <mergeCell ref="B19:H19"/>
    <mergeCell ref="B20:H20"/>
    <mergeCell ref="B38:H38"/>
    <mergeCell ref="B47:H47"/>
    <mergeCell ref="B37:H3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2023-11-30T09:21:26Z</cp:lastPrinted>
  <dcterms:created xsi:type="dcterms:W3CDTF">2020-09-30T08:50:27Z</dcterms:created>
  <dcterms:modified xsi:type="dcterms:W3CDTF">2023-11-30T09:21:41Z</dcterms:modified>
  <cp:category/>
</cp:coreProperties>
</file>