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3'!$A$1:$H$68</definedName>
    <definedName name="_xlnm.Print_Area" localSheetId="7">'Прил.4 РМ'!$A$1:$E$48</definedName>
    <definedName name="_xlnm.Print_Area" localSheetId="8">'Прил.5 Расчет СМР и ОБ'!$A$1:$J$82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G13" i="10"/>
  <c r="G12" i="10"/>
  <c r="F12" i="10"/>
  <c r="E12" i="10"/>
  <c r="D12" i="10"/>
  <c r="C12" i="10"/>
  <c r="B12" i="10"/>
  <c r="J76" i="9"/>
  <c r="G76" i="9"/>
  <c r="J75" i="9"/>
  <c r="G75" i="9"/>
  <c r="J74" i="9"/>
  <c r="G74" i="9"/>
  <c r="J73" i="9"/>
  <c r="D73" i="9"/>
  <c r="J72" i="9"/>
  <c r="D72" i="9"/>
  <c r="J71" i="9"/>
  <c r="G71" i="9"/>
  <c r="J70" i="9"/>
  <c r="G70" i="9"/>
  <c r="J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E54" i="9"/>
  <c r="J53" i="9"/>
  <c r="I53" i="9"/>
  <c r="H53" i="9"/>
  <c r="G53" i="9"/>
  <c r="J52" i="9"/>
  <c r="I52" i="9"/>
  <c r="H52" i="9"/>
  <c r="G52" i="9"/>
  <c r="J51" i="9"/>
  <c r="I51" i="9"/>
  <c r="H51" i="9"/>
  <c r="G51" i="9"/>
  <c r="E51" i="9"/>
  <c r="J50" i="9"/>
  <c r="H50" i="9"/>
  <c r="G50" i="9"/>
  <c r="J49" i="9"/>
  <c r="I49" i="9"/>
  <c r="H49" i="9"/>
  <c r="G49" i="9"/>
  <c r="E49" i="9"/>
  <c r="J48" i="9"/>
  <c r="I48" i="9"/>
  <c r="H48" i="9"/>
  <c r="G48" i="9"/>
  <c r="E48" i="9"/>
  <c r="J47" i="9"/>
  <c r="I47" i="9"/>
  <c r="H47" i="9"/>
  <c r="G47" i="9"/>
  <c r="J44" i="9"/>
  <c r="G44" i="9"/>
  <c r="J43" i="9"/>
  <c r="H43" i="9"/>
  <c r="G43" i="9"/>
  <c r="J42" i="9"/>
  <c r="H42" i="9"/>
  <c r="G42" i="9"/>
  <c r="J41" i="9"/>
  <c r="I41" i="9"/>
  <c r="H41" i="9"/>
  <c r="G41" i="9"/>
  <c r="J40" i="9"/>
  <c r="I40" i="9"/>
  <c r="H40" i="9"/>
  <c r="G40" i="9"/>
  <c r="J39" i="9"/>
  <c r="H39" i="9"/>
  <c r="G39" i="9"/>
  <c r="J38" i="9"/>
  <c r="H38" i="9"/>
  <c r="G38" i="9"/>
  <c r="F38" i="9"/>
  <c r="J35" i="9"/>
  <c r="G35" i="9"/>
  <c r="J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A49" i="6"/>
  <c r="H48" i="6"/>
  <c r="A48" i="6"/>
  <c r="H47" i="6"/>
  <c r="A47" i="6"/>
  <c r="H46" i="6"/>
  <c r="A46" i="6"/>
  <c r="H45" i="6"/>
  <c r="A45" i="6"/>
  <c r="H44" i="6"/>
  <c r="F44" i="6"/>
  <c r="A44" i="6"/>
  <c r="H43" i="6"/>
  <c r="A43" i="6"/>
  <c r="H42" i="6"/>
  <c r="A42" i="6"/>
  <c r="H41" i="6"/>
  <c r="F41" i="6"/>
  <c r="A41" i="6"/>
  <c r="H40" i="6"/>
  <c r="F40" i="6"/>
  <c r="A40" i="6"/>
  <c r="H39" i="6"/>
  <c r="F39" i="6"/>
  <c r="A39" i="6"/>
  <c r="H38" i="6"/>
  <c r="A38" i="6"/>
  <c r="H37" i="6"/>
  <c r="H36" i="6"/>
  <c r="A36" i="6"/>
  <c r="H35" i="6"/>
  <c r="H34" i="6"/>
  <c r="A34" i="6"/>
  <c r="H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19" i="6"/>
  <c r="H18" i="6"/>
  <c r="H17" i="6"/>
  <c r="H16" i="6"/>
  <c r="H15" i="6"/>
  <c r="H14" i="6"/>
  <c r="H13" i="6"/>
  <c r="H12" i="6"/>
  <c r="F12" i="6"/>
  <c r="J14" i="5"/>
  <c r="H14" i="5"/>
  <c r="G14" i="5"/>
  <c r="J13" i="5"/>
  <c r="H13" i="5"/>
  <c r="G13" i="5"/>
  <c r="J12" i="5"/>
  <c r="H12" i="5"/>
  <c r="G12" i="5"/>
  <c r="D24" i="4"/>
  <c r="D23" i="4"/>
  <c r="D21" i="4"/>
  <c r="D20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<sst xmlns="http://schemas.openxmlformats.org/spreadsheetml/2006/main" count="932" uniqueCount="465">
  <si>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</si>
  <si>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</si>
  <si>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</si>
  <si>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</si>
  <si>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</si>
  <si>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</si>
  <si>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</si>
  <si>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</si>
  <si>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</si>
  <si>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</si>
  <si>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</si>
  <si>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</si>
  <si>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</si>
  <si>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</si>
  <si>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</si>
  <si>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</si>
  <si>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</si>
  <si>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</si>
  <si>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</si>
  <si>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</si>
  <si>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</si>
  <si>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</si>
  <si>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</si>
  <si>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</si>
  <si>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</si>
  <si>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</si>
  <si>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</si>
  <si>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</si>
  <si>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</si>
  <si>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</si>
  <si>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</si>
  <si>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</si>
  <si>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</si>
  <si>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</si>
  <si>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</si>
  <si>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</si>
  <si>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</si>
  <si>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</si>
  <si>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</si>
  <si>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</si>
  <si>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</si>
  <si>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</si>
  <si>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</si>
  <si>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</si>
  <si>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</si>
  <si>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</si>
  <si>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</si>
  <si>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</si>
  <si>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ТТ на три фазы 330 кВ.</t>
  </si>
  <si>
    <t>Сопоставимый уровень цен: 4 кв. 2017 г.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</si>
  <si>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</si>
  <si>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</si>
  <si>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</si>
  <si>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</si>
  <si>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500 кВ Дальневосточная</t>
  </si>
  <si>
    <t>Наименование субъекта Российской Федерации</t>
  </si>
  <si>
    <t>Приморский край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</si>
  <si>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</si>
  <si>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</si>
  <si>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</si>
  <si>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</si>
  <si>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Элегазовый ТГФ-330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</si>
  <si>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</si>
  <si>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</si>
  <si>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</si>
  <si>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</si>
  <si>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</si>
  <si>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</si>
  <si>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</si>
  <si>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</si>
  <si>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</si>
  <si>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</si>
  <si>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2017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</si>
  <si>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</si>
  <si>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</si>
  <si>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</si>
  <si>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</si>
  <si>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</si>
  <si>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</si>
  <si>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</si>
  <si>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</si>
  <si>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</si>
  <si>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</si>
  <si>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</si>
  <si>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</si>
  <si>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2017г., тыс. руб.</t>
  </si>
  <si>
    <t>Строительные работы</t>
  </si>
  <si>
    <t>Монтажные работы</t>
  </si>
  <si>
    <t>Прочее</t>
  </si>
  <si>
    <t>Всего</t>
  </si>
  <si>
    <t>02-02-02</t>
  </si>
  <si>
    <t xml:space="preserve">ОРУ. Приобретение и монтаж электротехнического оборудования </t>
  </si>
  <si>
    <t>Всего по объекту:</t>
  </si>
  <si>
    <t>Всего по объекту в сопоставимом уровне цен 4 кв. 2017г: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</si>
  <si>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</si>
  <si>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</si>
  <si>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</si>
  <si>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</si>
  <si>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</si>
  <si>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</si>
  <si>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</si>
  <si>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</si>
  <si>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</si>
  <si>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</si>
  <si>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</si>
  <si>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</si>
  <si>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</si>
  <si>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</si>
  <si>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1-4-0</t>
  </si>
  <si>
    <t>Затраты труда рабочих (средний разряд работы 4,0)</t>
  </si>
  <si>
    <t>чел.час</t>
  </si>
  <si>
    <t>2</t>
  </si>
  <si>
    <t>10-30-1</t>
  </si>
  <si>
    <t>Инженер I категории</t>
  </si>
  <si>
    <t>3</t>
  </si>
  <si>
    <t>10-30-2</t>
  </si>
  <si>
    <t>Инженер II категории</t>
  </si>
  <si>
    <t>4</t>
  </si>
  <si>
    <t>1-3-8</t>
  </si>
  <si>
    <t>Затраты труда рабочих (средний разряд работы 3,8)</t>
  </si>
  <si>
    <t>5</t>
  </si>
  <si>
    <t>1-3-2</t>
  </si>
  <si>
    <t>Затраты труда рабочих (средний разряд работы 3,2)</t>
  </si>
  <si>
    <t>чел.-ч.</t>
  </si>
  <si>
    <t>Затраты труда машинистов</t>
  </si>
  <si>
    <t>Машины и механизмы</t>
  </si>
  <si>
    <t>91.10.01-002</t>
  </si>
  <si>
    <t>Агрегаты наполнительно-опрессовочные до 300 м3/ч</t>
  </si>
  <si>
    <t>маш.-ч</t>
  </si>
  <si>
    <t>91.06.03-058</t>
  </si>
  <si>
    <t>Лебедки электрические тяговым усилием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</si>
  <si>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</si>
  <si>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</si>
  <si>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</si>
  <si>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</si>
  <si>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</si>
  <si>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</si>
  <si>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</si>
  <si>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</si>
  <si>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</si>
  <si>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</si>
  <si>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</si>
  <si>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</si>
  <si>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</si>
  <si>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</si>
  <si>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</si>
  <si>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</si>
  <si>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</si>
  <si>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</si>
  <si>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</si>
  <si>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</si>
  <si>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</si>
  <si>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Оптический трансформатор тока 330 кВ, 2000А, 63кА.</t>
  </si>
  <si>
    <t>шт.</t>
  </si>
  <si>
    <t>Коробка зажимов КЗ-11</t>
  </si>
  <si>
    <t>шт</t>
  </si>
  <si>
    <t>Коробка зажимов КЗ-11-АСКУЭ</t>
  </si>
  <si>
    <t>Материалы</t>
  </si>
  <si>
    <t>20.1.01.02-0010</t>
  </si>
  <si>
    <t>Зажим аппаратный прессуемый: 2А6А-300-4</t>
  </si>
  <si>
    <t>100 шт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</si>
  <si>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</si>
  <si>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</si>
  <si>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</si>
  <si>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</si>
  <si>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</si>
  <si>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</si>
  <si>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</si>
  <si>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</si>
  <si>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08.3.07.01-0076</t>
  </si>
  <si>
    <t>Прокат полосовой, горячекатаный, марка стали Ст3сп, ширина 50-200 мм, толщина 4-5 мм</t>
  </si>
  <si>
    <t>т</t>
  </si>
  <si>
    <t>01.7.17.11-0001</t>
  </si>
  <si>
    <t>Бумага шлифовальная</t>
  </si>
  <si>
    <t>кг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</si>
  <si>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</si>
  <si>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</si>
  <si>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</si>
  <si>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</si>
  <si>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14.4.02.09-0001</t>
  </si>
  <si>
    <t>Краска</t>
  </si>
  <si>
    <t>08.3.07.01-0043</t>
  </si>
  <si>
    <t>Сталь полосовая: 40х5 мм, марка Ст3сп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</si>
  <si>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</si>
  <si>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</si>
  <si>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</si>
  <si>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</si>
  <si>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</si>
  <si>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</si>
  <si>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</si>
  <si>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</si>
  <si>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14.4.02.09-0301</t>
  </si>
  <si>
    <t>Краска "Цинол"</t>
  </si>
  <si>
    <t>01.7.11.07-0034</t>
  </si>
  <si>
    <t>Электроды диаметром: 4 мм Э42А</t>
  </si>
  <si>
    <t>08.3.08.02-0091</t>
  </si>
  <si>
    <t>Сталь угловая, марки Ст3, перфорированная УП 35х35 мм</t>
  </si>
  <si>
    <t>м</t>
  </si>
  <si>
    <t>08.3.05.02-0052</t>
  </si>
  <si>
    <t>Сталь листовая горячекатаная марки Ст3 толщиной: 2-6 мм</t>
  </si>
  <si>
    <t>01.7.15.07-0014</t>
  </si>
  <si>
    <t>Дюбели распорные полипропиленовые</t>
  </si>
  <si>
    <t>01.7.15.07-0007</t>
  </si>
  <si>
    <t>Дюбели пластмассовые диаметр 14 мм</t>
  </si>
  <si>
    <t>01.7.15.03-0031</t>
  </si>
  <si>
    <t>Болты с гайками и шайбами оцинкованные, диаметр: 6 мм</t>
  </si>
  <si>
    <t>01.7.15.14-0043</t>
  </si>
  <si>
    <t>Шуруп самонарезающий: (LN) 3,5/11 мм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</si>
  <si>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</si>
  <si>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</si>
  <si>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</si>
  <si>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</si>
  <si>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</si>
  <si>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</si>
  <si>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</si>
  <si>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</si>
  <si>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</si>
  <si>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</si>
  <si>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</si>
  <si>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</si>
  <si>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</si>
  <si>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</si>
  <si>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</si>
  <si>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</si>
  <si>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</si>
  <si>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</si>
  <si>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</si>
  <si>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</si>
  <si>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</si>
  <si>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</si>
  <si>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</si>
  <si>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</si>
  <si>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</si>
  <si>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</si>
  <si>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</si>
  <si>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</si>
  <si>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</si>
  <si>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</si>
  <si>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</si>
  <si>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</si>
  <si>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</si>
  <si>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</si>
  <si>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</si>
  <si>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</si>
  <si>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</si>
  <si>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</si>
  <si>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</si>
  <si>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</si>
  <si>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</si>
  <si>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</si>
  <si>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</si>
  <si>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</si>
  <si>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</si>
  <si>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</si>
  <si>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</si>
  <si>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</si>
  <si>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</si>
  <si>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</si>
  <si>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</si>
  <si>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</si>
  <si>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 -</t>
  </si>
  <si>
    <t xml:space="preserve"> Элементы ПС без устройства фундаментов. Цифровой ТТ на три фазы 330 кВ.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</si>
  <si>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</si>
  <si>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</si>
  <si>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</si>
  <si>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</si>
  <si>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</si>
  <si>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</si>
  <si>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</si>
  <si>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</si>
  <si>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</si>
  <si>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</si>
  <si>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</si>
  <si>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</si>
  <si>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</si>
  <si>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БЦ.14_1.715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</si>
  <si>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</si>
  <si>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</si>
  <si>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</si>
  <si>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</si>
  <si>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</si>
  <si>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</si>
  <si>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</si>
  <si>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</si>
  <si>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</si>
  <si>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</si>
  <si>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</si>
  <si>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</si>
  <si>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</si>
  <si>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</si>
  <si>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</si>
  <si>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</si>
  <si>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</si>
  <si>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</si>
  <si>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</si>
  <si>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</si>
  <si>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</si>
  <si>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</si>
  <si>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</si>
  <si>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</si>
  <si>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</si>
  <si>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</si>
  <si>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И10-07-5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</si>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</sst>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6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Arial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16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right" vertical="center" wrapText="1"/>
    </xf>
    <xf numFmtId="170" fontId="23" fillId="0" borderId="1" xfId="0" applyNumberFormat="1" applyFont="1" applyBorder="1" applyAlignment="1">
      <alignment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5" fillId="4" borderId="0" xfId="0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6" fillId="4" borderId="0" xfId="0" applyFont="1" applyFill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 wrapText="1"/>
    </xf>
    <xf numFmtId="4" fontId="23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49" fontId="17" fillId="0" borderId="1" xfId="0" applyNumberFormat="1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2" fontId="19" fillId="0" borderId="4" xfId="0" applyNumberFormat="1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justify" vertical="center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593726</xdr:colOff>
      <xdr:row>15</xdr:row>
      <xdr:rowOff>150239</xdr:rowOff>
    </xdr:from>
    <xdr:to>
      <xdr:col>2</xdr:col>
      <xdr:colOff>1496920</xdr:colOff>
      <xdr:row>17</xdr:row>
      <xdr:rowOff>105827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440" y="4586168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265393</xdr:colOff>
      <xdr:row>64</xdr:row>
      <xdr:rowOff>23532</xdr:rowOff>
    </xdr:from>
    <xdr:to>
      <xdr:col>3</xdr:col>
      <xdr:colOff>79935</xdr:colOff>
      <xdr:row>67</xdr:row>
      <xdr:rowOff>7657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746" y="14792885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151094</xdr:colOff>
      <xdr:row>61</xdr:row>
      <xdr:rowOff>168648</xdr:rowOff>
    </xdr:from>
    <xdr:to>
      <xdr:col>2</xdr:col>
      <xdr:colOff>1050926</xdr:colOff>
      <xdr:row>63</xdr:row>
      <xdr:rowOff>133761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447" y="14366501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1043642</xdr:colOff>
      <xdr:row>43</xdr:row>
      <xdr:rowOff>52668</xdr:rowOff>
    </xdr:from>
    <xdr:to>
      <xdr:col>1</xdr:col>
      <xdr:colOff>1982134</xdr:colOff>
      <xdr:row>46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867" y="119684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40</xdr:row>
      <xdr:rowOff>181535</xdr:rowOff>
    </xdr:from>
    <xdr:to>
      <xdr:col>1</xdr:col>
      <xdr:colOff>1839820</xdr:colOff>
      <xdr:row>42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1" y="11525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938867</xdr:colOff>
      <xdr:row>78</xdr:row>
      <xdr:rowOff>24093</xdr:rowOff>
    </xdr:from>
    <xdr:to>
      <xdr:col>2</xdr:col>
      <xdr:colOff>372409</xdr:colOff>
      <xdr:row>81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867" y="1900741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908051</xdr:colOff>
      <xdr:row>76</xdr:row>
      <xdr:rowOff>10085</xdr:rowOff>
    </xdr:from>
    <xdr:to>
      <xdr:col>2</xdr:col>
      <xdr:colOff>306295</xdr:colOff>
      <xdr:row>77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51" y="1861241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18</xdr:row>
      <xdr:rowOff>62193</xdr:rowOff>
    </xdr:from>
    <xdr:to>
      <xdr:col>2</xdr:col>
      <xdr:colOff>724834</xdr:colOff>
      <xdr:row>21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17" y="43770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1117601</xdr:colOff>
      <xdr:row>16</xdr:row>
      <xdr:rowOff>10085</xdr:rowOff>
    </xdr:from>
    <xdr:to>
      <xdr:col>2</xdr:col>
      <xdr:colOff>849220</xdr:colOff>
      <xdr:row>17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1" y="3943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13</xdr:row>
      <xdr:rowOff>62193</xdr:rowOff>
    </xdr:from>
    <xdr:to>
      <xdr:col>1</xdr:col>
      <xdr:colOff>1896409</xdr:colOff>
      <xdr:row>16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942" y="37102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11</xdr:row>
      <xdr:rowOff>19610</xdr:rowOff>
    </xdr:from>
    <xdr:to>
      <xdr:col>1</xdr:col>
      <xdr:colOff>1839820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651" y="32866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1004981</xdr:colOff>
      <xdr:row>27</xdr:row>
      <xdr:rowOff>68356</xdr:rowOff>
    </xdr:from>
    <xdr:to>
      <xdr:col>1</xdr:col>
      <xdr:colOff>1943473</xdr:colOff>
      <xdr:row>30</xdr:row>
      <xdr:rowOff>23906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099" y="92347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24</xdr:row>
      <xdr:rowOff>101413</xdr:rowOff>
    </xdr:from>
    <xdr:to>
      <xdr:col>1</xdr:col>
      <xdr:colOff>1928346</xdr:colOff>
      <xdr:row>26</xdr:row>
      <xdr:rowOff>57001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270" y="869632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3" t="s">
        <v>0</v>
      </c>
      <c r="B2" s="233"/>
      <c r="C2" s="233"/>
    </row>
    <row r="3" spans="1:3" x14ac:dyDescent="0.25">
      <c r="A3" s="1"/>
      <c r="B3" s="1"/>
      <c r="C3" s="1"/>
    </row>
    <row r="4" spans="1:3" x14ac:dyDescent="0.25">
      <c r="A4" s="234" t="s">
        <v>1</v>
      </c>
      <c r="B4" s="234"/>
      <c r="C4" s="23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5" t="s">
        <v>3</v>
      </c>
      <c r="C6" s="235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1352.8492577995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0" t="s">
        <v>290</v>
      </c>
      <c r="B1" s="280"/>
      <c r="C1" s="280"/>
      <c r="D1" s="280"/>
      <c r="E1" s="280"/>
      <c r="F1" s="280"/>
      <c r="G1" s="280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3" t="s">
        <v>291</v>
      </c>
      <c r="B3" s="233"/>
      <c r="C3" s="233"/>
      <c r="D3" s="233"/>
      <c r="E3" s="233"/>
      <c r="F3" s="233"/>
      <c r="G3" s="233"/>
    </row>
    <row r="4" spans="1:7" ht="25.5" customHeight="1" x14ac:dyDescent="0.25">
      <c r="A4" s="236" t="s">
        <v>48</v>
      </c>
      <c r="B4" s="236"/>
      <c r="C4" s="236"/>
      <c r="D4" s="236"/>
      <c r="E4" s="236"/>
      <c r="F4" s="236"/>
      <c r="G4" s="23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8" t="s">
        <v>13</v>
      </c>
      <c r="B6" s="268" t="s">
        <v>98</v>
      </c>
      <c r="C6" s="268" t="s">
        <v>211</v>
      </c>
      <c r="D6" s="268" t="s">
        <v>100</v>
      </c>
      <c r="E6" s="269" t="s">
        <v>263</v>
      </c>
      <c r="F6" s="285" t="s">
        <v>102</v>
      </c>
      <c r="G6" s="285"/>
    </row>
    <row r="7" spans="1:7" x14ac:dyDescent="0.25">
      <c r="A7" s="268"/>
      <c r="B7" s="268"/>
      <c r="C7" s="268"/>
      <c r="D7" s="268"/>
      <c r="E7" s="270"/>
      <c r="F7" s="2" t="s">
        <v>266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1" t="s">
        <v>292</v>
      </c>
      <c r="C9" s="282"/>
      <c r="D9" s="282"/>
      <c r="E9" s="282"/>
      <c r="F9" s="282"/>
      <c r="G9" s="283"/>
    </row>
    <row r="10" spans="1:7" ht="27" customHeight="1" x14ac:dyDescent="0.25">
      <c r="A10" s="2"/>
      <c r="B10" s="104"/>
      <c r="C10" s="8" t="s">
        <v>293</v>
      </c>
      <c r="D10" s="104"/>
      <c r="E10" s="105"/>
      <c r="F10" s="103"/>
      <c r="G10" s="103">
        <v>0</v>
      </c>
    </row>
    <row r="11" spans="1:7" x14ac:dyDescent="0.25">
      <c r="A11" s="2"/>
      <c r="B11" s="271" t="s">
        <v>294</v>
      </c>
      <c r="C11" s="271"/>
      <c r="D11" s="271"/>
      <c r="E11" s="284"/>
      <c r="F11" s="273"/>
      <c r="G11" s="273"/>
    </row>
    <row r="12" spans="1:7" ht="25.5" customHeight="1" x14ac:dyDescent="0.25">
      <c r="A12" s="2">
        <v>1</v>
      </c>
      <c r="B12" s="186" t="str">
        <f>'Прил.5 Расчет СМР и ОБ'!B38</f>
        <v>БЦ.14_1.715</v>
      </c>
      <c r="C12" s="187" t="str">
        <f>'Прил.5 Расчет СМР и ОБ'!C38</f>
        <v>Оптический трансформатор тока 330 кВ, 2000А, 63кА.</v>
      </c>
      <c r="D12" s="186" t="str">
        <f>'Прил.5 Расчет СМР и ОБ'!D38</f>
        <v>шт.</v>
      </c>
      <c r="E12" s="185">
        <f>'Прил.5 Расчет СМР и ОБ'!E38</f>
        <v>3</v>
      </c>
      <c r="F12" s="32">
        <f>'Прил.5 Расчет СМР и ОБ'!F38</f>
        <v>417041.01</v>
      </c>
      <c r="G12" s="32">
        <f>E12*F12</f>
        <v>1251123.03</v>
      </c>
    </row>
    <row r="13" spans="1:7" x14ac:dyDescent="0.25">
      <c r="A13" s="2">
        <v>3</v>
      </c>
      <c r="B13" s="202" t="s">
        <v>151</v>
      </c>
      <c r="C13" s="203" t="s">
        <v>154</v>
      </c>
      <c r="D13" s="2" t="s">
        <v>155</v>
      </c>
      <c r="E13" s="185">
        <v>1</v>
      </c>
      <c r="F13" s="32">
        <v>2552.88</v>
      </c>
      <c r="G13" s="32">
        <f>E13*F13</f>
        <v>2552.88</v>
      </c>
    </row>
    <row r="14" spans="1:7" x14ac:dyDescent="0.25">
      <c r="A14" s="2">
        <v>4</v>
      </c>
      <c r="B14" s="202" t="s">
        <v>151</v>
      </c>
      <c r="C14" s="203" t="s">
        <v>156</v>
      </c>
      <c r="D14" s="2" t="s">
        <v>155</v>
      </c>
      <c r="E14" s="185">
        <v>1</v>
      </c>
      <c r="F14" s="32">
        <v>1337.37</v>
      </c>
      <c r="G14" s="32">
        <f>E14*F14</f>
        <v>1337.37</v>
      </c>
    </row>
    <row r="15" spans="1:7" ht="25.5" customHeight="1" x14ac:dyDescent="0.25">
      <c r="A15" s="2"/>
      <c r="B15" s="203"/>
      <c r="C15" s="203" t="s">
        <v>295</v>
      </c>
      <c r="D15" s="8"/>
      <c r="E15" s="47"/>
      <c r="F15" s="32"/>
      <c r="G15" s="32">
        <f>SUM(G12:G14)</f>
        <v>1255013.28</v>
      </c>
    </row>
    <row r="16" spans="1:7" ht="19.5" customHeight="1" x14ac:dyDescent="0.25">
      <c r="A16" s="2"/>
      <c r="B16" s="8"/>
      <c r="C16" s="8" t="s">
        <v>296</v>
      </c>
      <c r="D16" s="8"/>
      <c r="E16" s="47"/>
      <c r="F16" s="103"/>
      <c r="G16" s="32">
        <f>G10+G15</f>
        <v>1255013.28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297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3" t="s">
        <v>298</v>
      </c>
      <c r="B3" s="233"/>
      <c r="C3" s="233"/>
      <c r="D3" s="233"/>
    </row>
    <row r="4" spans="1:5" ht="24.75" customHeight="1" x14ac:dyDescent="0.25">
      <c r="A4" s="143"/>
      <c r="B4" s="143"/>
      <c r="C4" s="143"/>
      <c r="D4" s="143"/>
    </row>
    <row r="5" spans="1:5" ht="57.75" customHeight="1" x14ac:dyDescent="0.25">
      <c r="A5" s="236" t="s">
        <v>299</v>
      </c>
      <c r="B5" s="236"/>
      <c r="C5" s="236"/>
      <c r="D5" s="222" t="str">
        <f>'Прил.5 Расчет СМР и ОБ'!D6</f>
        <v xml:space="preserve"> Элементы ПС без устройства фундаментов. Цифровой ТТ на три фазы 330 кВ.</v>
      </c>
    </row>
    <row r="6" spans="1:5" ht="19.899999999999999" customHeight="1" x14ac:dyDescent="0.25">
      <c r="A6" s="236" t="s">
        <v>50</v>
      </c>
      <c r="B6" s="236"/>
      <c r="C6" s="236"/>
      <c r="D6" s="222"/>
    </row>
    <row r="7" spans="1:5" x14ac:dyDescent="0.25">
      <c r="A7" s="4"/>
      <c r="B7" s="4"/>
      <c r="C7" s="4"/>
      <c r="D7" s="4"/>
    </row>
    <row r="8" spans="1:5" ht="14.45" customHeight="1" x14ac:dyDescent="0.25">
      <c r="A8" s="248" t="s">
        <v>5</v>
      </c>
      <c r="B8" s="248" t="s">
        <v>6</v>
      </c>
      <c r="C8" s="248" t="s">
        <v>300</v>
      </c>
      <c r="D8" s="248" t="s">
        <v>301</v>
      </c>
    </row>
    <row r="9" spans="1:5" ht="15" customHeight="1" x14ac:dyDescent="0.25">
      <c r="A9" s="248"/>
      <c r="B9" s="248"/>
      <c r="C9" s="248"/>
      <c r="D9" s="248"/>
    </row>
    <row r="10" spans="1:5" x14ac:dyDescent="0.25">
      <c r="A10" s="223">
        <v>1</v>
      </c>
      <c r="B10" s="223">
        <v>2</v>
      </c>
      <c r="C10" s="223">
        <v>3</v>
      </c>
      <c r="D10" s="223">
        <v>4</v>
      </c>
    </row>
    <row r="11" spans="1:5" ht="41.45" customHeight="1" x14ac:dyDescent="0.25">
      <c r="A11" s="223" t="s">
        <v>302</v>
      </c>
      <c r="B11" s="223" t="s">
        <v>303</v>
      </c>
      <c r="C11" s="224" t="str">
        <f>D5</f>
        <v xml:space="preserve"> Элементы ПС без устройства фундаментов. Цифровой ТТ на три фазы 330 кВ.</v>
      </c>
      <c r="D11" s="225">
        <f>'Прил.4 РМ'!C41/1000</f>
        <v>10115.51636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7109375" customWidth="1"/>
    <col min="4" max="4" width="32" customWidth="1"/>
    <col min="5" max="5" width="9.140625" customWidth="1"/>
  </cols>
  <sheetData>
    <row r="4" spans="2:5" ht="15.75" customHeight="1" x14ac:dyDescent="0.25">
      <c r="B4" s="241" t="s">
        <v>304</v>
      </c>
      <c r="C4" s="241"/>
      <c r="D4" s="241"/>
    </row>
    <row r="5" spans="2:5" ht="18.75" customHeight="1" x14ac:dyDescent="0.25">
      <c r="B5" s="137"/>
    </row>
    <row r="6" spans="2:5" ht="15.75" customHeight="1" x14ac:dyDescent="0.25">
      <c r="B6" s="247" t="s">
        <v>305</v>
      </c>
      <c r="C6" s="247"/>
      <c r="D6" s="247"/>
    </row>
    <row r="7" spans="2:5" x14ac:dyDescent="0.25">
      <c r="B7" s="286" t="s">
        <v>306</v>
      </c>
      <c r="C7" s="286"/>
      <c r="D7" s="286"/>
      <c r="E7" s="286"/>
    </row>
    <row r="8" spans="2:5" x14ac:dyDescent="0.25">
      <c r="B8" s="157"/>
      <c r="C8" s="157"/>
      <c r="D8" s="157"/>
      <c r="E8" s="157"/>
    </row>
    <row r="9" spans="2:5" ht="47.25" customHeight="1" x14ac:dyDescent="0.25">
      <c r="B9" s="117" t="s">
        <v>307</v>
      </c>
      <c r="C9" s="117" t="s">
        <v>308</v>
      </c>
      <c r="D9" s="117" t="s">
        <v>309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310</v>
      </c>
      <c r="C11" s="117" t="s">
        <v>311</v>
      </c>
      <c r="D11" s="117">
        <v>44.29</v>
      </c>
    </row>
    <row r="12" spans="2:5" ht="31.5" customHeight="1" x14ac:dyDescent="0.25">
      <c r="B12" s="117" t="s">
        <v>312</v>
      </c>
      <c r="C12" s="117" t="s">
        <v>311</v>
      </c>
      <c r="D12" s="117">
        <v>13.47</v>
      </c>
    </row>
    <row r="13" spans="2:5" ht="31.5" customHeight="1" x14ac:dyDescent="0.25">
      <c r="B13" s="117" t="s">
        <v>313</v>
      </c>
      <c r="C13" s="117" t="s">
        <v>311</v>
      </c>
      <c r="D13" s="117">
        <v>8.0399999999999991</v>
      </c>
    </row>
    <row r="14" spans="2:5" ht="31.5" customHeight="1" x14ac:dyDescent="0.25">
      <c r="B14" s="117" t="s">
        <v>314</v>
      </c>
      <c r="C14" s="117" t="s">
        <v>315</v>
      </c>
      <c r="D14" s="117">
        <v>6.26</v>
      </c>
    </row>
    <row r="15" spans="2:5" ht="89.25" customHeight="1" x14ac:dyDescent="0.25">
      <c r="B15" s="117" t="s">
        <v>316</v>
      </c>
      <c r="C15" s="117" t="s">
        <v>317</v>
      </c>
      <c r="D15" s="138">
        <v>3.9E-2</v>
      </c>
    </row>
    <row r="16" spans="2:5" ht="94.5" customHeight="1" x14ac:dyDescent="0.25">
      <c r="B16" s="117" t="s">
        <v>318</v>
      </c>
      <c r="C16" s="117" t="s">
        <v>319</v>
      </c>
      <c r="D16" s="138">
        <v>2.1000000000000001E-2</v>
      </c>
    </row>
    <row r="17" spans="2:4" ht="15.75" customHeight="1" x14ac:dyDescent="0.25">
      <c r="B17" s="117" t="s">
        <v>320</v>
      </c>
      <c r="C17" s="117"/>
      <c r="D17" s="117" t="s">
        <v>321</v>
      </c>
    </row>
    <row r="18" spans="2:4" ht="31.5" customHeight="1" x14ac:dyDescent="0.25">
      <c r="B18" s="117" t="s">
        <v>235</v>
      </c>
      <c r="C18" s="117" t="s">
        <v>322</v>
      </c>
      <c r="D18" s="138">
        <v>2.1399999999999999E-2</v>
      </c>
    </row>
    <row r="19" spans="2:4" ht="31.5" customHeight="1" x14ac:dyDescent="0.25">
      <c r="B19" s="117" t="s">
        <v>257</v>
      </c>
      <c r="C19" s="117" t="s">
        <v>323</v>
      </c>
      <c r="D19" s="138">
        <v>2E-3</v>
      </c>
    </row>
    <row r="20" spans="2:4" ht="24" customHeight="1" x14ac:dyDescent="0.25">
      <c r="B20" s="117" t="s">
        <v>238</v>
      </c>
      <c r="C20" s="117" t="s">
        <v>324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7" t="s">
        <v>325</v>
      </c>
      <c r="B2" s="247"/>
      <c r="C2" s="247"/>
      <c r="D2" s="247"/>
      <c r="E2" s="247"/>
      <c r="F2" s="247"/>
    </row>
    <row r="4" spans="1:7" ht="18" customHeight="1" x14ac:dyDescent="0.25">
      <c r="A4" s="124" t="s">
        <v>326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327</v>
      </c>
      <c r="C5" s="126" t="s">
        <v>328</v>
      </c>
      <c r="D5" s="126" t="s">
        <v>329</v>
      </c>
      <c r="E5" s="126" t="s">
        <v>330</v>
      </c>
      <c r="F5" s="126" t="s">
        <v>331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332</v>
      </c>
      <c r="B7" s="128" t="s">
        <v>333</v>
      </c>
      <c r="C7" s="117" t="s">
        <v>334</v>
      </c>
      <c r="D7" s="117" t="s">
        <v>335</v>
      </c>
      <c r="E7" s="129">
        <v>47872.94</v>
      </c>
      <c r="F7" s="128" t="s">
        <v>336</v>
      </c>
      <c r="G7" s="125"/>
    </row>
    <row r="8" spans="1:7" ht="31.5" customHeight="1" x14ac:dyDescent="0.25">
      <c r="A8" s="127" t="s">
        <v>337</v>
      </c>
      <c r="B8" s="128" t="s">
        <v>338</v>
      </c>
      <c r="C8" s="117" t="s">
        <v>339</v>
      </c>
      <c r="D8" s="117" t="s">
        <v>340</v>
      </c>
      <c r="E8" s="129">
        <f>1973/12</f>
        <v>164.41666666667001</v>
      </c>
      <c r="F8" s="128" t="s">
        <v>341</v>
      </c>
      <c r="G8" s="130"/>
    </row>
    <row r="9" spans="1:7" ht="15.75" customHeight="1" x14ac:dyDescent="0.25">
      <c r="A9" s="127" t="s">
        <v>342</v>
      </c>
      <c r="B9" s="128" t="s">
        <v>343</v>
      </c>
      <c r="C9" s="117" t="s">
        <v>344</v>
      </c>
      <c r="D9" s="117" t="s">
        <v>335</v>
      </c>
      <c r="E9" s="129">
        <v>1</v>
      </c>
      <c r="F9" s="128"/>
      <c r="G9" s="130"/>
    </row>
    <row r="10" spans="1:7" ht="15.75" customHeight="1" x14ac:dyDescent="0.25">
      <c r="A10" s="127" t="s">
        <v>345</v>
      </c>
      <c r="B10" s="128" t="s">
        <v>346</v>
      </c>
      <c r="C10" s="117"/>
      <c r="D10" s="117"/>
      <c r="E10" s="131">
        <v>4</v>
      </c>
      <c r="F10" s="128" t="s">
        <v>347</v>
      </c>
      <c r="G10" s="130"/>
    </row>
    <row r="11" spans="1:7" ht="78.75" customHeight="1" x14ac:dyDescent="0.25">
      <c r="A11" s="127" t="s">
        <v>348</v>
      </c>
      <c r="B11" s="128" t="s">
        <v>349</v>
      </c>
      <c r="C11" s="117" t="s">
        <v>350</v>
      </c>
      <c r="D11" s="117" t="s">
        <v>335</v>
      </c>
      <c r="E11" s="132">
        <v>1.34</v>
      </c>
      <c r="F11" s="128" t="s">
        <v>351</v>
      </c>
      <c r="G11" s="125"/>
    </row>
    <row r="12" spans="1:7" ht="78.75" customHeight="1" x14ac:dyDescent="0.25">
      <c r="A12" s="127" t="s">
        <v>352</v>
      </c>
      <c r="B12" s="118" t="s">
        <v>353</v>
      </c>
      <c r="C12" s="117" t="s">
        <v>354</v>
      </c>
      <c r="D12" s="117" t="s">
        <v>335</v>
      </c>
      <c r="E12" s="133">
        <v>1.139</v>
      </c>
      <c r="F12" s="134" t="s">
        <v>355</v>
      </c>
      <c r="G12" s="130" t="s">
        <v>356</v>
      </c>
    </row>
    <row r="13" spans="1:7" ht="63" customHeight="1" x14ac:dyDescent="0.25">
      <c r="A13" s="127" t="s">
        <v>357</v>
      </c>
      <c r="B13" s="135" t="s">
        <v>358</v>
      </c>
      <c r="C13" s="117" t="s">
        <v>359</v>
      </c>
      <c r="D13" s="117" t="s">
        <v>360</v>
      </c>
      <c r="E13" s="136">
        <f>((E7*E9/E8)*E11)*E12</f>
        <v>444.39870291576</v>
      </c>
      <c r="F13" s="128" t="s">
        <v>361</v>
      </c>
      <c r="G13" s="125"/>
    </row>
    <row r="14" spans="1:7" ht="15.75" customHeight="1" x14ac:dyDescent="0.25">
      <c r="A14" s="125"/>
      <c r="B14" s="121" t="s">
        <v>113</v>
      </c>
      <c r="C14" s="125"/>
      <c r="D14" s="125"/>
      <c r="E14" s="125"/>
      <c r="F14" s="125"/>
    </row>
    <row r="15" spans="1:7" ht="110.25" customHeight="1" x14ac:dyDescent="0.25">
      <c r="A15" s="127" t="s">
        <v>332</v>
      </c>
      <c r="B15" s="128" t="s">
        <v>333</v>
      </c>
      <c r="C15" s="117" t="s">
        <v>334</v>
      </c>
      <c r="D15" s="117" t="s">
        <v>335</v>
      </c>
      <c r="E15" s="129">
        <v>47872.94</v>
      </c>
      <c r="F15" s="128" t="s">
        <v>336</v>
      </c>
    </row>
    <row r="16" spans="1:7" ht="31.5" customHeight="1" x14ac:dyDescent="0.25">
      <c r="A16" s="127" t="s">
        <v>337</v>
      </c>
      <c r="B16" s="128" t="s">
        <v>338</v>
      </c>
      <c r="C16" s="117" t="s">
        <v>339</v>
      </c>
      <c r="D16" s="117" t="s">
        <v>340</v>
      </c>
      <c r="E16" s="129">
        <f>1973/12</f>
        <v>164.41666666667001</v>
      </c>
      <c r="F16" s="128" t="s">
        <v>341</v>
      </c>
    </row>
    <row r="17" spans="1:6" ht="15.75" customHeight="1" x14ac:dyDescent="0.25">
      <c r="A17" s="127" t="s">
        <v>342</v>
      </c>
      <c r="B17" s="128" t="s">
        <v>343</v>
      </c>
      <c r="C17" s="117" t="s">
        <v>344</v>
      </c>
      <c r="D17" s="117" t="s">
        <v>335</v>
      </c>
      <c r="E17" s="129">
        <v>1</v>
      </c>
      <c r="F17" s="128"/>
    </row>
    <row r="18" spans="1:6" ht="15.75" customHeight="1" x14ac:dyDescent="0.25">
      <c r="A18" s="127" t="s">
        <v>345</v>
      </c>
      <c r="B18" s="128" t="s">
        <v>346</v>
      </c>
      <c r="C18" s="117"/>
      <c r="D18" s="117"/>
      <c r="E18" s="131">
        <v>1</v>
      </c>
      <c r="F18" s="128" t="s">
        <v>347</v>
      </c>
    </row>
    <row r="19" spans="1:6" ht="78.75" customHeight="1" x14ac:dyDescent="0.25">
      <c r="A19" s="127" t="s">
        <v>348</v>
      </c>
      <c r="B19" s="128" t="s">
        <v>349</v>
      </c>
      <c r="C19" s="117" t="s">
        <v>350</v>
      </c>
      <c r="D19" s="117" t="s">
        <v>335</v>
      </c>
      <c r="E19" s="132">
        <v>2.15</v>
      </c>
      <c r="F19" s="128" t="s">
        <v>362</v>
      </c>
    </row>
    <row r="20" spans="1:6" ht="78.75" customHeight="1" x14ac:dyDescent="0.25">
      <c r="A20" s="127" t="s">
        <v>352</v>
      </c>
      <c r="B20" s="118" t="s">
        <v>353</v>
      </c>
      <c r="C20" s="117" t="s">
        <v>354</v>
      </c>
      <c r="D20" s="117" t="s">
        <v>335</v>
      </c>
      <c r="E20" s="133">
        <v>1.139</v>
      </c>
      <c r="F20" s="134" t="s">
        <v>355</v>
      </c>
    </row>
    <row r="21" spans="1:6" ht="63" customHeight="1" x14ac:dyDescent="0.25">
      <c r="A21" s="127" t="s">
        <v>357</v>
      </c>
      <c r="B21" s="135" t="s">
        <v>363</v>
      </c>
      <c r="C21" s="117" t="s">
        <v>359</v>
      </c>
      <c r="D21" s="117" t="s">
        <v>360</v>
      </c>
      <c r="E21" s="136">
        <f>((E15*E17/E16)*E19)*E20</f>
        <v>713.02776960364997</v>
      </c>
      <c r="F21" s="128" t="s">
        <v>361</v>
      </c>
    </row>
    <row r="22" spans="1:6" ht="15.75" customHeight="1" x14ac:dyDescent="0.25">
      <c r="A22" s="125"/>
      <c r="B22" s="121" t="s">
        <v>116</v>
      </c>
      <c r="C22" s="125"/>
      <c r="D22" s="125"/>
      <c r="E22" s="125"/>
      <c r="F22" s="125"/>
    </row>
    <row r="23" spans="1:6" ht="110.25" customHeight="1" x14ac:dyDescent="0.25">
      <c r="A23" s="127" t="s">
        <v>332</v>
      </c>
      <c r="B23" s="128" t="s">
        <v>333</v>
      </c>
      <c r="C23" s="117" t="s">
        <v>334</v>
      </c>
      <c r="D23" s="117" t="s">
        <v>335</v>
      </c>
      <c r="E23" s="129">
        <v>47872.94</v>
      </c>
      <c r="F23" s="128" t="s">
        <v>336</v>
      </c>
    </row>
    <row r="24" spans="1:6" ht="31.5" customHeight="1" x14ac:dyDescent="0.25">
      <c r="A24" s="127" t="s">
        <v>337</v>
      </c>
      <c r="B24" s="128" t="s">
        <v>338</v>
      </c>
      <c r="C24" s="117" t="s">
        <v>339</v>
      </c>
      <c r="D24" s="117" t="s">
        <v>340</v>
      </c>
      <c r="E24" s="129">
        <f>1973/12</f>
        <v>164.41666666667001</v>
      </c>
      <c r="F24" s="128" t="s">
        <v>341</v>
      </c>
    </row>
    <row r="25" spans="1:6" ht="15.75" customHeight="1" x14ac:dyDescent="0.25">
      <c r="A25" s="127" t="s">
        <v>342</v>
      </c>
      <c r="B25" s="128" t="s">
        <v>343</v>
      </c>
      <c r="C25" s="117" t="s">
        <v>344</v>
      </c>
      <c r="D25" s="117" t="s">
        <v>335</v>
      </c>
      <c r="E25" s="129">
        <v>1</v>
      </c>
      <c r="F25" s="128"/>
    </row>
    <row r="26" spans="1:6" ht="15.75" customHeight="1" x14ac:dyDescent="0.25">
      <c r="A26" s="127" t="s">
        <v>345</v>
      </c>
      <c r="B26" s="128" t="s">
        <v>346</v>
      </c>
      <c r="C26" s="117"/>
      <c r="D26" s="117"/>
      <c r="E26" s="131">
        <v>1</v>
      </c>
      <c r="F26" s="128" t="s">
        <v>347</v>
      </c>
    </row>
    <row r="27" spans="1:6" ht="78.75" customHeight="1" x14ac:dyDescent="0.25">
      <c r="A27" s="127" t="s">
        <v>348</v>
      </c>
      <c r="B27" s="128" t="s">
        <v>349</v>
      </c>
      <c r="C27" s="117" t="s">
        <v>350</v>
      </c>
      <c r="D27" s="117" t="s">
        <v>335</v>
      </c>
      <c r="E27" s="132">
        <v>1.96</v>
      </c>
      <c r="F27" s="128" t="s">
        <v>362</v>
      </c>
    </row>
    <row r="28" spans="1:6" ht="78.75" customHeight="1" x14ac:dyDescent="0.25">
      <c r="A28" s="127" t="s">
        <v>352</v>
      </c>
      <c r="B28" s="118" t="s">
        <v>353</v>
      </c>
      <c r="C28" s="117" t="s">
        <v>354</v>
      </c>
      <c r="D28" s="117" t="s">
        <v>335</v>
      </c>
      <c r="E28" s="133">
        <v>1.139</v>
      </c>
      <c r="F28" s="134" t="s">
        <v>355</v>
      </c>
    </row>
    <row r="29" spans="1:6" ht="63" customHeight="1" x14ac:dyDescent="0.25">
      <c r="A29" s="127" t="s">
        <v>357</v>
      </c>
      <c r="B29" s="135" t="s">
        <v>363</v>
      </c>
      <c r="C29" s="117" t="s">
        <v>359</v>
      </c>
      <c r="D29" s="117" t="s">
        <v>360</v>
      </c>
      <c r="E29" s="136">
        <f>((E23*E25/E24)*E27)*E28</f>
        <v>650.01601322007002</v>
      </c>
      <c r="F29" s="128" t="s">
        <v>361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7" t="s">
        <v>364</v>
      </c>
      <c r="B2" s="287"/>
      <c r="C2" s="287"/>
      <c r="D2" s="287"/>
      <c r="E2" s="287"/>
      <c r="F2" s="287"/>
    </row>
    <row r="4" spans="1:7" ht="18" customHeight="1" x14ac:dyDescent="0.25">
      <c r="A4" s="163" t="s">
        <v>326</v>
      </c>
    </row>
    <row r="5" spans="1:7" x14ac:dyDescent="0.25">
      <c r="A5" s="58" t="s">
        <v>13</v>
      </c>
      <c r="B5" s="58" t="s">
        <v>327</v>
      </c>
      <c r="C5" s="58" t="s">
        <v>328</v>
      </c>
      <c r="D5" s="58" t="s">
        <v>329</v>
      </c>
      <c r="E5" s="58" t="s">
        <v>330</v>
      </c>
      <c r="F5" s="58" t="s">
        <v>331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4" t="s">
        <v>332</v>
      </c>
      <c r="B7" s="63" t="s">
        <v>333</v>
      </c>
      <c r="C7" s="54" t="s">
        <v>365</v>
      </c>
      <c r="D7" s="54" t="s">
        <v>335</v>
      </c>
      <c r="E7" s="61">
        <v>43361</v>
      </c>
      <c r="F7" s="63" t="s">
        <v>336</v>
      </c>
    </row>
    <row r="8" spans="1:7" ht="30" customHeight="1" x14ac:dyDescent="0.25">
      <c r="A8" s="164" t="s">
        <v>337</v>
      </c>
      <c r="B8" s="63" t="s">
        <v>338</v>
      </c>
      <c r="C8" s="54" t="s">
        <v>366</v>
      </c>
      <c r="D8" s="54" t="s">
        <v>340</v>
      </c>
      <c r="E8" s="61">
        <f>1973/12</f>
        <v>164.41666666667001</v>
      </c>
      <c r="F8" s="63" t="s">
        <v>341</v>
      </c>
      <c r="G8" s="165"/>
    </row>
    <row r="9" spans="1:7" x14ac:dyDescent="0.25">
      <c r="A9" s="164" t="s">
        <v>342</v>
      </c>
      <c r="B9" s="63" t="s">
        <v>343</v>
      </c>
      <c r="C9" s="54" t="s">
        <v>344</v>
      </c>
      <c r="D9" s="54" t="s">
        <v>335</v>
      </c>
      <c r="E9" s="61">
        <v>1</v>
      </c>
      <c r="F9" s="63"/>
      <c r="G9" s="166"/>
    </row>
    <row r="10" spans="1:7" x14ac:dyDescent="0.25">
      <c r="A10" s="164" t="s">
        <v>345</v>
      </c>
      <c r="B10" s="63" t="s">
        <v>346</v>
      </c>
      <c r="C10" s="54"/>
      <c r="D10" s="54"/>
      <c r="E10" s="167">
        <v>1</v>
      </c>
      <c r="F10" s="63" t="s">
        <v>347</v>
      </c>
      <c r="G10" s="166"/>
    </row>
    <row r="11" spans="1:7" ht="75" customHeight="1" x14ac:dyDescent="0.25">
      <c r="A11" s="164" t="s">
        <v>348</v>
      </c>
      <c r="B11" s="63" t="s">
        <v>349</v>
      </c>
      <c r="C11" s="54" t="s">
        <v>367</v>
      </c>
      <c r="D11" s="54" t="s">
        <v>335</v>
      </c>
      <c r="E11" s="168">
        <v>2.15</v>
      </c>
      <c r="F11" s="63" t="s">
        <v>362</v>
      </c>
    </row>
    <row r="12" spans="1:7" ht="75" customHeight="1" x14ac:dyDescent="0.25">
      <c r="A12" s="164" t="s">
        <v>352</v>
      </c>
      <c r="B12" s="169" t="s">
        <v>353</v>
      </c>
      <c r="C12" s="54" t="s">
        <v>368</v>
      </c>
      <c r="D12" s="54" t="s">
        <v>335</v>
      </c>
      <c r="E12" s="170">
        <v>1.139</v>
      </c>
      <c r="F12" s="171" t="s">
        <v>355</v>
      </c>
      <c r="G12" s="166" t="s">
        <v>356</v>
      </c>
    </row>
    <row r="13" spans="1:7" ht="60" customHeight="1" x14ac:dyDescent="0.25">
      <c r="A13" s="164" t="s">
        <v>357</v>
      </c>
      <c r="B13" s="172" t="s">
        <v>369</v>
      </c>
      <c r="C13" s="54" t="s">
        <v>370</v>
      </c>
      <c r="D13" s="54" t="s">
        <v>371</v>
      </c>
      <c r="E13" s="173">
        <f>((E7*E9/E8)*E11)*E12</f>
        <v>645.82616229093003</v>
      </c>
      <c r="F13" s="63" t="s">
        <v>361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7" t="s">
        <v>364</v>
      </c>
      <c r="B2" s="287"/>
      <c r="C2" s="287"/>
      <c r="D2" s="287"/>
      <c r="E2" s="287"/>
      <c r="F2" s="287"/>
    </row>
    <row r="4" spans="1:7" ht="18" customHeight="1" x14ac:dyDescent="0.25">
      <c r="A4" s="163" t="s">
        <v>326</v>
      </c>
    </row>
    <row r="5" spans="1:7" x14ac:dyDescent="0.25">
      <c r="A5" s="58" t="s">
        <v>13</v>
      </c>
      <c r="B5" s="58" t="s">
        <v>327</v>
      </c>
      <c r="C5" s="58" t="s">
        <v>328</v>
      </c>
      <c r="D5" s="58" t="s">
        <v>329</v>
      </c>
      <c r="E5" s="58" t="s">
        <v>330</v>
      </c>
      <c r="F5" s="58" t="s">
        <v>331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4" t="s">
        <v>332</v>
      </c>
      <c r="B7" s="63" t="s">
        <v>333</v>
      </c>
      <c r="C7" s="54" t="s">
        <v>365</v>
      </c>
      <c r="D7" s="54" t="s">
        <v>335</v>
      </c>
      <c r="E7" s="61">
        <v>43361</v>
      </c>
      <c r="F7" s="63" t="s">
        <v>336</v>
      </c>
    </row>
    <row r="8" spans="1:7" ht="30" customHeight="1" x14ac:dyDescent="0.25">
      <c r="A8" s="164" t="s">
        <v>337</v>
      </c>
      <c r="B8" s="63" t="s">
        <v>338</v>
      </c>
      <c r="C8" s="54" t="s">
        <v>366</v>
      </c>
      <c r="D8" s="54" t="s">
        <v>340</v>
      </c>
      <c r="E8" s="61">
        <f>1973/12</f>
        <v>164.41666666667001</v>
      </c>
      <c r="F8" s="63" t="s">
        <v>341</v>
      </c>
      <c r="G8" s="165"/>
    </row>
    <row r="9" spans="1:7" x14ac:dyDescent="0.25">
      <c r="A9" s="164" t="s">
        <v>342</v>
      </c>
      <c r="B9" s="63" t="s">
        <v>343</v>
      </c>
      <c r="C9" s="54" t="s">
        <v>344</v>
      </c>
      <c r="D9" s="54" t="s">
        <v>335</v>
      </c>
      <c r="E9" s="61">
        <v>1</v>
      </c>
      <c r="F9" s="63"/>
      <c r="G9" s="166"/>
    </row>
    <row r="10" spans="1:7" x14ac:dyDescent="0.25">
      <c r="A10" s="164" t="s">
        <v>345</v>
      </c>
      <c r="B10" s="63" t="s">
        <v>346</v>
      </c>
      <c r="C10" s="54"/>
      <c r="D10" s="54"/>
      <c r="E10" s="167">
        <v>1</v>
      </c>
      <c r="F10" s="63" t="s">
        <v>347</v>
      </c>
      <c r="G10" s="166"/>
    </row>
    <row r="11" spans="1:7" ht="75" customHeight="1" x14ac:dyDescent="0.25">
      <c r="A11" s="164" t="s">
        <v>348</v>
      </c>
      <c r="B11" s="63" t="s">
        <v>349</v>
      </c>
      <c r="C11" s="54" t="s">
        <v>367</v>
      </c>
      <c r="D11" s="54" t="s">
        <v>335</v>
      </c>
      <c r="E11" s="168">
        <v>1.96</v>
      </c>
      <c r="F11" s="63" t="s">
        <v>362</v>
      </c>
    </row>
    <row r="12" spans="1:7" ht="75" customHeight="1" x14ac:dyDescent="0.25">
      <c r="A12" s="164" t="s">
        <v>352</v>
      </c>
      <c r="B12" s="169" t="s">
        <v>353</v>
      </c>
      <c r="C12" s="54" t="s">
        <v>368</v>
      </c>
      <c r="D12" s="54" t="s">
        <v>335</v>
      </c>
      <c r="E12" s="170">
        <v>1.139</v>
      </c>
      <c r="F12" s="171" t="s">
        <v>355</v>
      </c>
      <c r="G12" s="166" t="s">
        <v>356</v>
      </c>
    </row>
    <row r="13" spans="1:7" ht="60" customHeight="1" x14ac:dyDescent="0.25">
      <c r="A13" s="164" t="s">
        <v>357</v>
      </c>
      <c r="B13" s="172" t="s">
        <v>369</v>
      </c>
      <c r="C13" s="54" t="s">
        <v>370</v>
      </c>
      <c r="D13" s="54" t="s">
        <v>371</v>
      </c>
      <c r="E13" s="173">
        <f>((E7*E9/E8)*E11)*E12</f>
        <v>588.75315260009995</v>
      </c>
      <c r="F13" s="63" t="s">
        <v>361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8" t="s">
        <v>372</v>
      </c>
      <c r="B1" s="288"/>
      <c r="C1" s="288"/>
      <c r="D1" s="288"/>
      <c r="E1" s="288"/>
      <c r="F1" s="288"/>
      <c r="G1" s="288"/>
      <c r="H1" s="288"/>
      <c r="I1" s="288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6" t="str">
        <f>'Прил. 3'!A6</f>
        <v>Наименование разрабатываемого показателя УНЦ - Элементы ПС без устройства фундаментов. Цифровой ТТ на три фазы 330 кВ.</v>
      </c>
      <c r="B3" s="236"/>
      <c r="C3" s="236"/>
      <c r="D3" s="236"/>
      <c r="E3" s="236"/>
      <c r="F3" s="236"/>
      <c r="G3" s="236"/>
      <c r="H3" s="236"/>
      <c r="I3" s="236"/>
    </row>
    <row r="4" spans="1:13" s="4" customFormat="1" ht="15.75" customHeight="1" x14ac:dyDescent="0.2">
      <c r="A4" s="261"/>
      <c r="B4" s="261"/>
      <c r="C4" s="261"/>
      <c r="D4" s="261"/>
      <c r="E4" s="261"/>
      <c r="F4" s="261"/>
      <c r="G4" s="261"/>
      <c r="H4" s="261"/>
      <c r="I4" s="261"/>
    </row>
    <row r="5" spans="1:13" s="36" customFormat="1" ht="36.6" customHeight="1" x14ac:dyDescent="0.35">
      <c r="A5" s="289" t="s">
        <v>13</v>
      </c>
      <c r="B5" s="289" t="s">
        <v>373</v>
      </c>
      <c r="C5" s="289" t="s">
        <v>374</v>
      </c>
      <c r="D5" s="289" t="s">
        <v>375</v>
      </c>
      <c r="E5" s="285" t="s">
        <v>376</v>
      </c>
      <c r="F5" s="285"/>
      <c r="G5" s="285"/>
      <c r="H5" s="285"/>
      <c r="I5" s="285"/>
    </row>
    <row r="6" spans="1:13" s="30" customFormat="1" ht="31.5" customHeight="1" x14ac:dyDescent="0.2">
      <c r="A6" s="289"/>
      <c r="B6" s="289"/>
      <c r="C6" s="289"/>
      <c r="D6" s="289"/>
      <c r="E6" s="37" t="s">
        <v>86</v>
      </c>
      <c r="F6" s="37" t="s">
        <v>87</v>
      </c>
      <c r="G6" s="37" t="s">
        <v>43</v>
      </c>
      <c r="H6" s="37" t="s">
        <v>377</v>
      </c>
      <c r="I6" s="37" t="s">
        <v>378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230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379</v>
      </c>
      <c r="C9" s="8" t="s">
        <v>380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381</v>
      </c>
      <c r="C11" s="8" t="s">
        <v>318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382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383</v>
      </c>
      <c r="C12" s="8" t="s">
        <v>384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385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322</v>
      </c>
      <c r="C14" s="8" t="s">
        <v>386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387</v>
      </c>
      <c r="C16" s="8" t="s">
        <v>388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389</v>
      </c>
    </row>
    <row r="17" spans="1:10" s="30" customFormat="1" ht="81.75" customHeight="1" x14ac:dyDescent="0.2">
      <c r="A17" s="38">
        <v>7</v>
      </c>
      <c r="B17" s="8" t="s">
        <v>387</v>
      </c>
      <c r="C17" s="8" t="s">
        <v>390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391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392</v>
      </c>
      <c r="C20" s="8" t="s">
        <v>238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393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241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242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243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244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4" t="s">
        <v>394</v>
      </c>
      <c r="O2" s="294"/>
    </row>
    <row r="3" spans="1:16" x14ac:dyDescent="0.25">
      <c r="A3" s="287" t="s">
        <v>395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</row>
    <row r="5" spans="1:16" ht="37.5" customHeight="1" x14ac:dyDescent="0.25">
      <c r="A5" s="295" t="s">
        <v>396</v>
      </c>
      <c r="B5" s="298" t="s">
        <v>397</v>
      </c>
      <c r="C5" s="301" t="s">
        <v>398</v>
      </c>
      <c r="D5" s="304" t="s">
        <v>399</v>
      </c>
      <c r="E5" s="305"/>
      <c r="F5" s="305"/>
      <c r="G5" s="305"/>
      <c r="H5" s="305"/>
      <c r="I5" s="304" t="s">
        <v>400</v>
      </c>
      <c r="J5" s="305"/>
      <c r="K5" s="305"/>
      <c r="L5" s="305"/>
      <c r="M5" s="305"/>
      <c r="N5" s="305"/>
      <c r="O5" s="54" t="s">
        <v>401</v>
      </c>
    </row>
    <row r="6" spans="1:16" s="57" customFormat="1" ht="150" customHeight="1" x14ac:dyDescent="0.25">
      <c r="A6" s="296"/>
      <c r="B6" s="299"/>
      <c r="C6" s="302"/>
      <c r="D6" s="301" t="s">
        <v>402</v>
      </c>
      <c r="E6" s="306" t="s">
        <v>403</v>
      </c>
      <c r="F6" s="307"/>
      <c r="G6" s="308"/>
      <c r="H6" s="55" t="s">
        <v>404</v>
      </c>
      <c r="I6" s="309" t="s">
        <v>405</v>
      </c>
      <c r="J6" s="309" t="s">
        <v>402</v>
      </c>
      <c r="K6" s="310" t="s">
        <v>403</v>
      </c>
      <c r="L6" s="310"/>
      <c r="M6" s="310"/>
      <c r="N6" s="55" t="s">
        <v>404</v>
      </c>
      <c r="O6" s="56" t="s">
        <v>406</v>
      </c>
    </row>
    <row r="7" spans="1:16" s="57" customFormat="1" ht="30.75" customHeight="1" x14ac:dyDescent="0.25">
      <c r="A7" s="297"/>
      <c r="B7" s="300"/>
      <c r="C7" s="303"/>
      <c r="D7" s="303"/>
      <c r="E7" s="54" t="s">
        <v>86</v>
      </c>
      <c r="F7" s="54" t="s">
        <v>87</v>
      </c>
      <c r="G7" s="54" t="s">
        <v>43</v>
      </c>
      <c r="H7" s="58" t="s">
        <v>407</v>
      </c>
      <c r="I7" s="309"/>
      <c r="J7" s="309"/>
      <c r="K7" s="54" t="s">
        <v>86</v>
      </c>
      <c r="L7" s="54" t="s">
        <v>87</v>
      </c>
      <c r="M7" s="54" t="s">
        <v>43</v>
      </c>
      <c r="N7" s="58" t="s">
        <v>407</v>
      </c>
      <c r="O7" s="54" t="s">
        <v>408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5" t="s">
        <v>409</v>
      </c>
      <c r="C9" s="60" t="s">
        <v>410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7"/>
      <c r="C10" s="63" t="s">
        <v>411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5" t="s">
        <v>412</v>
      </c>
      <c r="C11" s="63" t="s">
        <v>413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7"/>
      <c r="C12" s="63" t="s">
        <v>414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5" t="s">
        <v>415</v>
      </c>
      <c r="C13" s="60" t="s">
        <v>416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7"/>
      <c r="C14" s="63" t="s">
        <v>417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418</v>
      </c>
      <c r="C15" s="63" t="s">
        <v>419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421</v>
      </c>
    </row>
    <row r="19" spans="1:15" ht="30.75" customHeight="1" x14ac:dyDescent="0.25">
      <c r="L19" s="75"/>
    </row>
    <row r="20" spans="1:15" ht="15" customHeight="1" outlineLevel="1" x14ac:dyDescent="0.25">
      <c r="G20" s="293" t="s">
        <v>422</v>
      </c>
      <c r="H20" s="293"/>
      <c r="I20" s="293"/>
      <c r="J20" s="293"/>
      <c r="K20" s="293"/>
      <c r="L20" s="293"/>
      <c r="M20" s="293"/>
      <c r="N20" s="293"/>
    </row>
    <row r="21" spans="1:15" ht="15.75" customHeight="1" outlineLevel="1" x14ac:dyDescent="0.25">
      <c r="G21" s="76"/>
      <c r="H21" s="76" t="s">
        <v>423</v>
      </c>
      <c r="I21" s="76" t="s">
        <v>424</v>
      </c>
      <c r="J21" s="76" t="s">
        <v>425</v>
      </c>
      <c r="K21" s="77" t="s">
        <v>426</v>
      </c>
      <c r="L21" s="76" t="s">
        <v>427</v>
      </c>
      <c r="M21" s="76" t="s">
        <v>428</v>
      </c>
      <c r="N21" s="76" t="s">
        <v>429</v>
      </c>
      <c r="O21" s="70"/>
    </row>
    <row r="22" spans="1:15" ht="15.75" customHeight="1" outlineLevel="1" x14ac:dyDescent="0.25">
      <c r="G22" s="291" t="s">
        <v>430</v>
      </c>
      <c r="H22" s="290">
        <v>6.09</v>
      </c>
      <c r="I22" s="292">
        <v>6.44</v>
      </c>
      <c r="J22" s="290">
        <v>5.77</v>
      </c>
      <c r="K22" s="292">
        <v>5.77</v>
      </c>
      <c r="L22" s="290">
        <v>5.23</v>
      </c>
      <c r="M22" s="290">
        <v>5.77</v>
      </c>
      <c r="N22" s="78">
        <v>6.29</v>
      </c>
      <c r="O22" t="s">
        <v>431</v>
      </c>
    </row>
    <row r="23" spans="1:15" ht="15.75" customHeight="1" outlineLevel="1" x14ac:dyDescent="0.25">
      <c r="G23" s="291"/>
      <c r="H23" s="290"/>
      <c r="I23" s="292"/>
      <c r="J23" s="290"/>
      <c r="K23" s="292"/>
      <c r="L23" s="290"/>
      <c r="M23" s="290"/>
      <c r="N23" s="78">
        <v>6.56</v>
      </c>
      <c r="O23" t="s">
        <v>432</v>
      </c>
    </row>
    <row r="24" spans="1:15" ht="15.75" customHeight="1" outlineLevel="1" x14ac:dyDescent="0.25">
      <c r="G24" s="79" t="s">
        <v>433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407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434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435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377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11" t="s">
        <v>436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</row>
    <row r="4" spans="1:18" ht="36.75" customHeight="1" x14ac:dyDescent="0.25">
      <c r="A4" s="295" t="s">
        <v>396</v>
      </c>
      <c r="B4" s="298" t="s">
        <v>397</v>
      </c>
      <c r="C4" s="301" t="s">
        <v>437</v>
      </c>
      <c r="D4" s="301" t="s">
        <v>438</v>
      </c>
      <c r="E4" s="304" t="s">
        <v>439</v>
      </c>
      <c r="F4" s="305"/>
      <c r="G4" s="305"/>
      <c r="H4" s="305"/>
      <c r="I4" s="305"/>
      <c r="J4" s="305"/>
      <c r="K4" s="305"/>
      <c r="L4" s="305"/>
      <c r="M4" s="305"/>
      <c r="N4" s="312" t="s">
        <v>440</v>
      </c>
      <c r="O4" s="313"/>
      <c r="P4" s="313"/>
      <c r="Q4" s="313"/>
      <c r="R4" s="314"/>
    </row>
    <row r="5" spans="1:18" ht="60" customHeight="1" x14ac:dyDescent="0.25">
      <c r="A5" s="296"/>
      <c r="B5" s="299"/>
      <c r="C5" s="302"/>
      <c r="D5" s="302"/>
      <c r="E5" s="309" t="s">
        <v>441</v>
      </c>
      <c r="F5" s="309" t="s">
        <v>442</v>
      </c>
      <c r="G5" s="306" t="s">
        <v>403</v>
      </c>
      <c r="H5" s="307"/>
      <c r="I5" s="307"/>
      <c r="J5" s="308"/>
      <c r="K5" s="309" t="s">
        <v>443</v>
      </c>
      <c r="L5" s="309"/>
      <c r="M5" s="309"/>
      <c r="N5" s="81" t="s">
        <v>444</v>
      </c>
      <c r="O5" s="81" t="s">
        <v>445</v>
      </c>
      <c r="P5" s="81" t="s">
        <v>446</v>
      </c>
      <c r="Q5" s="82" t="s">
        <v>447</v>
      </c>
      <c r="R5" s="81" t="s">
        <v>448</v>
      </c>
    </row>
    <row r="6" spans="1:18" ht="49.5" customHeight="1" x14ac:dyDescent="0.25">
      <c r="A6" s="297"/>
      <c r="B6" s="300"/>
      <c r="C6" s="303"/>
      <c r="D6" s="303"/>
      <c r="E6" s="309"/>
      <c r="F6" s="309"/>
      <c r="G6" s="54" t="s">
        <v>86</v>
      </c>
      <c r="H6" s="54" t="s">
        <v>87</v>
      </c>
      <c r="I6" s="54" t="s">
        <v>43</v>
      </c>
      <c r="J6" s="54" t="s">
        <v>377</v>
      </c>
      <c r="K6" s="54" t="s">
        <v>444</v>
      </c>
      <c r="L6" s="54" t="s">
        <v>445</v>
      </c>
      <c r="M6" s="54" t="s">
        <v>446</v>
      </c>
      <c r="N6" s="54" t="s">
        <v>449</v>
      </c>
      <c r="O6" s="54" t="s">
        <v>450</v>
      </c>
      <c r="P6" s="54" t="s">
        <v>451</v>
      </c>
      <c r="Q6" s="55" t="s">
        <v>452</v>
      </c>
      <c r="R6" s="54" t="s">
        <v>453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5">
        <v>1</v>
      </c>
      <c r="B9" s="295" t="s">
        <v>454</v>
      </c>
      <c r="C9" s="315" t="s">
        <v>410</v>
      </c>
      <c r="D9" s="60" t="s">
        <v>455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7"/>
      <c r="B10" s="296"/>
      <c r="C10" s="316"/>
      <c r="D10" s="60" t="s">
        <v>456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5">
        <v>2</v>
      </c>
      <c r="B11" s="296"/>
      <c r="C11" s="315" t="s">
        <v>457</v>
      </c>
      <c r="D11" s="60" t="s">
        <v>455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7"/>
      <c r="B12" s="297"/>
      <c r="C12" s="316"/>
      <c r="D12" s="60" t="s">
        <v>456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5">
        <v>3</v>
      </c>
      <c r="B13" s="295" t="s">
        <v>412</v>
      </c>
      <c r="C13" s="317" t="s">
        <v>413</v>
      </c>
      <c r="D13" s="60" t="s">
        <v>458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7"/>
      <c r="B14" s="296"/>
      <c r="C14" s="318"/>
      <c r="D14" s="60" t="s">
        <v>456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5">
        <v>4</v>
      </c>
      <c r="B15" s="296"/>
      <c r="C15" s="319" t="s">
        <v>414</v>
      </c>
      <c r="D15" s="63" t="s">
        <v>458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7"/>
      <c r="B16" s="297"/>
      <c r="C16" s="320"/>
      <c r="D16" s="63" t="s">
        <v>456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5">
        <v>5</v>
      </c>
      <c r="B17" s="310" t="s">
        <v>415</v>
      </c>
      <c r="C17" s="315" t="s">
        <v>459</v>
      </c>
      <c r="D17" s="60" t="s">
        <v>460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7"/>
      <c r="B18" s="310"/>
      <c r="C18" s="316"/>
      <c r="D18" s="60" t="s">
        <v>456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5">
        <v>6</v>
      </c>
      <c r="B19" s="310"/>
      <c r="C19" s="315" t="s">
        <v>417</v>
      </c>
      <c r="D19" s="63" t="s">
        <v>458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7"/>
      <c r="B20" s="310"/>
      <c r="C20" s="316"/>
      <c r="D20" s="63" t="s">
        <v>456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5">
        <v>7</v>
      </c>
      <c r="B21" s="295" t="s">
        <v>418</v>
      </c>
      <c r="C21" s="315" t="s">
        <v>419</v>
      </c>
      <c r="D21" s="63" t="s">
        <v>461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7"/>
      <c r="B22" s="297"/>
      <c r="C22" s="316"/>
      <c r="D22" s="86" t="s">
        <v>456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462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1" t="s">
        <v>463</v>
      </c>
      <c r="E26" s="321"/>
      <c r="F26" s="321"/>
      <c r="G26" s="321"/>
      <c r="H26" s="321"/>
      <c r="I26" s="321"/>
      <c r="J26" s="321"/>
      <c r="K26" s="321"/>
      <c r="L26" s="75"/>
      <c r="R26" s="93"/>
    </row>
    <row r="27" spans="1:18" outlineLevel="1" x14ac:dyDescent="0.25">
      <c r="D27" s="94"/>
      <c r="E27" s="94" t="s">
        <v>423</v>
      </c>
      <c r="F27" s="94" t="s">
        <v>424</v>
      </c>
      <c r="G27" s="94" t="s">
        <v>425</v>
      </c>
      <c r="H27" s="95" t="s">
        <v>426</v>
      </c>
      <c r="I27" s="95" t="s">
        <v>427</v>
      </c>
      <c r="J27" s="95" t="s">
        <v>428</v>
      </c>
      <c r="K27" s="66" t="s">
        <v>429</v>
      </c>
    </row>
    <row r="28" spans="1:18" outlineLevel="1" x14ac:dyDescent="0.25">
      <c r="D28" s="322" t="s">
        <v>430</v>
      </c>
      <c r="E28" s="324">
        <v>6.09</v>
      </c>
      <c r="F28" s="326">
        <v>6.63</v>
      </c>
      <c r="G28" s="324">
        <v>5.77</v>
      </c>
      <c r="H28" s="328">
        <v>5.77</v>
      </c>
      <c r="I28" s="328">
        <v>6.35</v>
      </c>
      <c r="J28" s="324">
        <v>5.77</v>
      </c>
      <c r="K28" s="96">
        <v>6.29</v>
      </c>
      <c r="L28" t="s">
        <v>431</v>
      </c>
    </row>
    <row r="29" spans="1:18" outlineLevel="1" x14ac:dyDescent="0.25">
      <c r="D29" s="323"/>
      <c r="E29" s="325"/>
      <c r="F29" s="327"/>
      <c r="G29" s="325"/>
      <c r="H29" s="329"/>
      <c r="I29" s="329"/>
      <c r="J29" s="325"/>
      <c r="K29" s="96">
        <v>6.56</v>
      </c>
      <c r="L29" t="s">
        <v>432</v>
      </c>
    </row>
    <row r="30" spans="1:18" outlineLevel="1" x14ac:dyDescent="0.25">
      <c r="D30" s="97" t="s">
        <v>433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22" t="s">
        <v>407</v>
      </c>
      <c r="E31" s="324">
        <v>11.37</v>
      </c>
      <c r="F31" s="326">
        <v>13.56</v>
      </c>
      <c r="G31" s="324">
        <v>15.91</v>
      </c>
      <c r="H31" s="328">
        <v>15.91</v>
      </c>
      <c r="I31" s="328">
        <v>14.03</v>
      </c>
      <c r="J31" s="324">
        <v>15.91</v>
      </c>
      <c r="K31" s="96">
        <v>8.2899999999999991</v>
      </c>
      <c r="L31" t="s">
        <v>431</v>
      </c>
    </row>
    <row r="32" spans="1:18" outlineLevel="1" x14ac:dyDescent="0.25">
      <c r="D32" s="323"/>
      <c r="E32" s="325"/>
      <c r="F32" s="327"/>
      <c r="G32" s="325"/>
      <c r="H32" s="329"/>
      <c r="I32" s="329"/>
      <c r="J32" s="325"/>
      <c r="K32" s="96">
        <v>11.84</v>
      </c>
      <c r="L32" t="s">
        <v>432</v>
      </c>
    </row>
    <row r="33" spans="4:12" ht="15" customHeight="1" outlineLevel="1" x14ac:dyDescent="0.25">
      <c r="D33" s="98" t="s">
        <v>434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464</v>
      </c>
    </row>
    <row r="34" spans="4:12" outlineLevel="1" x14ac:dyDescent="0.25">
      <c r="D34" s="98" t="s">
        <v>435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464</v>
      </c>
    </row>
    <row r="35" spans="4:12" outlineLevel="1" x14ac:dyDescent="0.25">
      <c r="D35" s="97" t="s">
        <v>377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3" t="s">
        <v>10</v>
      </c>
      <c r="B2" s="233"/>
      <c r="C2" s="233"/>
      <c r="D2" s="23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6"/>
    </row>
    <row r="5" spans="1:4" x14ac:dyDescent="0.25">
      <c r="A5" s="5"/>
      <c r="B5" s="1"/>
      <c r="C5" s="1"/>
    </row>
    <row r="6" spans="1:4" x14ac:dyDescent="0.25">
      <c r="A6" s="233" t="s">
        <v>12</v>
      </c>
      <c r="B6" s="233"/>
      <c r="C6" s="233"/>
      <c r="D6" s="23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1352.8492577995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1255.0132799999999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1352.8492577995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7" t="s">
        <v>5</v>
      </c>
      <c r="B15" s="238" t="s">
        <v>15</v>
      </c>
      <c r="C15" s="238"/>
      <c r="D15" s="238"/>
    </row>
    <row r="16" spans="1:4" x14ac:dyDescent="0.25">
      <c r="A16" s="237"/>
      <c r="B16" s="237" t="s">
        <v>17</v>
      </c>
      <c r="C16" s="238" t="s">
        <v>28</v>
      </c>
      <c r="D16" s="238"/>
    </row>
    <row r="17" spans="1:4" ht="39" customHeight="1" x14ac:dyDescent="0.25">
      <c r="A17" s="237"/>
      <c r="B17" s="23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1352.8492577995</v>
      </c>
      <c r="C18" s="3">
        <f>C11</f>
        <v>0</v>
      </c>
      <c r="D18" s="3">
        <f>C12</f>
        <v>1255.0132799999999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9" t="s">
        <v>29</v>
      </c>
      <c r="B2" s="239"/>
      <c r="C2" s="239"/>
      <c r="D2" s="239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7" zoomScale="85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41" t="s">
        <v>45</v>
      </c>
      <c r="C3" s="241"/>
      <c r="D3" s="241"/>
    </row>
    <row r="4" spans="2:4" ht="18.75" customHeight="1" x14ac:dyDescent="0.25">
      <c r="B4" s="242" t="s">
        <v>46</v>
      </c>
      <c r="C4" s="242"/>
      <c r="D4" s="242"/>
    </row>
    <row r="5" spans="2:4" ht="84" customHeight="1" x14ac:dyDescent="0.25">
      <c r="B5" s="243" t="s">
        <v>47</v>
      </c>
      <c r="C5" s="243"/>
      <c r="D5" s="243"/>
    </row>
    <row r="6" spans="2:4" ht="18.75" customHeight="1" x14ac:dyDescent="0.25">
      <c r="B6" s="217"/>
      <c r="C6" s="217"/>
      <c r="D6" s="217"/>
    </row>
    <row r="7" spans="2:4" ht="42" customHeight="1" x14ac:dyDescent="0.25">
      <c r="B7" s="244" t="s">
        <v>48</v>
      </c>
      <c r="C7" s="244"/>
      <c r="D7" s="244"/>
    </row>
    <row r="8" spans="2:4" ht="31.5" customHeight="1" x14ac:dyDescent="0.25">
      <c r="B8" s="240" t="s">
        <v>49</v>
      </c>
      <c r="C8" s="240"/>
      <c r="D8" s="240"/>
    </row>
    <row r="9" spans="2:4" ht="15.75" customHeight="1" x14ac:dyDescent="0.25">
      <c r="B9" s="240" t="s">
        <v>50</v>
      </c>
      <c r="C9" s="240"/>
      <c r="D9" s="240"/>
    </row>
    <row r="10" spans="2:4" ht="18.75" customHeight="1" x14ac:dyDescent="0.25">
      <c r="B10" s="116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41.25" customHeight="1" x14ac:dyDescent="0.25">
      <c r="B12" s="117">
        <v>1</v>
      </c>
      <c r="C12" s="118" t="s">
        <v>53</v>
      </c>
      <c r="D12" s="117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17">
        <v>1</v>
      </c>
    </row>
    <row r="16" spans="2:4" ht="107.25" customHeight="1" x14ac:dyDescent="0.25">
      <c r="B16" s="117">
        <v>5</v>
      </c>
      <c r="C16" s="119" t="s">
        <v>60</v>
      </c>
      <c r="D16" s="117" t="s">
        <v>61</v>
      </c>
    </row>
    <row r="17" spans="2:4" ht="95.25" customHeight="1" x14ac:dyDescent="0.25">
      <c r="B17" s="117">
        <v>6</v>
      </c>
      <c r="C17" s="119" t="s">
        <v>62</v>
      </c>
      <c r="D17" s="218">
        <f>SUM(D18:D21)</f>
        <v>7407.1271556479996</v>
      </c>
    </row>
    <row r="18" spans="2:4" ht="15.75" customHeight="1" x14ac:dyDescent="0.25">
      <c r="B18" s="120" t="s">
        <v>63</v>
      </c>
      <c r="C18" s="118" t="s">
        <v>64</v>
      </c>
      <c r="D18" s="218">
        <v>304.35000000000002</v>
      </c>
    </row>
    <row r="19" spans="2:4" ht="15.75" customHeight="1" x14ac:dyDescent="0.25">
      <c r="B19" s="120" t="s">
        <v>65</v>
      </c>
      <c r="C19" s="118" t="s">
        <v>66</v>
      </c>
      <c r="D19" s="218">
        <v>6705.71</v>
      </c>
    </row>
    <row r="20" spans="2:4" ht="15.75" customHeight="1" x14ac:dyDescent="0.25">
      <c r="B20" s="120" t="s">
        <v>67</v>
      </c>
      <c r="C20" s="118" t="s">
        <v>68</v>
      </c>
      <c r="D20" s="218">
        <f>D19*0.8*7%</f>
        <v>375.51976000000002</v>
      </c>
    </row>
    <row r="21" spans="2:4" ht="31.5" customHeight="1" x14ac:dyDescent="0.25">
      <c r="B21" s="120" t="s">
        <v>69</v>
      </c>
      <c r="C21" s="118" t="s">
        <v>70</v>
      </c>
      <c r="D21" s="218">
        <f>D18*3.9%*0.8+(D18+D18*3.9%*0.8)*4.8%*0.8</f>
        <v>21.547395647999998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18">
        <f>D17</f>
        <v>7407.1271556479996</v>
      </c>
    </row>
    <row r="24" spans="2:4" ht="61.5" customHeight="1" x14ac:dyDescent="0.25">
      <c r="B24" s="117">
        <v>9</v>
      </c>
      <c r="C24" s="119" t="s">
        <v>74</v>
      </c>
      <c r="D24" s="218">
        <f>D23/1</f>
        <v>7407.1271556479996</v>
      </c>
    </row>
    <row r="25" spans="2:4" ht="37.5" customHeight="1" x14ac:dyDescent="0.25">
      <c r="B25" s="121"/>
      <c r="C25" s="122"/>
      <c r="D25" s="122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2"/>
      <c r="C31" s="122"/>
      <c r="D31" s="122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78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zoomScale="70" zoomScaleNormal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1" t="s">
        <v>79</v>
      </c>
      <c r="C3" s="241"/>
      <c r="D3" s="241"/>
      <c r="E3" s="241"/>
      <c r="F3" s="241"/>
      <c r="G3" s="241"/>
      <c r="H3" s="241"/>
      <c r="I3" s="241"/>
      <c r="J3" s="241"/>
      <c r="K3" s="241"/>
    </row>
    <row r="4" spans="2:11" ht="15.75" customHeight="1" x14ac:dyDescent="0.25">
      <c r="B4" s="247" t="s">
        <v>80</v>
      </c>
      <c r="C4" s="247"/>
      <c r="D4" s="247"/>
      <c r="E4" s="247"/>
      <c r="F4" s="247"/>
      <c r="G4" s="247"/>
      <c r="H4" s="247"/>
      <c r="I4" s="247"/>
      <c r="J4" s="247"/>
      <c r="K4" s="247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40" t="s">
        <v>48</v>
      </c>
      <c r="C6" s="240"/>
      <c r="D6" s="240"/>
      <c r="E6" s="240"/>
      <c r="F6" s="240"/>
      <c r="G6" s="240"/>
      <c r="H6" s="240"/>
      <c r="I6" s="240"/>
      <c r="J6" s="240"/>
      <c r="K6" s="240"/>
    </row>
    <row r="7" spans="2:11" ht="15.75" customHeight="1" x14ac:dyDescent="0.25">
      <c r="B7" s="240" t="s">
        <v>50</v>
      </c>
      <c r="C7" s="240"/>
      <c r="D7" s="240"/>
      <c r="E7" s="240"/>
      <c r="F7" s="240"/>
      <c r="G7" s="240"/>
      <c r="H7" s="240"/>
      <c r="I7" s="240"/>
      <c r="J7" s="240"/>
      <c r="K7" s="240"/>
    </row>
    <row r="8" spans="2:11" ht="18.75" customHeight="1" x14ac:dyDescent="0.25">
      <c r="B8" s="116"/>
    </row>
    <row r="9" spans="2:11" ht="15.75" customHeight="1" x14ac:dyDescent="0.25">
      <c r="B9" s="248" t="s">
        <v>33</v>
      </c>
      <c r="C9" s="248" t="s">
        <v>81</v>
      </c>
      <c r="D9" s="248" t="s">
        <v>82</v>
      </c>
      <c r="E9" s="248"/>
      <c r="F9" s="248"/>
      <c r="G9" s="248"/>
      <c r="H9" s="248"/>
      <c r="I9" s="248"/>
      <c r="J9" s="248"/>
    </row>
    <row r="10" spans="2:11" ht="15.75" customHeight="1" x14ac:dyDescent="0.25">
      <c r="B10" s="248"/>
      <c r="C10" s="248"/>
      <c r="D10" s="248" t="s">
        <v>83</v>
      </c>
      <c r="E10" s="248" t="s">
        <v>84</v>
      </c>
      <c r="F10" s="248" t="s">
        <v>85</v>
      </c>
      <c r="G10" s="248"/>
      <c r="H10" s="248"/>
      <c r="I10" s="248"/>
      <c r="J10" s="248"/>
    </row>
    <row r="11" spans="2:11" ht="31.5" customHeight="1" x14ac:dyDescent="0.25">
      <c r="B11" s="249"/>
      <c r="C11" s="249"/>
      <c r="D11" s="249"/>
      <c r="E11" s="249"/>
      <c r="F11" s="226" t="s">
        <v>86</v>
      </c>
      <c r="G11" s="226" t="s">
        <v>87</v>
      </c>
      <c r="H11" s="226" t="s">
        <v>43</v>
      </c>
      <c r="I11" s="226" t="s">
        <v>88</v>
      </c>
      <c r="J11" s="226" t="s">
        <v>89</v>
      </c>
    </row>
    <row r="12" spans="2:11" ht="105.6" customHeight="1" x14ac:dyDescent="0.25">
      <c r="B12" s="227">
        <v>1</v>
      </c>
      <c r="C12" s="117" t="s">
        <v>61</v>
      </c>
      <c r="D12" s="228" t="s">
        <v>90</v>
      </c>
      <c r="E12" s="227" t="s">
        <v>91</v>
      </c>
      <c r="F12" s="227"/>
      <c r="G12" s="229">
        <f>39993.67*7.61/1000</f>
        <v>304.3518287</v>
      </c>
      <c r="H12" s="229">
        <f>1510296*4.44/1000</f>
        <v>6705.7142400000002</v>
      </c>
      <c r="I12" s="229"/>
      <c r="J12" s="229">
        <f>SUM(F12:I12)</f>
        <v>7010.0660687</v>
      </c>
    </row>
    <row r="13" spans="2:11" ht="15.75" customHeight="1" x14ac:dyDescent="0.25">
      <c r="B13" s="245" t="s">
        <v>92</v>
      </c>
      <c r="C13" s="245"/>
      <c r="D13" s="245"/>
      <c r="E13" s="245"/>
      <c r="F13" s="230"/>
      <c r="G13" s="231">
        <f>G12</f>
        <v>304.3518287</v>
      </c>
      <c r="H13" s="231">
        <f>H12</f>
        <v>6705.7142400000002</v>
      </c>
      <c r="I13" s="231"/>
      <c r="J13" s="231">
        <f>J12</f>
        <v>7010.0660687</v>
      </c>
    </row>
    <row r="14" spans="2:11" ht="15.75" customHeight="1" x14ac:dyDescent="0.25">
      <c r="B14" s="246" t="s">
        <v>93</v>
      </c>
      <c r="C14" s="246"/>
      <c r="D14" s="246"/>
      <c r="E14" s="246"/>
      <c r="F14" s="135"/>
      <c r="G14" s="232">
        <f>G13</f>
        <v>304.3518287</v>
      </c>
      <c r="H14" s="232">
        <f>H13</f>
        <v>6705.7142400000002</v>
      </c>
      <c r="I14" s="232"/>
      <c r="J14" s="232">
        <f>J13</f>
        <v>7010.0660687</v>
      </c>
    </row>
    <row r="15" spans="2:11" ht="18.75" customHeight="1" x14ac:dyDescent="0.25">
      <c r="B15" s="116"/>
    </row>
    <row r="18" spans="2:3" x14ac:dyDescent="0.25">
      <c r="B18" s="4" t="s">
        <v>75</v>
      </c>
      <c r="C18" s="12"/>
    </row>
    <row r="19" spans="2:3" x14ac:dyDescent="0.25">
      <c r="B19" s="33" t="s">
        <v>76</v>
      </c>
      <c r="C19" s="12"/>
    </row>
    <row r="20" spans="2:3" x14ac:dyDescent="0.25">
      <c r="B20" s="4"/>
      <c r="C20" s="12"/>
    </row>
    <row r="21" spans="2:3" x14ac:dyDescent="0.25">
      <c r="B21" s="4" t="s">
        <v>77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8"/>
  <sheetViews>
    <sheetView view="pageBreakPreview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6" customWidth="1"/>
    <col min="9" max="9" width="10.140625" customWidth="1"/>
  </cols>
  <sheetData>
    <row r="2" spans="1:12" ht="15.75" customHeight="1" x14ac:dyDescent="0.25">
      <c r="A2" s="241" t="s">
        <v>94</v>
      </c>
      <c r="B2" s="241"/>
      <c r="C2" s="241"/>
      <c r="D2" s="241"/>
      <c r="E2" s="241"/>
      <c r="F2" s="241"/>
      <c r="G2" s="241"/>
      <c r="H2" s="241"/>
      <c r="I2" s="121"/>
    </row>
    <row r="3" spans="1:12" ht="18.75" customHeight="1" x14ac:dyDescent="0.25">
      <c r="A3" s="242" t="s">
        <v>95</v>
      </c>
      <c r="B3" s="242"/>
      <c r="C3" s="242"/>
      <c r="D3" s="242"/>
      <c r="E3" s="242"/>
      <c r="F3" s="242"/>
      <c r="G3" s="242"/>
      <c r="H3" s="242"/>
      <c r="I3" s="242"/>
    </row>
    <row r="4" spans="1:12" ht="25.5" customHeight="1" x14ac:dyDescent="0.25">
      <c r="A4" s="207"/>
      <c r="B4" s="208"/>
      <c r="C4" s="260"/>
      <c r="D4" s="260"/>
      <c r="E4" s="260"/>
      <c r="F4" s="260"/>
      <c r="G4" s="260"/>
      <c r="H4" s="260"/>
    </row>
    <row r="5" spans="1:12" ht="15.75" customHeight="1" x14ac:dyDescent="0.25">
      <c r="A5" s="207"/>
      <c r="B5" s="207"/>
      <c r="C5" s="209"/>
      <c r="D5" s="209"/>
      <c r="E5" s="209"/>
      <c r="F5" s="209"/>
      <c r="G5" s="209"/>
      <c r="H5" s="210"/>
    </row>
    <row r="6" spans="1:12" ht="15" customHeight="1" x14ac:dyDescent="0.25">
      <c r="A6" s="251" t="s">
        <v>48</v>
      </c>
      <c r="B6" s="251"/>
      <c r="C6" s="251"/>
      <c r="D6" s="251"/>
      <c r="E6" s="251"/>
      <c r="F6" s="251"/>
      <c r="G6" s="251"/>
      <c r="H6" s="251"/>
    </row>
    <row r="7" spans="1:12" ht="14.25" customHeight="1" x14ac:dyDescent="0.25">
      <c r="A7" s="251"/>
      <c r="B7" s="251"/>
      <c r="C7" s="251"/>
      <c r="D7" s="251"/>
      <c r="E7" s="251"/>
      <c r="F7" s="251"/>
      <c r="G7" s="251"/>
      <c r="H7" s="251"/>
    </row>
    <row r="8" spans="1:12" ht="15.75" customHeight="1" x14ac:dyDescent="0.25">
      <c r="A8" s="207"/>
      <c r="B8" s="207"/>
      <c r="C8" s="211"/>
      <c r="D8" s="212"/>
      <c r="E8" s="213"/>
      <c r="F8" s="214"/>
      <c r="G8" s="215"/>
      <c r="H8" s="216"/>
    </row>
    <row r="9" spans="1:12" ht="38.25" customHeight="1" x14ac:dyDescent="0.25">
      <c r="A9" s="248" t="s">
        <v>96</v>
      </c>
      <c r="B9" s="248" t="s">
        <v>97</v>
      </c>
      <c r="C9" s="248" t="s">
        <v>98</v>
      </c>
      <c r="D9" s="248" t="s">
        <v>99</v>
      </c>
      <c r="E9" s="248" t="s">
        <v>100</v>
      </c>
      <c r="F9" s="248" t="s">
        <v>101</v>
      </c>
      <c r="G9" s="248" t="s">
        <v>102</v>
      </c>
      <c r="H9" s="248"/>
    </row>
    <row r="10" spans="1:12" ht="40.5" customHeight="1" x14ac:dyDescent="0.25">
      <c r="A10" s="248"/>
      <c r="B10" s="248"/>
      <c r="C10" s="248"/>
      <c r="D10" s="248"/>
      <c r="E10" s="248"/>
      <c r="F10" s="248"/>
      <c r="G10" s="117" t="s">
        <v>103</v>
      </c>
      <c r="H10" s="117" t="s">
        <v>104</v>
      </c>
    </row>
    <row r="11" spans="1:12" ht="15.75" customHeight="1" x14ac:dyDescent="0.25">
      <c r="A11" s="117">
        <v>1</v>
      </c>
      <c r="B11" s="145"/>
      <c r="C11" s="117">
        <v>2</v>
      </c>
      <c r="D11" s="117" t="s">
        <v>105</v>
      </c>
      <c r="E11" s="117">
        <v>4</v>
      </c>
      <c r="F11" s="117">
        <v>5</v>
      </c>
      <c r="G11" s="145">
        <v>6</v>
      </c>
      <c r="H11" s="145">
        <v>7</v>
      </c>
    </row>
    <row r="12" spans="1:12" ht="15" customHeight="1" x14ac:dyDescent="0.25">
      <c r="A12" s="259" t="s">
        <v>106</v>
      </c>
      <c r="B12" s="254"/>
      <c r="C12" s="254"/>
      <c r="D12" s="255"/>
      <c r="E12" s="146"/>
      <c r="F12" s="219">
        <f>SUM(F13:F17)</f>
        <v>879.07550000000003</v>
      </c>
      <c r="G12" s="220"/>
      <c r="H12" s="221">
        <f>SUM(H13:H17)</f>
        <v>10631.86</v>
      </c>
    </row>
    <row r="13" spans="1:12" x14ac:dyDescent="0.25">
      <c r="A13" s="174" t="s">
        <v>107</v>
      </c>
      <c r="B13" s="174"/>
      <c r="C13" s="151" t="s">
        <v>108</v>
      </c>
      <c r="D13" s="182" t="s">
        <v>109</v>
      </c>
      <c r="E13" s="7" t="s">
        <v>110</v>
      </c>
      <c r="F13" s="2">
        <v>453.93669999999997</v>
      </c>
      <c r="G13" s="184">
        <v>9.6199999999999992</v>
      </c>
      <c r="H13" s="32">
        <f>ROUND(F13*G13,2)</f>
        <v>4366.87</v>
      </c>
      <c r="J13" s="149"/>
      <c r="K13" s="148"/>
      <c r="L13" s="148"/>
    </row>
    <row r="14" spans="1:12" x14ac:dyDescent="0.25">
      <c r="A14" s="174" t="s">
        <v>111</v>
      </c>
      <c r="B14" s="174"/>
      <c r="C14" s="151" t="s">
        <v>112</v>
      </c>
      <c r="D14" s="182" t="s">
        <v>113</v>
      </c>
      <c r="E14" s="7" t="s">
        <v>110</v>
      </c>
      <c r="F14" s="179">
        <v>210.5</v>
      </c>
      <c r="G14" s="183">
        <v>15.49</v>
      </c>
      <c r="H14" s="32">
        <f>ROUND(F14*G14,2)</f>
        <v>3260.65</v>
      </c>
      <c r="J14" s="149"/>
      <c r="K14" s="148"/>
      <c r="L14" s="148"/>
    </row>
    <row r="15" spans="1:12" x14ac:dyDescent="0.25">
      <c r="A15" s="174" t="s">
        <v>114</v>
      </c>
      <c r="B15" s="174"/>
      <c r="C15" s="151" t="s">
        <v>115</v>
      </c>
      <c r="D15" s="182" t="s">
        <v>116</v>
      </c>
      <c r="E15" s="7" t="s">
        <v>110</v>
      </c>
      <c r="F15" s="179">
        <v>210.5</v>
      </c>
      <c r="G15" s="183">
        <v>14.09</v>
      </c>
      <c r="H15" s="32">
        <f>ROUND(F15*G15,2)</f>
        <v>2965.95</v>
      </c>
      <c r="J15" s="149"/>
      <c r="K15" s="148"/>
      <c r="L15" s="148"/>
    </row>
    <row r="16" spans="1:12" x14ac:dyDescent="0.25">
      <c r="A16" s="174" t="s">
        <v>117</v>
      </c>
      <c r="B16" s="174"/>
      <c r="C16" s="151" t="s">
        <v>118</v>
      </c>
      <c r="D16" s="182" t="s">
        <v>119</v>
      </c>
      <c r="E16" s="7" t="s">
        <v>110</v>
      </c>
      <c r="F16" s="2">
        <v>3.359</v>
      </c>
      <c r="G16" s="184">
        <v>9.4</v>
      </c>
      <c r="H16" s="32">
        <f>ROUND(F16*G16,2)</f>
        <v>31.57</v>
      </c>
      <c r="J16" s="149"/>
      <c r="K16" s="148"/>
      <c r="L16" s="148"/>
    </row>
    <row r="17" spans="1:12" x14ac:dyDescent="0.25">
      <c r="A17" s="174" t="s">
        <v>120</v>
      </c>
      <c r="B17" s="174"/>
      <c r="C17" s="151" t="s">
        <v>121</v>
      </c>
      <c r="D17" s="182" t="s">
        <v>122</v>
      </c>
      <c r="E17" s="7" t="s">
        <v>123</v>
      </c>
      <c r="F17" s="2">
        <v>0.77980000000000005</v>
      </c>
      <c r="G17" s="184">
        <v>8.74</v>
      </c>
      <c r="H17" s="32">
        <f>ROUND(F17*G17,2)</f>
        <v>6.82</v>
      </c>
      <c r="J17" s="149"/>
      <c r="K17" s="148"/>
      <c r="L17" s="148"/>
    </row>
    <row r="18" spans="1:12" x14ac:dyDescent="0.25">
      <c r="A18" s="252" t="s">
        <v>124</v>
      </c>
      <c r="B18" s="253"/>
      <c r="C18" s="254"/>
      <c r="D18" s="255"/>
      <c r="E18" s="150"/>
      <c r="F18" s="151"/>
      <c r="G18" s="147"/>
      <c r="H18" s="177">
        <f>H19</f>
        <v>967.88360999999998</v>
      </c>
      <c r="L18" s="148"/>
    </row>
    <row r="19" spans="1:12" x14ac:dyDescent="0.25">
      <c r="A19" s="2">
        <f>A17+1</f>
        <v>6</v>
      </c>
      <c r="B19" s="176"/>
      <c r="C19" s="174">
        <v>2</v>
      </c>
      <c r="D19" s="8" t="s">
        <v>124</v>
      </c>
      <c r="E19" s="2" t="s">
        <v>110</v>
      </c>
      <c r="F19" s="179">
        <v>77.122200000000007</v>
      </c>
      <c r="G19" s="47"/>
      <c r="H19" s="32">
        <v>967.88360999999998</v>
      </c>
    </row>
    <row r="20" spans="1:12" ht="15" customHeight="1" x14ac:dyDescent="0.25">
      <c r="A20" s="256" t="s">
        <v>125</v>
      </c>
      <c r="B20" s="256"/>
      <c r="C20" s="256"/>
      <c r="D20" s="256"/>
      <c r="E20" s="146"/>
      <c r="F20" s="146"/>
      <c r="G20" s="146"/>
      <c r="H20" s="178">
        <f>SUM(H21:H32)</f>
        <v>9876.9</v>
      </c>
      <c r="K20" s="148"/>
    </row>
    <row r="21" spans="1:12" x14ac:dyDescent="0.25">
      <c r="A21" s="2">
        <f>A19+1</f>
        <v>7</v>
      </c>
      <c r="B21" s="174"/>
      <c r="C21" s="174" t="s">
        <v>126</v>
      </c>
      <c r="D21" s="8" t="s">
        <v>127</v>
      </c>
      <c r="E21" s="2" t="s">
        <v>128</v>
      </c>
      <c r="F21" s="2">
        <v>16.5</v>
      </c>
      <c r="G21" s="103">
        <v>287.99</v>
      </c>
      <c r="H21" s="32">
        <f t="shared" ref="H21:H32" si="0">ROUND(F21*G21,2)</f>
        <v>4751.84</v>
      </c>
      <c r="I21" s="152"/>
    </row>
    <row r="22" spans="1:12" ht="25.5" customHeight="1" x14ac:dyDescent="0.25">
      <c r="A22" s="2">
        <f t="shared" ref="A22:A32" si="1">A21+1</f>
        <v>8</v>
      </c>
      <c r="B22" s="174"/>
      <c r="C22" s="174" t="s">
        <v>129</v>
      </c>
      <c r="D22" s="8" t="s">
        <v>130</v>
      </c>
      <c r="E22" s="2" t="s">
        <v>128</v>
      </c>
      <c r="F22" s="2">
        <v>16.5</v>
      </c>
      <c r="G22" s="103">
        <v>131.44</v>
      </c>
      <c r="H22" s="32">
        <f t="shared" si="0"/>
        <v>2168.7600000000002</v>
      </c>
      <c r="I22" s="152"/>
    </row>
    <row r="23" spans="1:12" ht="25.5" customHeight="1" x14ac:dyDescent="0.25">
      <c r="A23" s="2">
        <f t="shared" si="1"/>
        <v>9</v>
      </c>
      <c r="B23" s="174"/>
      <c r="C23" s="174" t="s">
        <v>131</v>
      </c>
      <c r="D23" s="8" t="s">
        <v>132</v>
      </c>
      <c r="E23" s="2" t="s">
        <v>128</v>
      </c>
      <c r="F23" s="2">
        <v>14.85</v>
      </c>
      <c r="G23" s="103">
        <v>111.99</v>
      </c>
      <c r="H23" s="32">
        <f t="shared" si="0"/>
        <v>1663.05</v>
      </c>
      <c r="I23" s="152"/>
    </row>
    <row r="24" spans="1:12" x14ac:dyDescent="0.25">
      <c r="A24" s="2">
        <f t="shared" si="1"/>
        <v>10</v>
      </c>
      <c r="B24" s="174"/>
      <c r="C24" s="174" t="s">
        <v>133</v>
      </c>
      <c r="D24" s="8" t="s">
        <v>134</v>
      </c>
      <c r="E24" s="2" t="s">
        <v>128</v>
      </c>
      <c r="F24" s="2">
        <v>11.25</v>
      </c>
      <c r="G24" s="103">
        <v>65.709999999999994</v>
      </c>
      <c r="H24" s="32">
        <f t="shared" si="0"/>
        <v>739.24</v>
      </c>
      <c r="I24" s="152"/>
    </row>
    <row r="25" spans="1:12" x14ac:dyDescent="0.25">
      <c r="A25" s="2">
        <f t="shared" si="1"/>
        <v>11</v>
      </c>
      <c r="B25" s="174"/>
      <c r="C25" s="174" t="s">
        <v>135</v>
      </c>
      <c r="D25" s="8" t="s">
        <v>136</v>
      </c>
      <c r="E25" s="2" t="s">
        <v>128</v>
      </c>
      <c r="F25" s="2">
        <v>16.43</v>
      </c>
      <c r="G25" s="103">
        <v>29.6</v>
      </c>
      <c r="H25" s="32">
        <f t="shared" si="0"/>
        <v>486.33</v>
      </c>
      <c r="I25" s="152"/>
    </row>
    <row r="26" spans="1:12" ht="25.5" customHeight="1" x14ac:dyDescent="0.25">
      <c r="A26" s="2">
        <f t="shared" si="1"/>
        <v>12</v>
      </c>
      <c r="B26" s="174"/>
      <c r="C26" s="174" t="s">
        <v>137</v>
      </c>
      <c r="D26" s="8" t="s">
        <v>138</v>
      </c>
      <c r="E26" s="2" t="s">
        <v>128</v>
      </c>
      <c r="F26" s="2">
        <v>3.74</v>
      </c>
      <c r="G26" s="103">
        <v>8.1</v>
      </c>
      <c r="H26" s="32">
        <f t="shared" si="0"/>
        <v>30.29</v>
      </c>
      <c r="I26" s="152"/>
    </row>
    <row r="27" spans="1:12" x14ac:dyDescent="0.25">
      <c r="A27" s="2">
        <f t="shared" si="1"/>
        <v>13</v>
      </c>
      <c r="B27" s="174"/>
      <c r="C27" s="174" t="s">
        <v>139</v>
      </c>
      <c r="D27" s="8" t="s">
        <v>140</v>
      </c>
      <c r="E27" s="2" t="s">
        <v>128</v>
      </c>
      <c r="F27" s="2">
        <v>33</v>
      </c>
      <c r="G27" s="103">
        <v>0.9</v>
      </c>
      <c r="H27" s="32">
        <f t="shared" si="0"/>
        <v>29.7</v>
      </c>
      <c r="I27" s="152"/>
    </row>
    <row r="28" spans="1:12" x14ac:dyDescent="0.25">
      <c r="A28" s="2">
        <f t="shared" si="1"/>
        <v>14</v>
      </c>
      <c r="B28" s="174"/>
      <c r="C28" s="174" t="s">
        <v>141</v>
      </c>
      <c r="D28" s="8" t="s">
        <v>142</v>
      </c>
      <c r="E28" s="2" t="s">
        <v>128</v>
      </c>
      <c r="F28" s="2">
        <v>0.05</v>
      </c>
      <c r="G28" s="103">
        <v>70</v>
      </c>
      <c r="H28" s="32">
        <f t="shared" si="0"/>
        <v>3.5</v>
      </c>
      <c r="I28" s="152"/>
    </row>
    <row r="29" spans="1:12" x14ac:dyDescent="0.25">
      <c r="A29" s="2">
        <f t="shared" si="1"/>
        <v>15</v>
      </c>
      <c r="B29" s="174"/>
      <c r="C29" s="174" t="s">
        <v>143</v>
      </c>
      <c r="D29" s="8" t="s">
        <v>144</v>
      </c>
      <c r="E29" s="2" t="s">
        <v>128</v>
      </c>
      <c r="F29" s="2">
        <v>0.05</v>
      </c>
      <c r="G29" s="103">
        <v>56.24</v>
      </c>
      <c r="H29" s="32">
        <f t="shared" si="0"/>
        <v>2.81</v>
      </c>
      <c r="I29" s="152"/>
    </row>
    <row r="30" spans="1:12" x14ac:dyDescent="0.25">
      <c r="A30" s="2">
        <f t="shared" si="1"/>
        <v>16</v>
      </c>
      <c r="B30" s="174"/>
      <c r="C30" s="174" t="s">
        <v>145</v>
      </c>
      <c r="D30" s="8" t="s">
        <v>146</v>
      </c>
      <c r="E30" s="2" t="s">
        <v>128</v>
      </c>
      <c r="F30" s="2">
        <v>0.05</v>
      </c>
      <c r="G30" s="103">
        <v>16.920000000000002</v>
      </c>
      <c r="H30" s="32">
        <f t="shared" si="0"/>
        <v>0.85</v>
      </c>
      <c r="I30" s="152"/>
    </row>
    <row r="31" spans="1:12" ht="25.5" customHeight="1" x14ac:dyDescent="0.25">
      <c r="A31" s="2">
        <f t="shared" si="1"/>
        <v>17</v>
      </c>
      <c r="B31" s="174"/>
      <c r="C31" s="174" t="s">
        <v>147</v>
      </c>
      <c r="D31" s="8" t="s">
        <v>148</v>
      </c>
      <c r="E31" s="2" t="s">
        <v>128</v>
      </c>
      <c r="F31" s="2">
        <v>0.06</v>
      </c>
      <c r="G31" s="103">
        <v>6.82</v>
      </c>
      <c r="H31" s="32">
        <f t="shared" si="0"/>
        <v>0.41</v>
      </c>
      <c r="I31" s="152"/>
    </row>
    <row r="32" spans="1:12" x14ac:dyDescent="0.25">
      <c r="A32" s="2">
        <f t="shared" si="1"/>
        <v>18</v>
      </c>
      <c r="B32" s="174"/>
      <c r="C32" s="174" t="s">
        <v>149</v>
      </c>
      <c r="D32" s="8" t="s">
        <v>150</v>
      </c>
      <c r="E32" s="2" t="s">
        <v>128</v>
      </c>
      <c r="F32" s="2">
        <v>0.05</v>
      </c>
      <c r="G32" s="103">
        <v>2.36</v>
      </c>
      <c r="H32" s="32">
        <f t="shared" si="0"/>
        <v>0.12</v>
      </c>
      <c r="I32" s="152"/>
    </row>
    <row r="33" spans="1:9" ht="15" customHeight="1" x14ac:dyDescent="0.25">
      <c r="A33" s="258" t="s">
        <v>43</v>
      </c>
      <c r="B33" s="258"/>
      <c r="C33" s="258"/>
      <c r="D33" s="258"/>
      <c r="E33" s="153"/>
      <c r="F33" s="154"/>
      <c r="G33" s="147"/>
      <c r="H33" s="181">
        <f>SUM(H34:H36)</f>
        <v>1754434.41</v>
      </c>
      <c r="I33" s="152"/>
    </row>
    <row r="34" spans="1:9" ht="15" customHeight="1" x14ac:dyDescent="0.25">
      <c r="A34" s="2">
        <f>A32+1</f>
        <v>19</v>
      </c>
      <c r="B34" s="180"/>
      <c r="C34" s="174" t="s">
        <v>151</v>
      </c>
      <c r="D34" s="8" t="s">
        <v>152</v>
      </c>
      <c r="E34" s="2" t="s">
        <v>153</v>
      </c>
      <c r="F34" s="2" t="s">
        <v>114</v>
      </c>
      <c r="G34" s="103">
        <v>583514.72</v>
      </c>
      <c r="H34" s="32">
        <f>ROUND(F34*G34,2)</f>
        <v>1750544.16</v>
      </c>
      <c r="I34" s="152"/>
    </row>
    <row r="35" spans="1:9" ht="15" customHeight="1" x14ac:dyDescent="0.25">
      <c r="A35" s="204">
        <v>20</v>
      </c>
      <c r="B35" s="205"/>
      <c r="C35" s="206" t="s">
        <v>151</v>
      </c>
      <c r="D35" s="203" t="s">
        <v>154</v>
      </c>
      <c r="E35" s="150" t="s">
        <v>155</v>
      </c>
      <c r="F35" s="150">
        <v>1</v>
      </c>
      <c r="G35" s="32">
        <v>2552.88</v>
      </c>
      <c r="H35" s="32">
        <f>ROUND(F35*G35,2)</f>
        <v>2552.88</v>
      </c>
      <c r="I35" s="152"/>
    </row>
    <row r="36" spans="1:9" ht="15" customHeight="1" x14ac:dyDescent="0.25">
      <c r="A36" s="204">
        <f>A35+1</f>
        <v>21</v>
      </c>
      <c r="B36" s="205"/>
      <c r="C36" s="206" t="s">
        <v>151</v>
      </c>
      <c r="D36" s="203" t="s">
        <v>156</v>
      </c>
      <c r="E36" s="150" t="s">
        <v>155</v>
      </c>
      <c r="F36" s="150">
        <v>1</v>
      </c>
      <c r="G36" s="32">
        <v>1337.37</v>
      </c>
      <c r="H36" s="32">
        <f>ROUND(F36*G36,2)</f>
        <v>1337.37</v>
      </c>
      <c r="I36" s="152"/>
    </row>
    <row r="37" spans="1:9" ht="15" customHeight="1" x14ac:dyDescent="0.25">
      <c r="A37" s="257" t="s">
        <v>157</v>
      </c>
      <c r="B37" s="257"/>
      <c r="C37" s="257"/>
      <c r="D37" s="257"/>
      <c r="E37" s="175"/>
      <c r="F37" s="175"/>
      <c r="G37" s="103"/>
      <c r="H37" s="178">
        <f>SUM(H38:H58)</f>
        <v>12181.7</v>
      </c>
    </row>
    <row r="38" spans="1:9" x14ac:dyDescent="0.25">
      <c r="A38" s="2">
        <f>A36+1</f>
        <v>22</v>
      </c>
      <c r="B38" s="174"/>
      <c r="C38" s="174" t="s">
        <v>158</v>
      </c>
      <c r="D38" s="8" t="s">
        <v>159</v>
      </c>
      <c r="E38" s="2" t="s">
        <v>160</v>
      </c>
      <c r="F38" s="2">
        <v>0.12</v>
      </c>
      <c r="G38" s="103">
        <v>35576</v>
      </c>
      <c r="H38" s="32">
        <f t="shared" ref="H38:H58" si="2">ROUND(F38*G38,2)</f>
        <v>4269.12</v>
      </c>
      <c r="I38" s="152"/>
    </row>
    <row r="39" spans="1:9" ht="25.5" customHeight="1" x14ac:dyDescent="0.25">
      <c r="A39" s="2">
        <f t="shared" ref="A39:A58" si="3">A38+1</f>
        <v>23</v>
      </c>
      <c r="B39" s="174"/>
      <c r="C39" s="174" t="s">
        <v>161</v>
      </c>
      <c r="D39" s="8" t="s">
        <v>162</v>
      </c>
      <c r="E39" s="2" t="s">
        <v>163</v>
      </c>
      <c r="F39" s="2">
        <f>0.013*3*1</f>
        <v>3.9E-2</v>
      </c>
      <c r="G39" s="103">
        <v>98440.41</v>
      </c>
      <c r="H39" s="32">
        <f t="shared" si="2"/>
        <v>3839.18</v>
      </c>
      <c r="I39" s="152"/>
    </row>
    <row r="40" spans="1:9" x14ac:dyDescent="0.25">
      <c r="A40" s="2">
        <f t="shared" si="3"/>
        <v>24</v>
      </c>
      <c r="B40" s="174"/>
      <c r="C40" s="174" t="s">
        <v>164</v>
      </c>
      <c r="D40" s="8" t="s">
        <v>165</v>
      </c>
      <c r="E40" s="2" t="s">
        <v>163</v>
      </c>
      <c r="F40" s="2">
        <f>0.02*3*1</f>
        <v>0.06</v>
      </c>
      <c r="G40" s="103">
        <v>38348.22</v>
      </c>
      <c r="H40" s="32">
        <f t="shared" si="2"/>
        <v>2300.89</v>
      </c>
      <c r="I40" s="152"/>
    </row>
    <row r="41" spans="1:9" ht="25.5" customHeight="1" x14ac:dyDescent="0.25">
      <c r="A41" s="2">
        <f t="shared" si="3"/>
        <v>25</v>
      </c>
      <c r="B41" s="174"/>
      <c r="C41" s="174" t="s">
        <v>166</v>
      </c>
      <c r="D41" s="8" t="s">
        <v>167</v>
      </c>
      <c r="E41" s="2" t="s">
        <v>168</v>
      </c>
      <c r="F41" s="2">
        <f>0.28*1</f>
        <v>0.28000000000000003</v>
      </c>
      <c r="G41" s="103">
        <v>1837.28</v>
      </c>
      <c r="H41" s="32">
        <f t="shared" si="2"/>
        <v>514.44000000000005</v>
      </c>
      <c r="I41" s="152"/>
    </row>
    <row r="42" spans="1:9" ht="25.5" customHeight="1" x14ac:dyDescent="0.25">
      <c r="A42" s="2">
        <f t="shared" si="3"/>
        <v>26</v>
      </c>
      <c r="B42" s="174"/>
      <c r="C42" s="174" t="s">
        <v>169</v>
      </c>
      <c r="D42" s="8" t="s">
        <v>170</v>
      </c>
      <c r="E42" s="2" t="s">
        <v>171</v>
      </c>
      <c r="F42" s="2">
        <v>8.8300000000000003E-2</v>
      </c>
      <c r="G42" s="103">
        <v>5000</v>
      </c>
      <c r="H42" s="32">
        <f t="shared" si="2"/>
        <v>441.5</v>
      </c>
      <c r="I42" s="152"/>
    </row>
    <row r="43" spans="1:9" x14ac:dyDescent="0.25">
      <c r="A43" s="2">
        <f t="shared" si="3"/>
        <v>27</v>
      </c>
      <c r="B43" s="174"/>
      <c r="C43" s="174" t="s">
        <v>172</v>
      </c>
      <c r="D43" s="8" t="s">
        <v>173</v>
      </c>
      <c r="E43" s="2" t="s">
        <v>174</v>
      </c>
      <c r="F43" s="2">
        <v>4</v>
      </c>
      <c r="G43" s="103">
        <v>50</v>
      </c>
      <c r="H43" s="32">
        <f t="shared" si="2"/>
        <v>200</v>
      </c>
      <c r="I43" s="152"/>
    </row>
    <row r="44" spans="1:9" x14ac:dyDescent="0.25">
      <c r="A44" s="2">
        <f t="shared" si="3"/>
        <v>28</v>
      </c>
      <c r="B44" s="174"/>
      <c r="C44" s="174" t="s">
        <v>175</v>
      </c>
      <c r="D44" s="8" t="s">
        <v>176</v>
      </c>
      <c r="E44" s="2" t="s">
        <v>168</v>
      </c>
      <c r="F44" s="2">
        <f>1.4*1*1</f>
        <v>1.4</v>
      </c>
      <c r="G44" s="103">
        <v>108.4</v>
      </c>
      <c r="H44" s="32">
        <f t="shared" si="2"/>
        <v>151.76</v>
      </c>
      <c r="I44" s="152"/>
    </row>
    <row r="45" spans="1:9" x14ac:dyDescent="0.25">
      <c r="A45" s="2">
        <f t="shared" si="3"/>
        <v>29</v>
      </c>
      <c r="B45" s="174"/>
      <c r="C45" s="174" t="s">
        <v>177</v>
      </c>
      <c r="D45" s="8" t="s">
        <v>178</v>
      </c>
      <c r="E45" s="2" t="s">
        <v>174</v>
      </c>
      <c r="F45" s="2">
        <v>14.4</v>
      </c>
      <c r="G45" s="103">
        <v>9.0399999999999991</v>
      </c>
      <c r="H45" s="32">
        <f t="shared" si="2"/>
        <v>130.18</v>
      </c>
      <c r="I45" s="152"/>
    </row>
    <row r="46" spans="1:9" x14ac:dyDescent="0.25">
      <c r="A46" s="2">
        <f t="shared" si="3"/>
        <v>30</v>
      </c>
      <c r="B46" s="174"/>
      <c r="C46" s="174" t="s">
        <v>179</v>
      </c>
      <c r="D46" s="8" t="s">
        <v>180</v>
      </c>
      <c r="E46" s="2" t="s">
        <v>174</v>
      </c>
      <c r="F46" s="2">
        <v>2.1520000000000001</v>
      </c>
      <c r="G46" s="103">
        <v>28.6</v>
      </c>
      <c r="H46" s="32">
        <f t="shared" si="2"/>
        <v>61.55</v>
      </c>
      <c r="I46" s="152"/>
    </row>
    <row r="47" spans="1:9" x14ac:dyDescent="0.25">
      <c r="A47" s="2">
        <f t="shared" si="3"/>
        <v>31</v>
      </c>
      <c r="B47" s="174"/>
      <c r="C47" s="174" t="s">
        <v>181</v>
      </c>
      <c r="D47" s="8" t="s">
        <v>182</v>
      </c>
      <c r="E47" s="2" t="s">
        <v>171</v>
      </c>
      <c r="F47" s="2">
        <v>9.4199999999999996E-3</v>
      </c>
      <c r="G47" s="103">
        <v>6159.22</v>
      </c>
      <c r="H47" s="32">
        <f t="shared" si="2"/>
        <v>58.02</v>
      </c>
      <c r="I47" s="152"/>
    </row>
    <row r="48" spans="1:9" ht="25.5" customHeight="1" x14ac:dyDescent="0.25">
      <c r="A48" s="2">
        <f t="shared" si="3"/>
        <v>32</v>
      </c>
      <c r="B48" s="174"/>
      <c r="C48" s="174" t="s">
        <v>183</v>
      </c>
      <c r="D48" s="8" t="s">
        <v>184</v>
      </c>
      <c r="E48" s="2" t="s">
        <v>185</v>
      </c>
      <c r="F48" s="2">
        <v>56.168500000000002</v>
      </c>
      <c r="G48" s="103">
        <v>1</v>
      </c>
      <c r="H48" s="32">
        <f t="shared" si="2"/>
        <v>56.17</v>
      </c>
      <c r="I48" s="152"/>
    </row>
    <row r="49" spans="1:9" ht="25.5" customHeight="1" x14ac:dyDescent="0.25">
      <c r="A49" s="2">
        <f t="shared" si="3"/>
        <v>33</v>
      </c>
      <c r="B49" s="174"/>
      <c r="C49" s="174" t="s">
        <v>186</v>
      </c>
      <c r="D49" s="8" t="s">
        <v>187</v>
      </c>
      <c r="E49" s="2" t="s">
        <v>171</v>
      </c>
      <c r="F49" s="2">
        <v>2.0999999999999999E-3</v>
      </c>
      <c r="G49" s="103">
        <v>17500</v>
      </c>
      <c r="H49" s="32">
        <f t="shared" si="2"/>
        <v>36.75</v>
      </c>
      <c r="I49" s="152"/>
    </row>
    <row r="50" spans="1:9" x14ac:dyDescent="0.25">
      <c r="A50" s="2">
        <f t="shared" si="3"/>
        <v>34</v>
      </c>
      <c r="B50" s="174"/>
      <c r="C50" s="174" t="s">
        <v>188</v>
      </c>
      <c r="D50" s="8" t="s">
        <v>189</v>
      </c>
      <c r="E50" s="2" t="s">
        <v>190</v>
      </c>
      <c r="F50" s="2">
        <v>0.46200000000000002</v>
      </c>
      <c r="G50" s="103">
        <v>79.099999999999994</v>
      </c>
      <c r="H50" s="32">
        <f t="shared" si="2"/>
        <v>36.54</v>
      </c>
      <c r="I50" s="152"/>
    </row>
    <row r="51" spans="1:9" x14ac:dyDescent="0.25">
      <c r="A51" s="2">
        <f t="shared" si="3"/>
        <v>35</v>
      </c>
      <c r="B51" s="174"/>
      <c r="C51" s="174" t="s">
        <v>191</v>
      </c>
      <c r="D51" s="8" t="s">
        <v>192</v>
      </c>
      <c r="E51" s="2" t="s">
        <v>174</v>
      </c>
      <c r="F51" s="2">
        <v>0.13800000000000001</v>
      </c>
      <c r="G51" s="103">
        <v>238.48</v>
      </c>
      <c r="H51" s="32">
        <f t="shared" si="2"/>
        <v>32.909999999999997</v>
      </c>
      <c r="I51" s="152"/>
    </row>
    <row r="52" spans="1:9" x14ac:dyDescent="0.25">
      <c r="A52" s="2">
        <f t="shared" si="3"/>
        <v>36</v>
      </c>
      <c r="B52" s="174"/>
      <c r="C52" s="174" t="s">
        <v>193</v>
      </c>
      <c r="D52" s="8" t="s">
        <v>194</v>
      </c>
      <c r="E52" s="2" t="s">
        <v>174</v>
      </c>
      <c r="F52" s="2">
        <v>2.4780000000000002</v>
      </c>
      <c r="G52" s="103">
        <v>10.57</v>
      </c>
      <c r="H52" s="32">
        <f t="shared" si="2"/>
        <v>26.19</v>
      </c>
      <c r="I52" s="152"/>
    </row>
    <row r="53" spans="1:9" ht="25.5" customHeight="1" x14ac:dyDescent="0.25">
      <c r="A53" s="2">
        <f t="shared" si="3"/>
        <v>37</v>
      </c>
      <c r="B53" s="174"/>
      <c r="C53" s="174" t="s">
        <v>195</v>
      </c>
      <c r="D53" s="8" t="s">
        <v>196</v>
      </c>
      <c r="E53" s="2" t="s">
        <v>197</v>
      </c>
      <c r="F53" s="2">
        <v>0.95</v>
      </c>
      <c r="G53" s="103">
        <v>15.13</v>
      </c>
      <c r="H53" s="32">
        <f t="shared" si="2"/>
        <v>14.37</v>
      </c>
      <c r="I53" s="152"/>
    </row>
    <row r="54" spans="1:9" ht="25.5" customHeight="1" x14ac:dyDescent="0.25">
      <c r="A54" s="2">
        <f t="shared" si="3"/>
        <v>38</v>
      </c>
      <c r="B54" s="174"/>
      <c r="C54" s="174" t="s">
        <v>198</v>
      </c>
      <c r="D54" s="8" t="s">
        <v>199</v>
      </c>
      <c r="E54" s="2" t="s">
        <v>171</v>
      </c>
      <c r="F54" s="2">
        <v>1E-3</v>
      </c>
      <c r="G54" s="103">
        <v>5941.89</v>
      </c>
      <c r="H54" s="32">
        <f t="shared" si="2"/>
        <v>5.94</v>
      </c>
      <c r="I54" s="152"/>
    </row>
    <row r="55" spans="1:9" x14ac:dyDescent="0.25">
      <c r="A55" s="2">
        <f t="shared" si="3"/>
        <v>39</v>
      </c>
      <c r="B55" s="174"/>
      <c r="C55" s="174" t="s">
        <v>200</v>
      </c>
      <c r="D55" s="8" t="s">
        <v>201</v>
      </c>
      <c r="E55" s="2" t="s">
        <v>160</v>
      </c>
      <c r="F55" s="2">
        <v>6.1199999999999997E-2</v>
      </c>
      <c r="G55" s="103">
        <v>86</v>
      </c>
      <c r="H55" s="32">
        <f t="shared" si="2"/>
        <v>5.26</v>
      </c>
      <c r="I55" s="152"/>
    </row>
    <row r="56" spans="1:9" x14ac:dyDescent="0.25">
      <c r="A56" s="2">
        <f t="shared" si="3"/>
        <v>40</v>
      </c>
      <c r="B56" s="174"/>
      <c r="C56" s="174" t="s">
        <v>202</v>
      </c>
      <c r="D56" s="8" t="s">
        <v>203</v>
      </c>
      <c r="E56" s="2" t="s">
        <v>160</v>
      </c>
      <c r="F56" s="2">
        <v>0.02</v>
      </c>
      <c r="G56" s="103">
        <v>26.6</v>
      </c>
      <c r="H56" s="32">
        <f t="shared" si="2"/>
        <v>0.53</v>
      </c>
      <c r="I56" s="152"/>
    </row>
    <row r="57" spans="1:9" ht="25.5" customHeight="1" x14ac:dyDescent="0.25">
      <c r="A57" s="2">
        <f t="shared" si="3"/>
        <v>41</v>
      </c>
      <c r="B57" s="174"/>
      <c r="C57" s="174" t="s">
        <v>204</v>
      </c>
      <c r="D57" s="8" t="s">
        <v>205</v>
      </c>
      <c r="E57" s="2" t="s">
        <v>174</v>
      </c>
      <c r="F57" s="2">
        <v>0.01</v>
      </c>
      <c r="G57" s="103">
        <v>28.22</v>
      </c>
      <c r="H57" s="32">
        <f t="shared" si="2"/>
        <v>0.28000000000000003</v>
      </c>
      <c r="I57" s="152"/>
    </row>
    <row r="58" spans="1:9" x14ac:dyDescent="0.25">
      <c r="A58" s="2">
        <f t="shared" si="3"/>
        <v>42</v>
      </c>
      <c r="B58" s="174"/>
      <c r="C58" s="174" t="s">
        <v>206</v>
      </c>
      <c r="D58" s="8" t="s">
        <v>207</v>
      </c>
      <c r="E58" s="2" t="s">
        <v>160</v>
      </c>
      <c r="F58" s="2">
        <v>6.1199999999999997E-2</v>
      </c>
      <c r="G58" s="103">
        <v>2</v>
      </c>
      <c r="H58" s="32">
        <f t="shared" si="2"/>
        <v>0.12</v>
      </c>
      <c r="I58" s="152"/>
    </row>
    <row r="59" spans="1:9" x14ac:dyDescent="0.25">
      <c r="C59" s="158"/>
      <c r="D59" s="159"/>
      <c r="E59" s="160"/>
      <c r="F59" s="160"/>
      <c r="G59" s="161"/>
      <c r="H59" s="162"/>
    </row>
    <row r="60" spans="1:9" ht="25.5" customHeight="1" x14ac:dyDescent="0.25">
      <c r="B60" s="155" t="s">
        <v>208</v>
      </c>
      <c r="C60" s="250" t="s">
        <v>209</v>
      </c>
      <c r="D60" s="250"/>
      <c r="E60" s="250"/>
      <c r="F60" s="250"/>
      <c r="G60" s="250"/>
      <c r="H60" s="250"/>
    </row>
    <row r="61" spans="1:9" x14ac:dyDescent="0.25">
      <c r="I61" s="156"/>
    </row>
    <row r="64" spans="1:9" x14ac:dyDescent="0.25">
      <c r="B64" s="4" t="s">
        <v>75</v>
      </c>
      <c r="C64" s="12"/>
      <c r="H64"/>
    </row>
    <row r="65" spans="2:8" x14ac:dyDescent="0.25">
      <c r="B65" s="33" t="s">
        <v>76</v>
      </c>
      <c r="C65" s="12"/>
      <c r="H65"/>
    </row>
    <row r="66" spans="2:8" x14ac:dyDescent="0.25">
      <c r="B66" s="4"/>
      <c r="C66" s="12"/>
      <c r="H66"/>
    </row>
    <row r="67" spans="2:8" x14ac:dyDescent="0.25">
      <c r="B67" s="4" t="s">
        <v>77</v>
      </c>
      <c r="C67" s="12"/>
      <c r="H67"/>
    </row>
    <row r="68" spans="2:8" x14ac:dyDescent="0.25">
      <c r="B68" s="33" t="s">
        <v>78</v>
      </c>
      <c r="C68" s="12"/>
      <c r="H68"/>
    </row>
  </sheetData>
  <mergeCells count="17">
    <mergeCell ref="A2:H2"/>
    <mergeCell ref="A18:D18"/>
    <mergeCell ref="A20:D20"/>
    <mergeCell ref="A37:D37"/>
    <mergeCell ref="A33:D33"/>
    <mergeCell ref="A9:A10"/>
    <mergeCell ref="A12:D12"/>
    <mergeCell ref="E9:E10"/>
    <mergeCell ref="F9:F10"/>
    <mergeCell ref="C4:H4"/>
    <mergeCell ref="C60:H60"/>
    <mergeCell ref="A3:I3"/>
    <mergeCell ref="D9:D10"/>
    <mergeCell ref="C9:C10"/>
    <mergeCell ref="B9:B10"/>
    <mergeCell ref="G9:H9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9" t="s">
        <v>210</v>
      </c>
      <c r="B1" s="239"/>
      <c r="C1" s="239"/>
      <c r="D1" s="239"/>
    </row>
    <row r="2" spans="1:10" x14ac:dyDescent="0.25">
      <c r="A2" s="261" t="str">
        <f>'4.1 Отдел 1'!A10</f>
        <v>И5-05-02</v>
      </c>
      <c r="B2" s="261"/>
      <c r="C2" s="261"/>
      <c r="D2" s="261"/>
    </row>
    <row r="3" spans="1:10" x14ac:dyDescent="0.25">
      <c r="A3" s="262"/>
      <c r="B3" s="262"/>
      <c r="C3" s="262"/>
      <c r="D3" s="262"/>
    </row>
    <row r="4" spans="1:10" ht="51.75" customHeight="1" x14ac:dyDescent="0.25">
      <c r="A4" s="236" t="str">
        <f>'Прил. 3'!A6</f>
        <v>Наименование разрабатываемого показателя УНЦ - Элементы ПС без устройства фундаментов. Цифровой ТТ на три фазы 330 кВ.</v>
      </c>
      <c r="B4" s="236"/>
      <c r="C4" s="236"/>
      <c r="D4" s="236"/>
    </row>
    <row r="5" spans="1:10" ht="15" customHeight="1" x14ac:dyDescent="0.25">
      <c r="A5" s="236"/>
      <c r="B5" s="263"/>
      <c r="C5" s="263"/>
      <c r="D5" s="263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211</v>
      </c>
      <c r="B7" s="2" t="s">
        <v>102</v>
      </c>
      <c r="C7" s="2" t="s">
        <v>212</v>
      </c>
      <c r="D7" s="2" t="s">
        <v>213</v>
      </c>
    </row>
    <row r="8" spans="1:10" x14ac:dyDescent="0.25">
      <c r="A8" s="25" t="s">
        <v>214</v>
      </c>
      <c r="B8" s="26">
        <f>'Прил.5 Расчет СМР и ОБ'!G16</f>
        <v>10631.86</v>
      </c>
      <c r="C8" s="27">
        <f t="shared" ref="C8:C15" si="0">B8/$B$21</f>
        <v>0.21138497347365001</v>
      </c>
      <c r="D8" s="27">
        <f t="shared" ref="D8:D15" si="1">B8/$B$35</f>
        <v>7.8588652347664992E-3</v>
      </c>
      <c r="I8" s="28"/>
      <c r="J8" s="28"/>
    </row>
    <row r="9" spans="1:10" x14ac:dyDescent="0.25">
      <c r="A9" s="25" t="s">
        <v>215</v>
      </c>
      <c r="B9" s="26">
        <f>'Прил.5 Расчет СМР и ОБ'!G24</f>
        <v>8583.65</v>
      </c>
      <c r="C9" s="27">
        <f t="shared" si="0"/>
        <v>0.17066201281404</v>
      </c>
      <c r="D9" s="27">
        <f t="shared" si="1"/>
        <v>6.3448680261406001E-3</v>
      </c>
      <c r="I9" s="28"/>
      <c r="J9" s="28"/>
    </row>
    <row r="10" spans="1:10" x14ac:dyDescent="0.25">
      <c r="A10" s="25" t="s">
        <v>216</v>
      </c>
      <c r="B10" s="26">
        <f>'Прил.5 Расчет СМР и ОБ'!G34</f>
        <v>1293.25</v>
      </c>
      <c r="C10" s="27">
        <f t="shared" si="0"/>
        <v>2.5712680278408E-2</v>
      </c>
      <c r="D10" s="27">
        <f t="shared" si="1"/>
        <v>9.5594538160414003E-4</v>
      </c>
      <c r="I10" s="28"/>
      <c r="J10" s="28"/>
    </row>
    <row r="11" spans="1:10" x14ac:dyDescent="0.25">
      <c r="A11" s="25" t="s">
        <v>217</v>
      </c>
      <c r="B11" s="26">
        <f>B9+B10</f>
        <v>9876.9</v>
      </c>
      <c r="C11" s="27">
        <f t="shared" si="0"/>
        <v>0.19637469309245001</v>
      </c>
      <c r="D11" s="27">
        <f t="shared" si="1"/>
        <v>7.3008134077448003E-3</v>
      </c>
      <c r="I11" s="28"/>
      <c r="J11" s="28"/>
    </row>
    <row r="12" spans="1:10" x14ac:dyDescent="0.25">
      <c r="A12" s="25" t="s">
        <v>218</v>
      </c>
      <c r="B12" s="26">
        <f>'Прил.5 Расчет СМР и ОБ'!G18</f>
        <v>967.88360999999998</v>
      </c>
      <c r="C12" s="27">
        <f t="shared" si="0"/>
        <v>1.9243674317140001E-2</v>
      </c>
      <c r="D12" s="27">
        <f t="shared" si="1"/>
        <v>7.1544084044836002E-4</v>
      </c>
      <c r="I12" s="28"/>
      <c r="J12" s="28"/>
    </row>
    <row r="13" spans="1:10" x14ac:dyDescent="0.25">
      <c r="A13" s="25" t="s">
        <v>219</v>
      </c>
      <c r="B13" s="26">
        <f>'Прил.5 Расчет СМР и ОБ'!G50</f>
        <v>10409.19</v>
      </c>
      <c r="C13" s="27">
        <f t="shared" si="0"/>
        <v>0.20695779967306999</v>
      </c>
      <c r="D13" s="27">
        <f t="shared" si="1"/>
        <v>7.6942718783994E-3</v>
      </c>
      <c r="I13" s="28"/>
      <c r="J13" s="28"/>
    </row>
    <row r="14" spans="1:10" x14ac:dyDescent="0.25">
      <c r="A14" s="25" t="s">
        <v>220</v>
      </c>
      <c r="B14" s="26">
        <f>'Прил.5 Расчет СМР и ОБ'!G69</f>
        <v>1772.51</v>
      </c>
      <c r="C14" s="27">
        <f t="shared" si="0"/>
        <v>3.5241432762636998E-2</v>
      </c>
      <c r="D14" s="27">
        <f t="shared" si="1"/>
        <v>1.3102051021436001E-3</v>
      </c>
      <c r="I14" s="28"/>
      <c r="J14" s="28"/>
    </row>
    <row r="15" spans="1:10" x14ac:dyDescent="0.25">
      <c r="A15" s="25" t="s">
        <v>221</v>
      </c>
      <c r="B15" s="26">
        <f>B13+B14</f>
        <v>12181.7</v>
      </c>
      <c r="C15" s="27">
        <f t="shared" si="0"/>
        <v>0.24219923243571001</v>
      </c>
      <c r="D15" s="27">
        <f t="shared" si="1"/>
        <v>9.0044769805430001E-3</v>
      </c>
      <c r="I15" s="28"/>
      <c r="J15" s="28"/>
    </row>
    <row r="16" spans="1:10" x14ac:dyDescent="0.25">
      <c r="A16" s="25" t="s">
        <v>222</v>
      </c>
      <c r="B16" s="26">
        <f>B8+B11+B15</f>
        <v>32690.46</v>
      </c>
      <c r="C16" s="27"/>
      <c r="D16" s="27"/>
      <c r="I16" s="28"/>
      <c r="J16" s="28"/>
    </row>
    <row r="17" spans="1:10" x14ac:dyDescent="0.25">
      <c r="A17" s="25" t="s">
        <v>223</v>
      </c>
      <c r="B17" s="26">
        <f>'Прил.5 Расчет СМР и ОБ'!G73</f>
        <v>7274.0604860000003</v>
      </c>
      <c r="C17" s="27">
        <f>B17/$B$21</f>
        <v>0.1446244667329</v>
      </c>
      <c r="D17" s="27">
        <f>B17/$B$35</f>
        <v>5.3768447918815998E-3</v>
      </c>
      <c r="I17" s="28"/>
      <c r="J17" s="28"/>
    </row>
    <row r="18" spans="1:10" x14ac:dyDescent="0.25">
      <c r="A18" s="25" t="s">
        <v>224</v>
      </c>
      <c r="B18" s="29">
        <f>B17/(B8+B12)</f>
        <v>0.62708804009505004</v>
      </c>
      <c r="C18" s="27"/>
      <c r="D18" s="27"/>
      <c r="I18" s="28"/>
      <c r="J18" s="28"/>
    </row>
    <row r="19" spans="1:10" x14ac:dyDescent="0.25">
      <c r="A19" s="25" t="s">
        <v>225</v>
      </c>
      <c r="B19" s="26">
        <f>'Прил.5 Расчет СМР и ОБ'!G72</f>
        <v>10331.675243</v>
      </c>
      <c r="C19" s="27">
        <f>B19/$B$21</f>
        <v>0.20541663426529999</v>
      </c>
      <c r="D19" s="27">
        <f>B19/$B$35</f>
        <v>7.6369744695763998E-3</v>
      </c>
      <c r="I19" s="28"/>
      <c r="J19" s="28"/>
    </row>
    <row r="20" spans="1:10" x14ac:dyDescent="0.25">
      <c r="A20" s="25" t="s">
        <v>226</v>
      </c>
      <c r="B20" s="29">
        <f>B19/(B8+B12)</f>
        <v>0.89068134524053</v>
      </c>
      <c r="C20" s="27"/>
      <c r="D20" s="27"/>
      <c r="J20" s="28"/>
    </row>
    <row r="21" spans="1:10" x14ac:dyDescent="0.25">
      <c r="A21" s="25" t="s">
        <v>227</v>
      </c>
      <c r="B21" s="26">
        <f>B16+B17+B19</f>
        <v>50296.195728999999</v>
      </c>
      <c r="C21" s="27">
        <f>B21/$B$21</f>
        <v>1</v>
      </c>
      <c r="D21" s="27">
        <f>B21/$B$35</f>
        <v>3.7177974884512001E-2</v>
      </c>
      <c r="J21" s="28"/>
    </row>
    <row r="22" spans="1:10" ht="26.45" customHeight="1" x14ac:dyDescent="0.25">
      <c r="A22" s="25" t="s">
        <v>228</v>
      </c>
      <c r="B22" s="26">
        <f>'Прил.6 Расчет ОБ'!G16</f>
        <v>1255013.28</v>
      </c>
      <c r="C22" s="27"/>
      <c r="D22" s="27">
        <f>B22/$B$35</f>
        <v>0.92768153788352004</v>
      </c>
      <c r="J22" s="28"/>
    </row>
    <row r="23" spans="1:10" ht="26.45" customHeight="1" x14ac:dyDescent="0.25">
      <c r="A23" s="25" t="s">
        <v>229</v>
      </c>
      <c r="B23" s="26">
        <f>'Прил.6 Расчет ОБ'!G15</f>
        <v>1255013.28</v>
      </c>
      <c r="C23" s="27"/>
      <c r="D23" s="27">
        <f>B23/$B$35</f>
        <v>0.92768153788352004</v>
      </c>
      <c r="J23" s="28"/>
    </row>
    <row r="24" spans="1:10" x14ac:dyDescent="0.25">
      <c r="A24" s="25" t="s">
        <v>230</v>
      </c>
      <c r="B24" s="26">
        <f>'Прил.5 Расчет СМР и ОБ'!G75</f>
        <v>1305309.4757290001</v>
      </c>
      <c r="C24" s="27"/>
      <c r="D24" s="27">
        <f>B24/$B$35</f>
        <v>0.96485951276804005</v>
      </c>
      <c r="J24" s="28"/>
    </row>
    <row r="25" spans="1:10" ht="26.45" customHeight="1" x14ac:dyDescent="0.25">
      <c r="A25" s="25" t="s">
        <v>231</v>
      </c>
      <c r="B25" s="26"/>
      <c r="C25" s="27"/>
      <c r="D25" s="27"/>
      <c r="J25" s="28"/>
    </row>
    <row r="26" spans="1:10" x14ac:dyDescent="0.25">
      <c r="A26" s="25" t="s">
        <v>232</v>
      </c>
      <c r="B26" s="26">
        <f>'4.7 Прил.6 Расчет Прочие'!I9*1000</f>
        <v>278.41007999999999</v>
      </c>
      <c r="C26" s="27"/>
      <c r="D26" s="27">
        <f>B26/$B$35</f>
        <v>2.0579534519083001E-4</v>
      </c>
      <c r="J26" s="28"/>
    </row>
    <row r="27" spans="1:10" x14ac:dyDescent="0.25">
      <c r="A27" s="25" t="s">
        <v>233</v>
      </c>
      <c r="B27" s="26">
        <f>'4.7 Прил.6 Расчет Прочие'!I11*1000</f>
        <v>86.950678710000005</v>
      </c>
      <c r="C27" s="27"/>
      <c r="D27" s="27">
        <f>B27/$B$35</f>
        <v>6.4272259609641995E-5</v>
      </c>
      <c r="J27" s="28"/>
    </row>
    <row r="28" spans="1:10" x14ac:dyDescent="0.25">
      <c r="A28" s="25" t="s">
        <v>234</v>
      </c>
      <c r="B28" s="26">
        <f>'4.7 Прил.6 Расчет Прочие'!I12*1000</f>
        <v>5470.4031199999999</v>
      </c>
      <c r="C28" s="27"/>
      <c r="D28" s="27">
        <f>B28/$B$35</f>
        <v>4.0436161593480997E-3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235</v>
      </c>
      <c r="B30" s="26">
        <f>'4.7 Прил.6 Расчет Прочие'!I14*1000</f>
        <v>2300.6417510043998</v>
      </c>
      <c r="C30" s="27"/>
      <c r="D30" s="27">
        <f>B30/$B$35</f>
        <v>1.7005898755835E-3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236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237</v>
      </c>
      <c r="B33" s="26">
        <f>B24+B26+B27+B28+B30+B32</f>
        <v>1313445.8813587001</v>
      </c>
      <c r="C33" s="27"/>
      <c r="D33" s="27">
        <f>B33/$B$35</f>
        <v>0.97087378640777</v>
      </c>
      <c r="J33" s="28"/>
    </row>
    <row r="34" spans="1:10" x14ac:dyDescent="0.25">
      <c r="A34" s="25" t="s">
        <v>238</v>
      </c>
      <c r="B34" s="26">
        <f>B33*3%</f>
        <v>39403.376440761</v>
      </c>
      <c r="C34" s="27"/>
      <c r="D34" s="27">
        <f>B34/$B$35</f>
        <v>2.9126213592233E-2</v>
      </c>
      <c r="J34" s="28"/>
    </row>
    <row r="35" spans="1:10" x14ac:dyDescent="0.25">
      <c r="A35" s="25" t="s">
        <v>239</v>
      </c>
      <c r="B35" s="26">
        <f>B33+B34</f>
        <v>1352849.2577994999</v>
      </c>
      <c r="C35" s="27"/>
      <c r="D35" s="27">
        <f>B35/$B$35</f>
        <v>1</v>
      </c>
      <c r="J35" s="28"/>
    </row>
    <row r="36" spans="1:10" x14ac:dyDescent="0.25">
      <c r="A36" s="25" t="s">
        <v>240</v>
      </c>
      <c r="B36" s="26">
        <f>B35</f>
        <v>1352849.2577994999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241</v>
      </c>
      <c r="B38" s="30"/>
      <c r="C38" s="30"/>
      <c r="D38" s="30"/>
    </row>
    <row r="39" spans="1:10" x14ac:dyDescent="0.25">
      <c r="A39" s="31" t="s">
        <v>242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243</v>
      </c>
      <c r="B41" s="30"/>
      <c r="C41" s="30"/>
      <c r="D41" s="30"/>
    </row>
    <row r="42" spans="1:10" x14ac:dyDescent="0.25">
      <c r="A42" s="31" t="s">
        <v>244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245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3" t="s">
        <v>210</v>
      </c>
      <c r="C5" s="233"/>
      <c r="D5" s="233"/>
      <c r="E5" s="233"/>
    </row>
    <row r="6" spans="2:5" x14ac:dyDescent="0.25">
      <c r="B6" s="139"/>
      <c r="C6" s="4"/>
      <c r="D6" s="4"/>
      <c r="E6" s="4"/>
    </row>
    <row r="7" spans="2:5" ht="25.5" customHeight="1" x14ac:dyDescent="0.25">
      <c r="B7" s="263" t="s">
        <v>48</v>
      </c>
      <c r="C7" s="263"/>
      <c r="D7" s="263"/>
      <c r="E7" s="263"/>
    </row>
    <row r="8" spans="2:5" x14ac:dyDescent="0.25">
      <c r="B8" s="264" t="s">
        <v>50</v>
      </c>
      <c r="C8" s="264"/>
      <c r="D8" s="264"/>
      <c r="E8" s="264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211</v>
      </c>
      <c r="C10" s="2" t="s">
        <v>246</v>
      </c>
      <c r="D10" s="2" t="s">
        <v>247</v>
      </c>
      <c r="E10" s="2" t="s">
        <v>248</v>
      </c>
    </row>
    <row r="11" spans="2:5" x14ac:dyDescent="0.25">
      <c r="B11" s="25" t="s">
        <v>214</v>
      </c>
      <c r="C11" s="188">
        <f>'Прил.5 Расчет СМР и ОБ'!J16</f>
        <v>490423.45</v>
      </c>
      <c r="D11" s="27">
        <f t="shared" ref="D11:D18" si="0">C11/$C$24</f>
        <v>0.32378770640825999</v>
      </c>
      <c r="E11" s="27">
        <f t="shared" ref="E11:E18" si="1">C11/$C$40</f>
        <v>4.8482295173709E-2</v>
      </c>
    </row>
    <row r="12" spans="2:5" x14ac:dyDescent="0.25">
      <c r="B12" s="25" t="s">
        <v>215</v>
      </c>
      <c r="C12" s="188">
        <f>'Прил.5 Расчет СМР и ОБ'!J24</f>
        <v>115621.92</v>
      </c>
      <c r="D12" s="27">
        <f t="shared" si="0"/>
        <v>7.6335983296311E-2</v>
      </c>
      <c r="E12" s="27">
        <f t="shared" si="1"/>
        <v>1.1430155009902E-2</v>
      </c>
    </row>
    <row r="13" spans="2:5" x14ac:dyDescent="0.25">
      <c r="B13" s="25" t="s">
        <v>216</v>
      </c>
      <c r="C13" s="188">
        <f>'Прил.5 Расчет СМР и ОБ'!J34</f>
        <v>56.38</v>
      </c>
      <c r="D13" s="27">
        <f t="shared" si="0"/>
        <v>3.7223242255845998E-5</v>
      </c>
      <c r="E13" s="27">
        <f t="shared" si="1"/>
        <v>5.5736156211406999E-6</v>
      </c>
    </row>
    <row r="14" spans="2:5" x14ac:dyDescent="0.25">
      <c r="B14" s="25" t="s">
        <v>217</v>
      </c>
      <c r="C14" s="188">
        <f>C13+C12</f>
        <v>115678.3</v>
      </c>
      <c r="D14" s="27">
        <f t="shared" si="0"/>
        <v>7.6373206538566996E-2</v>
      </c>
      <c r="E14" s="27">
        <f t="shared" si="1"/>
        <v>1.1435728625523001E-2</v>
      </c>
    </row>
    <row r="15" spans="2:5" x14ac:dyDescent="0.25">
      <c r="B15" s="25" t="s">
        <v>218</v>
      </c>
      <c r="C15" s="188">
        <f>'Прил.5 Расчет СМР и ОБ'!J18</f>
        <v>42867.6</v>
      </c>
      <c r="D15" s="27">
        <f t="shared" si="0"/>
        <v>2.8302076263333E-2</v>
      </c>
      <c r="E15" s="27">
        <f t="shared" si="1"/>
        <v>4.2378064029941001E-3</v>
      </c>
    </row>
    <row r="16" spans="2:5" x14ac:dyDescent="0.25">
      <c r="B16" s="25" t="s">
        <v>219</v>
      </c>
      <c r="C16" s="188">
        <f>'Прил.5 Расчет СМР и ОБ'!J50</f>
        <v>83689.88</v>
      </c>
      <c r="D16" s="27">
        <f t="shared" si="0"/>
        <v>5.5253789953932E-2</v>
      </c>
      <c r="E16" s="27">
        <f t="shared" si="1"/>
        <v>8.2734165040685998E-3</v>
      </c>
    </row>
    <row r="17" spans="2:7" x14ac:dyDescent="0.25">
      <c r="B17" s="25" t="s">
        <v>220</v>
      </c>
      <c r="C17" s="188">
        <f>'Прил.5 Расчет СМР и ОБ'!J69</f>
        <v>14251.04</v>
      </c>
      <c r="D17" s="27">
        <f t="shared" si="0"/>
        <v>9.4088313997472001E-3</v>
      </c>
      <c r="E17" s="27">
        <f t="shared" si="1"/>
        <v>1.4088297119812E-3</v>
      </c>
      <c r="G17" s="140"/>
    </row>
    <row r="18" spans="2:7" x14ac:dyDescent="0.25">
      <c r="B18" s="25" t="s">
        <v>221</v>
      </c>
      <c r="C18" s="188">
        <f>C17+C16</f>
        <v>97940.92</v>
      </c>
      <c r="D18" s="27">
        <f t="shared" si="0"/>
        <v>6.4662621353679006E-2</v>
      </c>
      <c r="E18" s="27">
        <f t="shared" si="1"/>
        <v>9.6822462160497998E-3</v>
      </c>
    </row>
    <row r="19" spans="2:7" x14ac:dyDescent="0.25">
      <c r="B19" s="25" t="s">
        <v>222</v>
      </c>
      <c r="C19" s="188">
        <f>C18+C14+C11</f>
        <v>704042.67</v>
      </c>
      <c r="D19" s="27"/>
      <c r="E19" s="25"/>
    </row>
    <row r="20" spans="2:7" x14ac:dyDescent="0.25">
      <c r="B20" s="25" t="s">
        <v>223</v>
      </c>
      <c r="C20" s="188">
        <f>ROUND(C21*(C11+C15),2)</f>
        <v>335973.36</v>
      </c>
      <c r="D20" s="27">
        <f>C20/$C$24</f>
        <v>0.22181656209277001</v>
      </c>
      <c r="E20" s="27">
        <f>C20/$C$40</f>
        <v>3.3213663845035997E-2</v>
      </c>
    </row>
    <row r="21" spans="2:7" x14ac:dyDescent="0.25">
      <c r="B21" s="25" t="s">
        <v>224</v>
      </c>
      <c r="C21" s="29">
        <f>'Прил.5 Расчет СМР и ОБ'!D73</f>
        <v>0.63</v>
      </c>
      <c r="D21" s="27"/>
      <c r="E21" s="25"/>
    </row>
    <row r="22" spans="2:7" x14ac:dyDescent="0.25">
      <c r="B22" s="25" t="s">
        <v>225</v>
      </c>
      <c r="C22" s="188">
        <f>ROUND(C23*(C11+C15),2)</f>
        <v>474629.03</v>
      </c>
      <c r="D22" s="27">
        <f>C22/$C$24</f>
        <v>0.31335990360672</v>
      </c>
      <c r="E22" s="27">
        <f>C22/$C$40</f>
        <v>4.6920889958404002E-2</v>
      </c>
    </row>
    <row r="23" spans="2:7" x14ac:dyDescent="0.25">
      <c r="B23" s="25" t="s">
        <v>226</v>
      </c>
      <c r="C23" s="29">
        <f>'Прил.5 Расчет СМР и ОБ'!D72</f>
        <v>0.89</v>
      </c>
      <c r="D23" s="27"/>
      <c r="E23" s="25"/>
    </row>
    <row r="24" spans="2:7" x14ac:dyDescent="0.25">
      <c r="B24" s="25" t="s">
        <v>227</v>
      </c>
      <c r="C24" s="188">
        <f>C19+C20+C22</f>
        <v>1514645.06</v>
      </c>
      <c r="D24" s="27">
        <f>C24/$C$24</f>
        <v>1</v>
      </c>
      <c r="E24" s="27">
        <f>C24/$C$40</f>
        <v>0.14973482381872</v>
      </c>
    </row>
    <row r="25" spans="2:7" ht="25.5" customHeight="1" x14ac:dyDescent="0.25">
      <c r="B25" s="25" t="s">
        <v>228</v>
      </c>
      <c r="C25" s="188">
        <f>'Прил.5 Расчет СМР и ОБ'!J43</f>
        <v>7856383.1900000004</v>
      </c>
      <c r="D25" s="27"/>
      <c r="E25" s="27">
        <f>C25/$C$40</f>
        <v>0.77666654972421001</v>
      </c>
    </row>
    <row r="26" spans="2:7" ht="25.5" customHeight="1" x14ac:dyDescent="0.25">
      <c r="B26" s="25" t="s">
        <v>229</v>
      </c>
      <c r="C26" s="188">
        <f>C25</f>
        <v>7856383.1900000004</v>
      </c>
      <c r="D26" s="27"/>
      <c r="E26" s="27">
        <f>C26/$C$40</f>
        <v>0.77666654972421001</v>
      </c>
    </row>
    <row r="27" spans="2:7" x14ac:dyDescent="0.25">
      <c r="B27" s="25" t="s">
        <v>230</v>
      </c>
      <c r="C27" s="26">
        <f>C24+C25</f>
        <v>9371028.25</v>
      </c>
      <c r="D27" s="27"/>
      <c r="E27" s="27">
        <f>C27/$C$40</f>
        <v>0.92640137354292995</v>
      </c>
    </row>
    <row r="28" spans="2:7" ht="33" customHeight="1" x14ac:dyDescent="0.25">
      <c r="B28" s="25" t="s">
        <v>231</v>
      </c>
      <c r="C28" s="25"/>
      <c r="D28" s="25"/>
      <c r="E28" s="25"/>
    </row>
    <row r="29" spans="2:7" ht="25.5" customHeight="1" x14ac:dyDescent="0.25">
      <c r="B29" s="25" t="s">
        <v>249</v>
      </c>
      <c r="C29" s="26">
        <f>ROUND(C24*3.9%,2)</f>
        <v>59071.16</v>
      </c>
      <c r="D29" s="25"/>
      <c r="E29" s="27">
        <f t="shared" ref="E29:E38" si="2">C29/$C$40</f>
        <v>5.8396583918925004E-3</v>
      </c>
    </row>
    <row r="30" spans="2:7" ht="38.25" customHeight="1" x14ac:dyDescent="0.25">
      <c r="B30" s="25" t="s">
        <v>250</v>
      </c>
      <c r="C30" s="26">
        <f>ROUND((C24+C29)*2.1%,2)</f>
        <v>33048.04</v>
      </c>
      <c r="D30" s="25"/>
      <c r="E30" s="27">
        <f t="shared" si="2"/>
        <v>3.2670640651308999E-3</v>
      </c>
    </row>
    <row r="31" spans="2:7" ht="25.5" customHeight="1" x14ac:dyDescent="0.25">
      <c r="B31" s="25" t="s">
        <v>251</v>
      </c>
      <c r="C31" s="26">
        <v>133187.97</v>
      </c>
      <c r="D31" s="25"/>
      <c r="E31" s="27">
        <f t="shared" si="2"/>
        <v>1.3166700073431001E-2</v>
      </c>
    </row>
    <row r="32" spans="2:7" ht="25.5" customHeight="1" x14ac:dyDescent="0.25">
      <c r="B32" s="25" t="s">
        <v>252</v>
      </c>
      <c r="C32" s="26">
        <f>ROUND($C$27*0%,2)</f>
        <v>0</v>
      </c>
      <c r="D32" s="25"/>
      <c r="E32" s="27">
        <f t="shared" si="2"/>
        <v>0</v>
      </c>
    </row>
    <row r="33" spans="2:12" ht="38.25" customHeight="1" x14ac:dyDescent="0.25">
      <c r="B33" s="25" t="s">
        <v>253</v>
      </c>
      <c r="C33" s="26">
        <f>ROUND($C$27*0%,2)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254</v>
      </c>
      <c r="C34" s="26">
        <f>ROUND($C$27*0%,2)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255</v>
      </c>
      <c r="C35" s="26">
        <f>ROUND($C$27*0%,2)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256</v>
      </c>
      <c r="C36" s="26">
        <f>ROUND((C27+C32+C33+C34+C35+C29+C31+C30)*2.14%,2)</f>
        <v>205361.58</v>
      </c>
      <c r="D36" s="25"/>
      <c r="E36" s="27">
        <f t="shared" si="2"/>
        <v>2.0301640834873E-2</v>
      </c>
      <c r="L36" s="141"/>
    </row>
    <row r="37" spans="2:12" x14ac:dyDescent="0.25">
      <c r="B37" s="25" t="s">
        <v>257</v>
      </c>
      <c r="C37" s="26">
        <f>ROUND((C27+C32+C33+C34+C35+C29+C31+C30)*0.2%,2)</f>
        <v>19192.669999999998</v>
      </c>
      <c r="D37" s="25"/>
      <c r="E37" s="27">
        <f t="shared" si="2"/>
        <v>1.897349509106E-3</v>
      </c>
      <c r="L37" s="141"/>
    </row>
    <row r="38" spans="2:12" ht="38.25" customHeight="1" x14ac:dyDescent="0.25">
      <c r="B38" s="25" t="s">
        <v>237</v>
      </c>
      <c r="C38" s="188">
        <f>C27+C32+C33+C34+C35+C29+C31+C30+C36+C37</f>
        <v>9820889.6699999999</v>
      </c>
      <c r="D38" s="25"/>
      <c r="E38" s="27">
        <f t="shared" si="2"/>
        <v>0.97087378641736</v>
      </c>
    </row>
    <row r="39" spans="2:12" ht="13.5" customHeight="1" x14ac:dyDescent="0.25">
      <c r="B39" s="25" t="s">
        <v>238</v>
      </c>
      <c r="C39" s="188">
        <f>ROUND(C38*3%,2)</f>
        <v>294626.69</v>
      </c>
      <c r="D39" s="25"/>
      <c r="E39" s="27">
        <f>C39/$C$38</f>
        <v>2.9999999989818001E-2</v>
      </c>
    </row>
    <row r="40" spans="2:12" x14ac:dyDescent="0.25">
      <c r="B40" s="25" t="s">
        <v>239</v>
      </c>
      <c r="C40" s="188">
        <f>C39+C38</f>
        <v>10115516.359999999</v>
      </c>
      <c r="D40" s="25"/>
      <c r="E40" s="27">
        <f>C40/$C$40</f>
        <v>1</v>
      </c>
    </row>
    <row r="41" spans="2:12" x14ac:dyDescent="0.25">
      <c r="B41" s="25" t="s">
        <v>240</v>
      </c>
      <c r="C41" s="188">
        <f>C40/'Прил.5 Расчет СМР и ОБ'!E76</f>
        <v>10115516.359999999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tabSelected="1" view="pageBreakPreview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65" t="s">
        <v>258</v>
      </c>
      <c r="I2" s="265"/>
      <c r="J2" s="26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3" t="s">
        <v>259</v>
      </c>
      <c r="B4" s="233"/>
      <c r="C4" s="233"/>
      <c r="D4" s="233"/>
      <c r="E4" s="233"/>
      <c r="F4" s="233"/>
      <c r="G4" s="233"/>
      <c r="H4" s="233"/>
      <c r="I4" s="233"/>
      <c r="J4" s="233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201" t="s">
        <v>260</v>
      </c>
      <c r="B6" s="201"/>
      <c r="C6" s="201"/>
      <c r="D6" s="201" t="s">
        <v>261</v>
      </c>
      <c r="E6" s="201"/>
      <c r="F6" s="201"/>
      <c r="G6" s="201"/>
      <c r="H6" s="201"/>
      <c r="I6" s="144"/>
      <c r="J6" s="144"/>
    </row>
    <row r="7" spans="1:14" s="4" customFormat="1" ht="12.75" customHeight="1" x14ac:dyDescent="0.2">
      <c r="A7" s="236" t="s">
        <v>262</v>
      </c>
      <c r="B7" s="263"/>
      <c r="C7" s="263"/>
      <c r="D7" s="263"/>
      <c r="E7" s="263"/>
      <c r="F7" s="263"/>
      <c r="G7" s="263"/>
      <c r="H7" s="263"/>
      <c r="I7" s="49"/>
      <c r="J7" s="49"/>
    </row>
    <row r="8" spans="1:14" s="4" customFormat="1" ht="13.5" customHeight="1" x14ac:dyDescent="0.2">
      <c r="A8" s="236"/>
      <c r="B8" s="263"/>
      <c r="C8" s="263"/>
      <c r="D8" s="263"/>
      <c r="E8" s="263"/>
      <c r="F8" s="263"/>
      <c r="G8" s="263"/>
      <c r="H8" s="263"/>
    </row>
    <row r="9" spans="1:14" ht="27" customHeight="1" x14ac:dyDescent="0.25">
      <c r="A9" s="268" t="s">
        <v>13</v>
      </c>
      <c r="B9" s="268" t="s">
        <v>98</v>
      </c>
      <c r="C9" s="268" t="s">
        <v>211</v>
      </c>
      <c r="D9" s="268" t="s">
        <v>100</v>
      </c>
      <c r="E9" s="269" t="s">
        <v>263</v>
      </c>
      <c r="F9" s="266" t="s">
        <v>102</v>
      </c>
      <c r="G9" s="267"/>
      <c r="H9" s="269" t="s">
        <v>264</v>
      </c>
      <c r="I9" s="266" t="s">
        <v>265</v>
      </c>
      <c r="J9" s="267"/>
      <c r="M9" s="12"/>
      <c r="N9" s="12"/>
    </row>
    <row r="10" spans="1:14" ht="28.5" customHeight="1" x14ac:dyDescent="0.25">
      <c r="A10" s="268"/>
      <c r="B10" s="268"/>
      <c r="C10" s="268"/>
      <c r="D10" s="268"/>
      <c r="E10" s="270"/>
      <c r="F10" s="2" t="s">
        <v>266</v>
      </c>
      <c r="G10" s="2" t="s">
        <v>104</v>
      </c>
      <c r="H10" s="270"/>
      <c r="I10" s="2" t="s">
        <v>266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9">
        <v>9</v>
      </c>
      <c r="J11" s="189">
        <v>10</v>
      </c>
      <c r="M11" s="12"/>
      <c r="N11" s="12"/>
    </row>
    <row r="12" spans="1:14" x14ac:dyDescent="0.25">
      <c r="A12" s="2"/>
      <c r="B12" s="275" t="s">
        <v>267</v>
      </c>
      <c r="C12" s="271"/>
      <c r="D12" s="268"/>
      <c r="E12" s="272"/>
      <c r="F12" s="273"/>
      <c r="G12" s="273"/>
      <c r="H12" s="274"/>
      <c r="I12" s="192"/>
      <c r="J12" s="192"/>
    </row>
    <row r="13" spans="1:14" ht="25.5" customHeight="1" x14ac:dyDescent="0.25">
      <c r="A13" s="2">
        <v>1</v>
      </c>
      <c r="B13" s="174" t="s">
        <v>108</v>
      </c>
      <c r="C13" s="8" t="s">
        <v>268</v>
      </c>
      <c r="D13" s="2" t="s">
        <v>123</v>
      </c>
      <c r="E13" s="179">
        <f>G13/F13</f>
        <v>457.92723492723002</v>
      </c>
      <c r="F13" s="32">
        <v>9.6199999999999992</v>
      </c>
      <c r="G13" s="32">
        <v>4405.26</v>
      </c>
      <c r="H13" s="193">
        <f>G13/G16</f>
        <v>0.41434518513223001</v>
      </c>
      <c r="I13" s="32">
        <f>ФОТр.тек.!E13</f>
        <v>444.39870291576</v>
      </c>
      <c r="J13" s="32">
        <f>ROUND(I13*E13,2)</f>
        <v>203502.27</v>
      </c>
    </row>
    <row r="14" spans="1:14" x14ac:dyDescent="0.25">
      <c r="A14" s="2">
        <v>2</v>
      </c>
      <c r="B14" s="174" t="s">
        <v>112</v>
      </c>
      <c r="C14" s="8" t="s">
        <v>113</v>
      </c>
      <c r="D14" s="2" t="s">
        <v>123</v>
      </c>
      <c r="E14" s="179">
        <f>G14/F14</f>
        <v>210.50032278890001</v>
      </c>
      <c r="F14" s="32">
        <v>15.49</v>
      </c>
      <c r="G14" s="32">
        <v>3260.65</v>
      </c>
      <c r="H14" s="193">
        <f>G14/G16</f>
        <v>0.30668669452005998</v>
      </c>
      <c r="I14" s="32">
        <f>ФОТр.тек.!E21</f>
        <v>713.02776960364997</v>
      </c>
      <c r="J14" s="32">
        <f>ROUND(I14*E14,2)</f>
        <v>150092.57999999999</v>
      </c>
    </row>
    <row r="15" spans="1:14" x14ac:dyDescent="0.25">
      <c r="A15" s="2">
        <v>3</v>
      </c>
      <c r="B15" s="174" t="s">
        <v>115</v>
      </c>
      <c r="C15" s="8" t="s">
        <v>116</v>
      </c>
      <c r="D15" s="2" t="s">
        <v>123</v>
      </c>
      <c r="E15" s="179">
        <f>G15/F15</f>
        <v>210.50035486159999</v>
      </c>
      <c r="F15" s="32">
        <v>14.09</v>
      </c>
      <c r="G15" s="32">
        <v>2965.95</v>
      </c>
      <c r="H15" s="193">
        <f>G15/G16</f>
        <v>0.27896812034771001</v>
      </c>
      <c r="I15" s="32">
        <f>ФОТр.тек.!E29</f>
        <v>650.01601322007002</v>
      </c>
      <c r="J15" s="32">
        <f>ROUND(I15*E15,2)</f>
        <v>136828.6</v>
      </c>
    </row>
    <row r="16" spans="1:14" s="12" customFormat="1" ht="25.5" customHeight="1" x14ac:dyDescent="0.2">
      <c r="A16" s="2"/>
      <c r="B16" s="2"/>
      <c r="C16" s="104" t="s">
        <v>269</v>
      </c>
      <c r="D16" s="2" t="s">
        <v>123</v>
      </c>
      <c r="E16" s="179">
        <f>SUM(E13:E15)</f>
        <v>878.92791257774002</v>
      </c>
      <c r="F16" s="32"/>
      <c r="G16" s="32">
        <f>SUM(G13:G15)</f>
        <v>10631.86</v>
      </c>
      <c r="H16" s="191">
        <v>1</v>
      </c>
      <c r="I16" s="192"/>
      <c r="J16" s="32">
        <f>SUM(J13:J15)</f>
        <v>490423.45</v>
      </c>
    </row>
    <row r="17" spans="1:10" s="12" customFormat="1" ht="14.25" customHeight="1" x14ac:dyDescent="0.2">
      <c r="A17" s="2"/>
      <c r="B17" s="271" t="s">
        <v>124</v>
      </c>
      <c r="C17" s="271"/>
      <c r="D17" s="268"/>
      <c r="E17" s="272"/>
      <c r="F17" s="273"/>
      <c r="G17" s="273"/>
      <c r="H17" s="274"/>
      <c r="I17" s="192"/>
      <c r="J17" s="192"/>
    </row>
    <row r="18" spans="1:10" s="12" customFormat="1" ht="14.25" customHeight="1" x14ac:dyDescent="0.2">
      <c r="A18" s="2">
        <v>4</v>
      </c>
      <c r="B18" s="2">
        <v>2</v>
      </c>
      <c r="C18" s="8" t="s">
        <v>124</v>
      </c>
      <c r="D18" s="2" t="s">
        <v>123</v>
      </c>
      <c r="E18" s="179">
        <v>77.122200000000007</v>
      </c>
      <c r="F18" s="32">
        <f>G18/E18</f>
        <v>12.55</v>
      </c>
      <c r="G18" s="32">
        <f>'Прил. 3'!H19</f>
        <v>967.88360999999998</v>
      </c>
      <c r="H18" s="191">
        <v>1</v>
      </c>
      <c r="I18" s="32">
        <f>ROUND(F18*'Прил. 10'!D11,2)</f>
        <v>555.84</v>
      </c>
      <c r="J18" s="32">
        <f>ROUND(I18*E18,2)</f>
        <v>42867.6</v>
      </c>
    </row>
    <row r="19" spans="1:10" s="12" customFormat="1" ht="14.25" customHeight="1" x14ac:dyDescent="0.2">
      <c r="A19" s="2"/>
      <c r="B19" s="275" t="s">
        <v>125</v>
      </c>
      <c r="C19" s="271"/>
      <c r="D19" s="268"/>
      <c r="E19" s="272"/>
      <c r="F19" s="273"/>
      <c r="G19" s="273"/>
      <c r="H19" s="274"/>
      <c r="I19" s="192"/>
      <c r="J19" s="192"/>
    </row>
    <row r="20" spans="1:10" s="12" customFormat="1" ht="14.25" customHeight="1" x14ac:dyDescent="0.2">
      <c r="A20" s="2"/>
      <c r="B20" s="271" t="s">
        <v>270</v>
      </c>
      <c r="C20" s="271"/>
      <c r="D20" s="268"/>
      <c r="E20" s="272"/>
      <c r="F20" s="273"/>
      <c r="G20" s="273"/>
      <c r="H20" s="274"/>
      <c r="I20" s="192"/>
      <c r="J20" s="192"/>
    </row>
    <row r="21" spans="1:10" s="12" customFormat="1" ht="25.5" customHeight="1" x14ac:dyDescent="0.2">
      <c r="A21" s="2">
        <v>5</v>
      </c>
      <c r="B21" s="174" t="s">
        <v>126</v>
      </c>
      <c r="C21" s="8" t="s">
        <v>127</v>
      </c>
      <c r="D21" s="2" t="s">
        <v>128</v>
      </c>
      <c r="E21" s="179">
        <v>16.5</v>
      </c>
      <c r="F21" s="32">
        <v>287.99</v>
      </c>
      <c r="G21" s="32">
        <f>ROUND(E21*F21,2)</f>
        <v>4751.84</v>
      </c>
      <c r="H21" s="193">
        <f>G21/$G$35</f>
        <v>0.48110642003058002</v>
      </c>
      <c r="I21" s="32">
        <f>ROUND(F21*'Прил. 10'!$D$12,2)</f>
        <v>3879.23</v>
      </c>
      <c r="J21" s="32">
        <f>ROUND(I21*E21,2)</f>
        <v>64007.3</v>
      </c>
    </row>
    <row r="22" spans="1:10" s="12" customFormat="1" ht="25.5" customHeight="1" x14ac:dyDescent="0.2">
      <c r="A22" s="2">
        <v>6</v>
      </c>
      <c r="B22" s="174" t="s">
        <v>129</v>
      </c>
      <c r="C22" s="8" t="s">
        <v>130</v>
      </c>
      <c r="D22" s="2" t="s">
        <v>128</v>
      </c>
      <c r="E22" s="179">
        <v>16.5</v>
      </c>
      <c r="F22" s="32">
        <v>131.44</v>
      </c>
      <c r="G22" s="32">
        <f>ROUND(E22*F22,2)</f>
        <v>2168.7600000000002</v>
      </c>
      <c r="H22" s="193">
        <f>G22/$G$35</f>
        <v>0.21957901770798999</v>
      </c>
      <c r="I22" s="32">
        <f>ROUND(F22*'Прил. 10'!$D$12,2)</f>
        <v>1770.5</v>
      </c>
      <c r="J22" s="32">
        <f>ROUND(I22*E22,2)</f>
        <v>29213.25</v>
      </c>
    </row>
    <row r="23" spans="1:10" s="12" customFormat="1" ht="25.5" customHeight="1" x14ac:dyDescent="0.2">
      <c r="A23" s="2">
        <v>7</v>
      </c>
      <c r="B23" s="174" t="s">
        <v>131</v>
      </c>
      <c r="C23" s="8" t="s">
        <v>132</v>
      </c>
      <c r="D23" s="2" t="s">
        <v>128</v>
      </c>
      <c r="E23" s="179">
        <v>14.85</v>
      </c>
      <c r="F23" s="32">
        <v>111.99</v>
      </c>
      <c r="G23" s="32">
        <f>ROUND(E23*F23,2)</f>
        <v>1663.05</v>
      </c>
      <c r="H23" s="193">
        <f>G23/$G$35</f>
        <v>0.16837772985450999</v>
      </c>
      <c r="I23" s="32">
        <f>ROUND(F23*'Прил. 10'!$D$12,2)</f>
        <v>1508.51</v>
      </c>
      <c r="J23" s="32">
        <f>ROUND(I23*E23,2)</f>
        <v>22401.37</v>
      </c>
    </row>
    <row r="24" spans="1:10" s="12" customFormat="1" ht="14.25" customHeight="1" x14ac:dyDescent="0.2">
      <c r="A24" s="2"/>
      <c r="B24" s="174"/>
      <c r="C24" s="8" t="s">
        <v>271</v>
      </c>
      <c r="D24" s="2"/>
      <c r="E24" s="179"/>
      <c r="F24" s="32"/>
      <c r="G24" s="32">
        <f>SUM(G21:G23)</f>
        <v>8583.65</v>
      </c>
      <c r="H24" s="193">
        <f>G24/G35</f>
        <v>0.86906316759307001</v>
      </c>
      <c r="I24" s="32"/>
      <c r="J24" s="32">
        <f>SUM(J21:J23)</f>
        <v>115621.92</v>
      </c>
    </row>
    <row r="25" spans="1:10" s="12" customFormat="1" ht="25.5" customHeight="1" outlineLevel="1" x14ac:dyDescent="0.2">
      <c r="A25" s="2">
        <v>8</v>
      </c>
      <c r="B25" s="174" t="s">
        <v>133</v>
      </c>
      <c r="C25" s="8" t="s">
        <v>134</v>
      </c>
      <c r="D25" s="2" t="s">
        <v>128</v>
      </c>
      <c r="E25" s="179">
        <v>11.25</v>
      </c>
      <c r="F25" s="32">
        <v>65.709999999999994</v>
      </c>
      <c r="G25" s="32">
        <f t="shared" ref="G25:G33" si="0">ROUND(E25*F25,2)</f>
        <v>739.24</v>
      </c>
      <c r="H25" s="193">
        <f t="shared" ref="H25:H33" si="1">G25/$G$35</f>
        <v>7.4845346211868002E-2</v>
      </c>
      <c r="I25" s="32">
        <f>ROUND(F25*'Прил. 10'!$D$12,2)</f>
        <v>885.11</v>
      </c>
      <c r="J25" s="32">
        <f t="shared" ref="J25:J33" si="2">ROUND(I25*E25,2)</f>
        <v>9957.49</v>
      </c>
    </row>
    <row r="26" spans="1:10" s="12" customFormat="1" ht="25.5" customHeight="1" outlineLevel="1" x14ac:dyDescent="0.2">
      <c r="A26" s="2">
        <v>9</v>
      </c>
      <c r="B26" s="174" t="s">
        <v>135</v>
      </c>
      <c r="C26" s="8" t="s">
        <v>136</v>
      </c>
      <c r="D26" s="2" t="s">
        <v>128</v>
      </c>
      <c r="E26" s="179">
        <v>16.43</v>
      </c>
      <c r="F26" s="32">
        <v>29.6</v>
      </c>
      <c r="G26" s="32">
        <f t="shared" si="0"/>
        <v>486.33</v>
      </c>
      <c r="H26" s="193">
        <f t="shared" si="1"/>
        <v>4.9239133736294002E-2</v>
      </c>
      <c r="I26" s="32">
        <f>ROUND(F26*'Прил. 10'!$D$12,2)</f>
        <v>398.71</v>
      </c>
      <c r="J26" s="32">
        <f t="shared" si="2"/>
        <v>6550.81</v>
      </c>
    </row>
    <row r="27" spans="1:10" s="12" customFormat="1" ht="25.5" customHeight="1" outlineLevel="1" x14ac:dyDescent="0.2">
      <c r="A27" s="2">
        <v>10</v>
      </c>
      <c r="B27" s="174" t="s">
        <v>137</v>
      </c>
      <c r="C27" s="8" t="s">
        <v>138</v>
      </c>
      <c r="D27" s="2" t="s">
        <v>128</v>
      </c>
      <c r="E27" s="179">
        <v>3.74</v>
      </c>
      <c r="F27" s="32">
        <v>8.1</v>
      </c>
      <c r="G27" s="32">
        <f t="shared" si="0"/>
        <v>30.29</v>
      </c>
      <c r="H27" s="193">
        <f t="shared" si="1"/>
        <v>3.0667517135942999E-3</v>
      </c>
      <c r="I27" s="32">
        <f>ROUND(F27*'Прил. 10'!$D$12,2)</f>
        <v>109.11</v>
      </c>
      <c r="J27" s="32">
        <f t="shared" si="2"/>
        <v>408.07</v>
      </c>
    </row>
    <row r="28" spans="1:10" s="12" customFormat="1" ht="25.5" customHeight="1" outlineLevel="1" x14ac:dyDescent="0.2">
      <c r="A28" s="2">
        <v>11</v>
      </c>
      <c r="B28" s="174" t="s">
        <v>139</v>
      </c>
      <c r="C28" s="8" t="s">
        <v>140</v>
      </c>
      <c r="D28" s="2" t="s">
        <v>128</v>
      </c>
      <c r="E28" s="179">
        <v>33</v>
      </c>
      <c r="F28" s="32">
        <v>0.9</v>
      </c>
      <c r="G28" s="32">
        <f t="shared" si="0"/>
        <v>29.7</v>
      </c>
      <c r="H28" s="193">
        <f t="shared" si="1"/>
        <v>3.0070163715335998E-3</v>
      </c>
      <c r="I28" s="32">
        <f>ROUND(F28*'Прил. 10'!$D$12,2)</f>
        <v>12.12</v>
      </c>
      <c r="J28" s="32">
        <f t="shared" si="2"/>
        <v>399.96</v>
      </c>
    </row>
    <row r="29" spans="1:10" s="12" customFormat="1" ht="25.5" customHeight="1" outlineLevel="1" x14ac:dyDescent="0.2">
      <c r="A29" s="2">
        <v>12</v>
      </c>
      <c r="B29" s="174" t="s">
        <v>141</v>
      </c>
      <c r="C29" s="8" t="s">
        <v>142</v>
      </c>
      <c r="D29" s="2" t="s">
        <v>128</v>
      </c>
      <c r="E29" s="179">
        <v>0.05</v>
      </c>
      <c r="F29" s="32">
        <v>70</v>
      </c>
      <c r="G29" s="32">
        <f t="shared" si="0"/>
        <v>3.5</v>
      </c>
      <c r="H29" s="193">
        <f t="shared" si="1"/>
        <v>3.5436219866556999E-4</v>
      </c>
      <c r="I29" s="32">
        <f>ROUND(F29*'Прил. 10'!$D$12,2)</f>
        <v>942.9</v>
      </c>
      <c r="J29" s="32">
        <f t="shared" si="2"/>
        <v>47.15</v>
      </c>
    </row>
    <row r="30" spans="1:10" s="12" customFormat="1" ht="25.5" customHeight="1" outlineLevel="1" x14ac:dyDescent="0.2">
      <c r="A30" s="2">
        <v>13</v>
      </c>
      <c r="B30" s="174" t="s">
        <v>143</v>
      </c>
      <c r="C30" s="8" t="s">
        <v>144</v>
      </c>
      <c r="D30" s="2" t="s">
        <v>128</v>
      </c>
      <c r="E30" s="179">
        <v>0.05</v>
      </c>
      <c r="F30" s="32">
        <v>56.24</v>
      </c>
      <c r="G30" s="32">
        <f t="shared" si="0"/>
        <v>2.81</v>
      </c>
      <c r="H30" s="193">
        <f t="shared" si="1"/>
        <v>2.8450222235721999E-4</v>
      </c>
      <c r="I30" s="32">
        <f>ROUND(F30*'Прил. 10'!$D$12,2)</f>
        <v>757.55</v>
      </c>
      <c r="J30" s="32">
        <f t="shared" si="2"/>
        <v>37.880000000000003</v>
      </c>
    </row>
    <row r="31" spans="1:10" s="12" customFormat="1" ht="25.5" customHeight="1" outlineLevel="1" x14ac:dyDescent="0.2">
      <c r="A31" s="2">
        <v>14</v>
      </c>
      <c r="B31" s="174" t="s">
        <v>145</v>
      </c>
      <c r="C31" s="8" t="s">
        <v>146</v>
      </c>
      <c r="D31" s="2" t="s">
        <v>128</v>
      </c>
      <c r="E31" s="179">
        <v>0.05</v>
      </c>
      <c r="F31" s="32">
        <v>16.920000000000002</v>
      </c>
      <c r="G31" s="32">
        <f t="shared" si="0"/>
        <v>0.85</v>
      </c>
      <c r="H31" s="193">
        <f t="shared" si="1"/>
        <v>8.6059391104495995E-5</v>
      </c>
      <c r="I31" s="32">
        <f>ROUND(F31*'Прил. 10'!$D$12,2)</f>
        <v>227.91</v>
      </c>
      <c r="J31" s="32">
        <f t="shared" si="2"/>
        <v>11.4</v>
      </c>
    </row>
    <row r="32" spans="1:10" s="12" customFormat="1" ht="38.25" customHeight="1" outlineLevel="1" x14ac:dyDescent="0.2">
      <c r="A32" s="2">
        <v>15</v>
      </c>
      <c r="B32" s="174" t="s">
        <v>147</v>
      </c>
      <c r="C32" s="8" t="s">
        <v>148</v>
      </c>
      <c r="D32" s="2" t="s">
        <v>128</v>
      </c>
      <c r="E32" s="179">
        <v>0.06</v>
      </c>
      <c r="F32" s="32">
        <v>6.82</v>
      </c>
      <c r="G32" s="32">
        <f t="shared" si="0"/>
        <v>0.41</v>
      </c>
      <c r="H32" s="193">
        <f t="shared" si="1"/>
        <v>4.151100041511E-5</v>
      </c>
      <c r="I32" s="32">
        <f>ROUND(F32*'Прил. 10'!$D$12,2)</f>
        <v>91.87</v>
      </c>
      <c r="J32" s="32">
        <f t="shared" si="2"/>
        <v>5.51</v>
      </c>
    </row>
    <row r="33" spans="1:10" s="12" customFormat="1" ht="14.25" customHeight="1" outlineLevel="1" x14ac:dyDescent="0.2">
      <c r="A33" s="2">
        <v>16</v>
      </c>
      <c r="B33" s="174" t="s">
        <v>149</v>
      </c>
      <c r="C33" s="8" t="s">
        <v>150</v>
      </c>
      <c r="D33" s="2" t="s">
        <v>128</v>
      </c>
      <c r="E33" s="179">
        <v>0.05</v>
      </c>
      <c r="F33" s="32">
        <v>2.36</v>
      </c>
      <c r="G33" s="32">
        <f t="shared" si="0"/>
        <v>0.12</v>
      </c>
      <c r="H33" s="193">
        <f t="shared" si="1"/>
        <v>1.2149561097105E-5</v>
      </c>
      <c r="I33" s="32">
        <f>ROUND(F33*'Прил. 10'!$D$12,2)</f>
        <v>31.79</v>
      </c>
      <c r="J33" s="32">
        <f t="shared" si="2"/>
        <v>1.59</v>
      </c>
    </row>
    <row r="34" spans="1:10" s="12" customFormat="1" ht="14.25" customHeight="1" x14ac:dyDescent="0.2">
      <c r="A34" s="2"/>
      <c r="B34" s="2"/>
      <c r="C34" s="8" t="s">
        <v>272</v>
      </c>
      <c r="D34" s="2"/>
      <c r="E34" s="190"/>
      <c r="F34" s="32"/>
      <c r="G34" s="194">
        <f>SUM(G25:G33)</f>
        <v>1293.25</v>
      </c>
      <c r="H34" s="193">
        <f>G34/G35</f>
        <v>0.13093683240692999</v>
      </c>
      <c r="I34" s="32"/>
      <c r="J34" s="32">
        <f>SUM(J30:J33)</f>
        <v>56.38</v>
      </c>
    </row>
    <row r="35" spans="1:10" s="12" customFormat="1" ht="25.5" customHeight="1" x14ac:dyDescent="0.2">
      <c r="A35" s="2"/>
      <c r="B35" s="2"/>
      <c r="C35" s="104" t="s">
        <v>273</v>
      </c>
      <c r="D35" s="2"/>
      <c r="E35" s="190"/>
      <c r="F35" s="32"/>
      <c r="G35" s="32">
        <f>G34+G24</f>
        <v>9876.9</v>
      </c>
      <c r="H35" s="195">
        <v>1</v>
      </c>
      <c r="I35" s="196"/>
      <c r="J35" s="197">
        <f>J34+J24</f>
        <v>115678.3</v>
      </c>
    </row>
    <row r="36" spans="1:10" s="12" customFormat="1" ht="14.25" customHeight="1" x14ac:dyDescent="0.2">
      <c r="A36" s="2"/>
      <c r="B36" s="275" t="s">
        <v>43</v>
      </c>
      <c r="C36" s="275"/>
      <c r="D36" s="276"/>
      <c r="E36" s="277"/>
      <c r="F36" s="278"/>
      <c r="G36" s="278"/>
      <c r="H36" s="279"/>
      <c r="I36" s="192"/>
      <c r="J36" s="192"/>
    </row>
    <row r="37" spans="1:10" x14ac:dyDescent="0.25">
      <c r="A37" s="2"/>
      <c r="B37" s="271" t="s">
        <v>274</v>
      </c>
      <c r="C37" s="271"/>
      <c r="D37" s="268"/>
      <c r="E37" s="272"/>
      <c r="F37" s="273"/>
      <c r="G37" s="273"/>
      <c r="H37" s="274"/>
      <c r="I37" s="192"/>
      <c r="J37" s="192"/>
    </row>
    <row r="38" spans="1:10" ht="25.5" customHeight="1" x14ac:dyDescent="0.25">
      <c r="A38" s="2">
        <v>17</v>
      </c>
      <c r="B38" s="174" t="s">
        <v>275</v>
      </c>
      <c r="C38" s="8" t="s">
        <v>152</v>
      </c>
      <c r="D38" s="2" t="s">
        <v>153</v>
      </c>
      <c r="E38" s="185">
        <v>3</v>
      </c>
      <c r="F38" s="32">
        <f>ROUND(I38/'Прил. 10'!$D$14,2)</f>
        <v>417041.01</v>
      </c>
      <c r="G38" s="32">
        <f>F38*E38</f>
        <v>1251123.03</v>
      </c>
      <c r="H38" s="191">
        <f t="shared" ref="H38:H43" si="3">G38/$G$43</f>
        <v>0.99690023200391997</v>
      </c>
      <c r="I38" s="32">
        <v>2610676.7400000002</v>
      </c>
      <c r="J38" s="198">
        <f>ROUND(I38*E38,2)</f>
        <v>7832030.2199999997</v>
      </c>
    </row>
    <row r="39" spans="1:10" x14ac:dyDescent="0.25">
      <c r="A39" s="2"/>
      <c r="B39" s="2"/>
      <c r="C39" s="8" t="s">
        <v>276</v>
      </c>
      <c r="D39" s="2"/>
      <c r="E39" s="185"/>
      <c r="F39" s="103"/>
      <c r="G39" s="32">
        <f>G38</f>
        <v>1251123.03</v>
      </c>
      <c r="H39" s="191">
        <f t="shared" si="3"/>
        <v>0.99690023200391997</v>
      </c>
      <c r="I39" s="194"/>
      <c r="J39" s="32">
        <f>J38</f>
        <v>7832030.2199999997</v>
      </c>
    </row>
    <row r="40" spans="1:10" outlineLevel="1" x14ac:dyDescent="0.25">
      <c r="A40" s="2">
        <v>18</v>
      </c>
      <c r="B40" s="151" t="s">
        <v>151</v>
      </c>
      <c r="C40" s="8" t="s">
        <v>154</v>
      </c>
      <c r="D40" s="2" t="s">
        <v>155</v>
      </c>
      <c r="E40" s="185">
        <v>1</v>
      </c>
      <c r="F40" s="32">
        <v>2552.88</v>
      </c>
      <c r="G40" s="32">
        <f>F40*E40</f>
        <v>2552.88</v>
      </c>
      <c r="H40" s="191">
        <f t="shared" si="3"/>
        <v>2.0341458060109002E-3</v>
      </c>
      <c r="I40" s="32">
        <f>ROUND(F40*'Прил. 10'!$D$14,2)</f>
        <v>15981.03</v>
      </c>
      <c r="J40" s="198">
        <f>ROUND(I40*E40,2)</f>
        <v>15981.03</v>
      </c>
    </row>
    <row r="41" spans="1:10" outlineLevel="1" x14ac:dyDescent="0.25">
      <c r="A41" s="2">
        <v>19</v>
      </c>
      <c r="B41" s="151" t="s">
        <v>151</v>
      </c>
      <c r="C41" s="8" t="s">
        <v>156</v>
      </c>
      <c r="D41" s="2" t="s">
        <v>155</v>
      </c>
      <c r="E41" s="185">
        <v>1</v>
      </c>
      <c r="F41" s="32">
        <v>1337.37</v>
      </c>
      <c r="G41" s="32">
        <f>F41*E41</f>
        <v>1337.37</v>
      </c>
      <c r="H41" s="191">
        <f t="shared" si="3"/>
        <v>1.0656221900696E-3</v>
      </c>
      <c r="I41" s="32">
        <f>ROUND(F41*'Прил. 10'!$D$14,2)</f>
        <v>8371.94</v>
      </c>
      <c r="J41" s="198">
        <f>ROUND(I41*E41,2)</f>
        <v>8371.94</v>
      </c>
    </row>
    <row r="42" spans="1:10" x14ac:dyDescent="0.25">
      <c r="A42" s="2"/>
      <c r="B42" s="2"/>
      <c r="C42" s="8" t="s">
        <v>277</v>
      </c>
      <c r="D42" s="2"/>
      <c r="E42" s="179"/>
      <c r="F42" s="103"/>
      <c r="G42" s="32">
        <f>SUM(G40:G41)</f>
        <v>3890.25</v>
      </c>
      <c r="H42" s="191">
        <f t="shared" si="3"/>
        <v>3.0997679960805E-3</v>
      </c>
      <c r="I42" s="194"/>
      <c r="J42" s="32">
        <f>SUM(J40:J41)</f>
        <v>24352.97</v>
      </c>
    </row>
    <row r="43" spans="1:10" x14ac:dyDescent="0.25">
      <c r="A43" s="2"/>
      <c r="B43" s="2"/>
      <c r="C43" s="104" t="s">
        <v>278</v>
      </c>
      <c r="D43" s="2"/>
      <c r="E43" s="190"/>
      <c r="F43" s="103"/>
      <c r="G43" s="32">
        <f>G39+G42</f>
        <v>1255013.28</v>
      </c>
      <c r="H43" s="191">
        <f t="shared" si="3"/>
        <v>1</v>
      </c>
      <c r="I43" s="194"/>
      <c r="J43" s="32">
        <f>J42+J39</f>
        <v>7856383.1900000004</v>
      </c>
    </row>
    <row r="44" spans="1:10" ht="25.5" customHeight="1" x14ac:dyDescent="0.25">
      <c r="A44" s="2"/>
      <c r="B44" s="2"/>
      <c r="C44" s="8" t="s">
        <v>279</v>
      </c>
      <c r="D44" s="2"/>
      <c r="E44" s="199"/>
      <c r="F44" s="103"/>
      <c r="G44" s="32">
        <f>G43</f>
        <v>1255013.28</v>
      </c>
      <c r="H44" s="191"/>
      <c r="I44" s="194"/>
      <c r="J44" s="32">
        <f>J43</f>
        <v>7856383.1900000004</v>
      </c>
    </row>
    <row r="45" spans="1:10" s="12" customFormat="1" ht="14.25" customHeight="1" x14ac:dyDescent="0.2">
      <c r="A45" s="2"/>
      <c r="B45" s="275" t="s">
        <v>157</v>
      </c>
      <c r="C45" s="275"/>
      <c r="D45" s="276"/>
      <c r="E45" s="277"/>
      <c r="F45" s="278"/>
      <c r="G45" s="278"/>
      <c r="H45" s="279"/>
      <c r="I45" s="192"/>
      <c r="J45" s="192"/>
    </row>
    <row r="46" spans="1:10" s="12" customFormat="1" ht="14.25" customHeight="1" x14ac:dyDescent="0.2">
      <c r="A46" s="2"/>
      <c r="B46" s="271" t="s">
        <v>280</v>
      </c>
      <c r="C46" s="271"/>
      <c r="D46" s="268"/>
      <c r="E46" s="272"/>
      <c r="F46" s="273"/>
      <c r="G46" s="273"/>
      <c r="H46" s="274"/>
      <c r="I46" s="192"/>
      <c r="J46" s="192"/>
    </row>
    <row r="47" spans="1:10" s="12" customFormat="1" ht="25.5" customHeight="1" x14ac:dyDescent="0.2">
      <c r="A47" s="2">
        <v>20</v>
      </c>
      <c r="B47" s="174" t="s">
        <v>158</v>
      </c>
      <c r="C47" s="8" t="s">
        <v>159</v>
      </c>
      <c r="D47" s="2" t="s">
        <v>160</v>
      </c>
      <c r="E47" s="179">
        <v>0.12</v>
      </c>
      <c r="F47" s="32">
        <v>35576</v>
      </c>
      <c r="G47" s="32">
        <f>ROUND(E47*F47,2)</f>
        <v>4269.12</v>
      </c>
      <c r="H47" s="193">
        <f t="shared" ref="H47:H68" si="4">G47/$G$70</f>
        <v>0.35045354917622001</v>
      </c>
      <c r="I47" s="32">
        <f>ROUND(F47*'Прил. 10'!$D$13,2)</f>
        <v>286031.03999999998</v>
      </c>
      <c r="J47" s="32">
        <f>ROUND(I47*E47,2)</f>
        <v>34323.72</v>
      </c>
    </row>
    <row r="48" spans="1:10" s="12" customFormat="1" ht="25.5" customHeight="1" x14ac:dyDescent="0.2">
      <c r="A48" s="2">
        <v>21</v>
      </c>
      <c r="B48" s="174" t="s">
        <v>161</v>
      </c>
      <c r="C48" s="8" t="s">
        <v>162</v>
      </c>
      <c r="D48" s="2" t="s">
        <v>163</v>
      </c>
      <c r="E48" s="179">
        <f>0.013*3*1</f>
        <v>3.9E-2</v>
      </c>
      <c r="F48" s="32">
        <v>98440.41</v>
      </c>
      <c r="G48" s="32">
        <f>ROUND(E48*F48,2)</f>
        <v>3839.18</v>
      </c>
      <c r="H48" s="193">
        <f t="shared" si="4"/>
        <v>0.31515962468293002</v>
      </c>
      <c r="I48" s="32">
        <f>ROUND(F48*'Прил. 10'!$D$13,2)</f>
        <v>791460.9</v>
      </c>
      <c r="J48" s="32">
        <f>ROUND(I48*E48,2)</f>
        <v>30866.98</v>
      </c>
    </row>
    <row r="49" spans="1:10" s="12" customFormat="1" ht="14.25" customHeight="1" x14ac:dyDescent="0.2">
      <c r="A49" s="2">
        <v>22</v>
      </c>
      <c r="B49" s="174" t="s">
        <v>164</v>
      </c>
      <c r="C49" s="8" t="s">
        <v>165</v>
      </c>
      <c r="D49" s="2" t="s">
        <v>163</v>
      </c>
      <c r="E49" s="179">
        <f>0.02*3*1</f>
        <v>0.06</v>
      </c>
      <c r="F49" s="32">
        <v>38348.22</v>
      </c>
      <c r="G49" s="32">
        <f>ROUND(E49*F49,2)</f>
        <v>2300.89</v>
      </c>
      <c r="H49" s="193">
        <f t="shared" si="4"/>
        <v>0.18888086227702</v>
      </c>
      <c r="I49" s="32">
        <f>ROUND(F49*'Прил. 10'!$D$13,2)</f>
        <v>308319.69</v>
      </c>
      <c r="J49" s="32">
        <f>ROUND(I49*E49,2)</f>
        <v>18499.18</v>
      </c>
    </row>
    <row r="50" spans="1:10" s="12" customFormat="1" ht="14.25" customHeight="1" x14ac:dyDescent="0.2">
      <c r="A50" s="2"/>
      <c r="B50" s="174"/>
      <c r="C50" s="8" t="s">
        <v>281</v>
      </c>
      <c r="D50" s="2"/>
      <c r="E50" s="179"/>
      <c r="F50" s="32"/>
      <c r="G50" s="32">
        <f>SUM(G47:G49)</f>
        <v>10409.19</v>
      </c>
      <c r="H50" s="193">
        <f t="shared" si="4"/>
        <v>0.85449403613617003</v>
      </c>
      <c r="I50" s="32"/>
      <c r="J50" s="32">
        <f>SUM(J47:J49)</f>
        <v>83689.88</v>
      </c>
    </row>
    <row r="51" spans="1:10" s="12" customFormat="1" ht="38.25" customHeight="1" outlineLevel="1" x14ac:dyDescent="0.2">
      <c r="A51" s="2">
        <v>23</v>
      </c>
      <c r="B51" s="174" t="s">
        <v>166</v>
      </c>
      <c r="C51" s="8" t="s">
        <v>167</v>
      </c>
      <c r="D51" s="2" t="s">
        <v>168</v>
      </c>
      <c r="E51" s="179">
        <f>0.28*1</f>
        <v>0.28000000000000003</v>
      </c>
      <c r="F51" s="32">
        <v>1837.28</v>
      </c>
      <c r="G51" s="32">
        <f t="shared" ref="G51:G68" si="5">ROUND(E51*F51,2)</f>
        <v>514.44000000000005</v>
      </c>
      <c r="H51" s="193">
        <f t="shared" si="4"/>
        <v>4.2230558953183998E-2</v>
      </c>
      <c r="I51" s="32">
        <f>ROUND(F51*'Прил. 10'!$D$13,2)</f>
        <v>14771.73</v>
      </c>
      <c r="J51" s="32">
        <f t="shared" ref="J51:J68" si="6">ROUND(I51*E51,2)</f>
        <v>4136.08</v>
      </c>
    </row>
    <row r="52" spans="1:10" s="12" customFormat="1" ht="38.25" customHeight="1" outlineLevel="1" x14ac:dyDescent="0.2">
      <c r="A52" s="2">
        <v>24</v>
      </c>
      <c r="B52" s="174" t="s">
        <v>169</v>
      </c>
      <c r="C52" s="8" t="s">
        <v>170</v>
      </c>
      <c r="D52" s="2" t="s">
        <v>171</v>
      </c>
      <c r="E52" s="179">
        <v>8.8300000000000003E-2</v>
      </c>
      <c r="F52" s="32">
        <v>5000</v>
      </c>
      <c r="G52" s="32">
        <f t="shared" si="5"/>
        <v>441.5</v>
      </c>
      <c r="H52" s="193">
        <f t="shared" si="4"/>
        <v>3.6242888923549002E-2</v>
      </c>
      <c r="I52" s="32">
        <f>ROUND(F52*'Прил. 10'!$D$13,2)</f>
        <v>40200</v>
      </c>
      <c r="J52" s="32">
        <f t="shared" si="6"/>
        <v>3549.66</v>
      </c>
    </row>
    <row r="53" spans="1:10" s="12" customFormat="1" ht="14.25" customHeight="1" outlineLevel="1" x14ac:dyDescent="0.2">
      <c r="A53" s="2">
        <v>25</v>
      </c>
      <c r="B53" s="174" t="s">
        <v>172</v>
      </c>
      <c r="C53" s="8" t="s">
        <v>173</v>
      </c>
      <c r="D53" s="2" t="s">
        <v>174</v>
      </c>
      <c r="E53" s="179">
        <v>4</v>
      </c>
      <c r="F53" s="32">
        <v>50</v>
      </c>
      <c r="G53" s="32">
        <f t="shared" si="5"/>
        <v>200</v>
      </c>
      <c r="H53" s="193">
        <f t="shared" si="4"/>
        <v>1.6418069727541999E-2</v>
      </c>
      <c r="I53" s="32">
        <f>ROUND(F53*'Прил. 10'!$D$13,2)</f>
        <v>402</v>
      </c>
      <c r="J53" s="32">
        <f t="shared" si="6"/>
        <v>1608</v>
      </c>
    </row>
    <row r="54" spans="1:10" s="12" customFormat="1" ht="25.5" customHeight="1" outlineLevel="1" x14ac:dyDescent="0.2">
      <c r="A54" s="2">
        <v>26</v>
      </c>
      <c r="B54" s="174" t="s">
        <v>175</v>
      </c>
      <c r="C54" s="8" t="s">
        <v>176</v>
      </c>
      <c r="D54" s="2" t="s">
        <v>168</v>
      </c>
      <c r="E54" s="179">
        <f>1.4*1*1</f>
        <v>1.4</v>
      </c>
      <c r="F54" s="32">
        <v>108.4</v>
      </c>
      <c r="G54" s="32">
        <f t="shared" si="5"/>
        <v>151.76</v>
      </c>
      <c r="H54" s="193">
        <f t="shared" si="4"/>
        <v>1.2458031309259E-2</v>
      </c>
      <c r="I54" s="32">
        <f>ROUND(F54*'Прил. 10'!$D$13,2)</f>
        <v>871.54</v>
      </c>
      <c r="J54" s="32">
        <f t="shared" si="6"/>
        <v>1220.1600000000001</v>
      </c>
    </row>
    <row r="55" spans="1:10" s="12" customFormat="1" ht="14.25" customHeight="1" outlineLevel="1" x14ac:dyDescent="0.2">
      <c r="A55" s="2">
        <v>27</v>
      </c>
      <c r="B55" s="174" t="s">
        <v>177</v>
      </c>
      <c r="C55" s="8" t="s">
        <v>178</v>
      </c>
      <c r="D55" s="2" t="s">
        <v>174</v>
      </c>
      <c r="E55" s="179">
        <v>14.4</v>
      </c>
      <c r="F55" s="32">
        <v>9.0399999999999991</v>
      </c>
      <c r="G55" s="32">
        <f t="shared" si="5"/>
        <v>130.18</v>
      </c>
      <c r="H55" s="193">
        <f t="shared" si="4"/>
        <v>1.0686521585657E-2</v>
      </c>
      <c r="I55" s="32">
        <f>ROUND(F55*'Прил. 10'!$D$13,2)</f>
        <v>72.680000000000007</v>
      </c>
      <c r="J55" s="32">
        <f t="shared" si="6"/>
        <v>1046.5899999999999</v>
      </c>
    </row>
    <row r="56" spans="1:10" s="12" customFormat="1" ht="14.25" customHeight="1" outlineLevel="1" x14ac:dyDescent="0.2">
      <c r="A56" s="2">
        <v>28</v>
      </c>
      <c r="B56" s="174" t="s">
        <v>179</v>
      </c>
      <c r="C56" s="8" t="s">
        <v>180</v>
      </c>
      <c r="D56" s="2" t="s">
        <v>174</v>
      </c>
      <c r="E56" s="179">
        <v>2.1520000000000001</v>
      </c>
      <c r="F56" s="32">
        <v>28.6</v>
      </c>
      <c r="G56" s="32">
        <f t="shared" si="5"/>
        <v>61.55</v>
      </c>
      <c r="H56" s="193">
        <f t="shared" si="4"/>
        <v>5.0526609586511E-3</v>
      </c>
      <c r="I56" s="32">
        <f>ROUND(F56*'Прил. 10'!$D$13,2)</f>
        <v>229.94</v>
      </c>
      <c r="J56" s="32">
        <f t="shared" si="6"/>
        <v>494.83</v>
      </c>
    </row>
    <row r="57" spans="1:10" s="12" customFormat="1" ht="14.25" customHeight="1" outlineLevel="1" x14ac:dyDescent="0.2">
      <c r="A57" s="2">
        <v>29</v>
      </c>
      <c r="B57" s="174" t="s">
        <v>181</v>
      </c>
      <c r="C57" s="8" t="s">
        <v>182</v>
      </c>
      <c r="D57" s="2" t="s">
        <v>171</v>
      </c>
      <c r="E57" s="179">
        <v>9.4199999999999996E-3</v>
      </c>
      <c r="F57" s="32">
        <v>6159.22</v>
      </c>
      <c r="G57" s="32">
        <f t="shared" si="5"/>
        <v>58.02</v>
      </c>
      <c r="H57" s="193">
        <f t="shared" si="4"/>
        <v>4.7628820279600002E-3</v>
      </c>
      <c r="I57" s="32">
        <f>ROUND(F57*'Прил. 10'!$D$13,2)</f>
        <v>49520.13</v>
      </c>
      <c r="J57" s="32">
        <f t="shared" si="6"/>
        <v>466.48</v>
      </c>
    </row>
    <row r="58" spans="1:10" s="12" customFormat="1" ht="25.5" customHeight="1" outlineLevel="1" x14ac:dyDescent="0.2">
      <c r="A58" s="2">
        <v>30</v>
      </c>
      <c r="B58" s="174" t="s">
        <v>183</v>
      </c>
      <c r="C58" s="8" t="s">
        <v>184</v>
      </c>
      <c r="D58" s="2" t="s">
        <v>185</v>
      </c>
      <c r="E58" s="179">
        <v>56.168500000000002</v>
      </c>
      <c r="F58" s="32">
        <v>1</v>
      </c>
      <c r="G58" s="32">
        <f t="shared" si="5"/>
        <v>56.17</v>
      </c>
      <c r="H58" s="193">
        <f t="shared" si="4"/>
        <v>4.6110148829802003E-3</v>
      </c>
      <c r="I58" s="32">
        <f>ROUND(F58*'Прил. 10'!$D$13,2)</f>
        <v>8.0399999999999991</v>
      </c>
      <c r="J58" s="32">
        <f t="shared" si="6"/>
        <v>451.59</v>
      </c>
    </row>
    <row r="59" spans="1:10" s="12" customFormat="1" ht="25.5" customHeight="1" outlineLevel="1" x14ac:dyDescent="0.2">
      <c r="A59" s="2">
        <v>31</v>
      </c>
      <c r="B59" s="174" t="s">
        <v>186</v>
      </c>
      <c r="C59" s="8" t="s">
        <v>187</v>
      </c>
      <c r="D59" s="2" t="s">
        <v>171</v>
      </c>
      <c r="E59" s="179">
        <v>2.0999999999999999E-3</v>
      </c>
      <c r="F59" s="32">
        <v>17500</v>
      </c>
      <c r="G59" s="32">
        <f t="shared" si="5"/>
        <v>36.75</v>
      </c>
      <c r="H59" s="193">
        <f t="shared" si="4"/>
        <v>3.0168203124359E-3</v>
      </c>
      <c r="I59" s="32">
        <f>ROUND(F59*'Прил. 10'!$D$13,2)</f>
        <v>140700</v>
      </c>
      <c r="J59" s="32">
        <f t="shared" si="6"/>
        <v>295.47000000000003</v>
      </c>
    </row>
    <row r="60" spans="1:10" s="12" customFormat="1" ht="14.25" customHeight="1" outlineLevel="1" x14ac:dyDescent="0.2">
      <c r="A60" s="2">
        <v>32</v>
      </c>
      <c r="B60" s="174" t="s">
        <v>188</v>
      </c>
      <c r="C60" s="8" t="s">
        <v>189</v>
      </c>
      <c r="D60" s="2" t="s">
        <v>190</v>
      </c>
      <c r="E60" s="179">
        <v>0.46200000000000002</v>
      </c>
      <c r="F60" s="32">
        <v>79.099999999999994</v>
      </c>
      <c r="G60" s="32">
        <f t="shared" si="5"/>
        <v>36.54</v>
      </c>
      <c r="H60" s="193">
        <f t="shared" si="4"/>
        <v>2.9995813392219E-3</v>
      </c>
      <c r="I60" s="32">
        <f>ROUND(F60*'Прил. 10'!$D$13,2)</f>
        <v>635.96</v>
      </c>
      <c r="J60" s="32">
        <f t="shared" si="6"/>
        <v>293.81</v>
      </c>
    </row>
    <row r="61" spans="1:10" s="12" customFormat="1" ht="14.25" customHeight="1" outlineLevel="1" x14ac:dyDescent="0.2">
      <c r="A61" s="2">
        <v>33</v>
      </c>
      <c r="B61" s="174" t="s">
        <v>191</v>
      </c>
      <c r="C61" s="8" t="s">
        <v>192</v>
      </c>
      <c r="D61" s="2" t="s">
        <v>174</v>
      </c>
      <c r="E61" s="179">
        <v>0.13800000000000001</v>
      </c>
      <c r="F61" s="32">
        <v>238.48</v>
      </c>
      <c r="G61" s="32">
        <f t="shared" si="5"/>
        <v>32.909999999999997</v>
      </c>
      <c r="H61" s="193">
        <f t="shared" si="4"/>
        <v>2.7015933736670998E-3</v>
      </c>
      <c r="I61" s="32">
        <f>ROUND(F61*'Прил. 10'!$D$13,2)</f>
        <v>1917.38</v>
      </c>
      <c r="J61" s="32">
        <f t="shared" si="6"/>
        <v>264.60000000000002</v>
      </c>
    </row>
    <row r="62" spans="1:10" s="12" customFormat="1" ht="14.25" customHeight="1" outlineLevel="1" x14ac:dyDescent="0.2">
      <c r="A62" s="2">
        <v>34</v>
      </c>
      <c r="B62" s="174" t="s">
        <v>193</v>
      </c>
      <c r="C62" s="8" t="s">
        <v>194</v>
      </c>
      <c r="D62" s="2" t="s">
        <v>174</v>
      </c>
      <c r="E62" s="179">
        <v>2.4780000000000002</v>
      </c>
      <c r="F62" s="32">
        <v>10.57</v>
      </c>
      <c r="G62" s="32">
        <f t="shared" si="5"/>
        <v>26.19</v>
      </c>
      <c r="H62" s="193">
        <f t="shared" si="4"/>
        <v>2.1499462308215999E-3</v>
      </c>
      <c r="I62" s="32">
        <f>ROUND(F62*'Прил. 10'!$D$13,2)</f>
        <v>84.98</v>
      </c>
      <c r="J62" s="32">
        <f t="shared" si="6"/>
        <v>210.58</v>
      </c>
    </row>
    <row r="63" spans="1:10" s="12" customFormat="1" ht="25.5" customHeight="1" outlineLevel="1" x14ac:dyDescent="0.2">
      <c r="A63" s="2">
        <v>35</v>
      </c>
      <c r="B63" s="174" t="s">
        <v>195</v>
      </c>
      <c r="C63" s="8" t="s">
        <v>196</v>
      </c>
      <c r="D63" s="2" t="s">
        <v>197</v>
      </c>
      <c r="E63" s="179">
        <v>0.95</v>
      </c>
      <c r="F63" s="32">
        <v>15.13</v>
      </c>
      <c r="G63" s="32">
        <f t="shared" si="5"/>
        <v>14.37</v>
      </c>
      <c r="H63" s="193">
        <f t="shared" si="4"/>
        <v>1.1796383099238999E-3</v>
      </c>
      <c r="I63" s="32">
        <f>ROUND(F63*'Прил. 10'!$D$13,2)</f>
        <v>121.65</v>
      </c>
      <c r="J63" s="32">
        <f t="shared" si="6"/>
        <v>115.57</v>
      </c>
    </row>
    <row r="64" spans="1:10" s="12" customFormat="1" ht="25.5" customHeight="1" outlineLevel="1" x14ac:dyDescent="0.2">
      <c r="A64" s="2">
        <v>36</v>
      </c>
      <c r="B64" s="174" t="s">
        <v>198</v>
      </c>
      <c r="C64" s="8" t="s">
        <v>199</v>
      </c>
      <c r="D64" s="2" t="s">
        <v>171</v>
      </c>
      <c r="E64" s="179">
        <v>1E-3</v>
      </c>
      <c r="F64" s="32">
        <v>5941.89</v>
      </c>
      <c r="G64" s="32">
        <f t="shared" si="5"/>
        <v>5.94</v>
      </c>
      <c r="H64" s="193">
        <f t="shared" si="4"/>
        <v>4.8761667090800001E-4</v>
      </c>
      <c r="I64" s="32">
        <f>ROUND(F64*'Прил. 10'!$D$13,2)</f>
        <v>47772.800000000003</v>
      </c>
      <c r="J64" s="32">
        <f t="shared" si="6"/>
        <v>47.77</v>
      </c>
    </row>
    <row r="65" spans="1:12" s="12" customFormat="1" ht="14.25" customHeight="1" outlineLevel="1" x14ac:dyDescent="0.2">
      <c r="A65" s="2">
        <v>37</v>
      </c>
      <c r="B65" s="174" t="s">
        <v>200</v>
      </c>
      <c r="C65" s="8" t="s">
        <v>201</v>
      </c>
      <c r="D65" s="2" t="s">
        <v>160</v>
      </c>
      <c r="E65" s="179">
        <v>6.1199999999999997E-2</v>
      </c>
      <c r="F65" s="32">
        <v>86</v>
      </c>
      <c r="G65" s="32">
        <f t="shared" si="5"/>
        <v>5.26</v>
      </c>
      <c r="H65" s="193">
        <f t="shared" si="4"/>
        <v>4.3179523383435998E-4</v>
      </c>
      <c r="I65" s="32">
        <f>ROUND(F65*'Прил. 10'!$D$13,2)</f>
        <v>691.44</v>
      </c>
      <c r="J65" s="32">
        <f t="shared" si="6"/>
        <v>42.32</v>
      </c>
    </row>
    <row r="66" spans="1:12" s="12" customFormat="1" ht="14.25" customHeight="1" outlineLevel="1" x14ac:dyDescent="0.2">
      <c r="A66" s="2">
        <v>38</v>
      </c>
      <c r="B66" s="174" t="s">
        <v>202</v>
      </c>
      <c r="C66" s="8" t="s">
        <v>203</v>
      </c>
      <c r="D66" s="2" t="s">
        <v>160</v>
      </c>
      <c r="E66" s="179">
        <v>0.02</v>
      </c>
      <c r="F66" s="32">
        <v>26.6</v>
      </c>
      <c r="G66" s="32">
        <f t="shared" si="5"/>
        <v>0.53</v>
      </c>
      <c r="H66" s="193">
        <f t="shared" si="4"/>
        <v>4.3507884777987003E-5</v>
      </c>
      <c r="I66" s="32">
        <f>ROUND(F66*'Прил. 10'!$D$13,2)</f>
        <v>213.86</v>
      </c>
      <c r="J66" s="32">
        <f t="shared" si="6"/>
        <v>4.28</v>
      </c>
    </row>
    <row r="67" spans="1:12" s="12" customFormat="1" ht="25.5" customHeight="1" outlineLevel="1" x14ac:dyDescent="0.2">
      <c r="A67" s="2">
        <v>39</v>
      </c>
      <c r="B67" s="174" t="s">
        <v>204</v>
      </c>
      <c r="C67" s="8" t="s">
        <v>205</v>
      </c>
      <c r="D67" s="2" t="s">
        <v>174</v>
      </c>
      <c r="E67" s="179">
        <v>0.01</v>
      </c>
      <c r="F67" s="32">
        <v>28.22</v>
      </c>
      <c r="G67" s="32">
        <f t="shared" si="5"/>
        <v>0.28000000000000003</v>
      </c>
      <c r="H67" s="193">
        <f t="shared" si="4"/>
        <v>2.2985297618559E-5</v>
      </c>
      <c r="I67" s="32">
        <f>ROUND(F67*'Прил. 10'!$D$13,2)</f>
        <v>226.89</v>
      </c>
      <c r="J67" s="32">
        <f t="shared" si="6"/>
        <v>2.27</v>
      </c>
    </row>
    <row r="68" spans="1:12" s="12" customFormat="1" ht="14.25" customHeight="1" outlineLevel="1" x14ac:dyDescent="0.2">
      <c r="A68" s="2">
        <v>40</v>
      </c>
      <c r="B68" s="174" t="s">
        <v>206</v>
      </c>
      <c r="C68" s="8" t="s">
        <v>207</v>
      </c>
      <c r="D68" s="2" t="s">
        <v>160</v>
      </c>
      <c r="E68" s="179">
        <v>6.1199999999999997E-2</v>
      </c>
      <c r="F68" s="32">
        <v>2</v>
      </c>
      <c r="G68" s="32">
        <f t="shared" si="5"/>
        <v>0.12</v>
      </c>
      <c r="H68" s="193">
        <f t="shared" si="4"/>
        <v>9.8508418365252997E-6</v>
      </c>
      <c r="I68" s="32">
        <f>ROUND(F68*'Прил. 10'!$D$13,2)</f>
        <v>16.079999999999998</v>
      </c>
      <c r="J68" s="32">
        <f t="shared" si="6"/>
        <v>0.98</v>
      </c>
    </row>
    <row r="69" spans="1:12" s="12" customFormat="1" ht="14.25" customHeight="1" x14ac:dyDescent="0.2">
      <c r="A69" s="2"/>
      <c r="B69" s="2"/>
      <c r="C69" s="8" t="s">
        <v>282</v>
      </c>
      <c r="D69" s="2"/>
      <c r="E69" s="190"/>
      <c r="F69" s="32"/>
      <c r="G69" s="32">
        <f>SUM(G51:G68)</f>
        <v>1772.51</v>
      </c>
      <c r="H69" s="191">
        <f>G69/G70</f>
        <v>0.14550596386383</v>
      </c>
      <c r="I69" s="32"/>
      <c r="J69" s="32">
        <f>SUM(J51:J68)</f>
        <v>14251.04</v>
      </c>
    </row>
    <row r="70" spans="1:12" s="12" customFormat="1" ht="14.25" customHeight="1" x14ac:dyDescent="0.2">
      <c r="A70" s="2"/>
      <c r="B70" s="2"/>
      <c r="C70" s="104" t="s">
        <v>283</v>
      </c>
      <c r="D70" s="2"/>
      <c r="E70" s="190"/>
      <c r="F70" s="103"/>
      <c r="G70" s="32">
        <f>G50+G69</f>
        <v>12181.7</v>
      </c>
      <c r="H70" s="191">
        <v>1</v>
      </c>
      <c r="I70" s="32"/>
      <c r="J70" s="32">
        <f>J50+J69</f>
        <v>97940.92</v>
      </c>
    </row>
    <row r="71" spans="1:12" s="12" customFormat="1" ht="14.25" customHeight="1" x14ac:dyDescent="0.2">
      <c r="A71" s="2"/>
      <c r="B71" s="2"/>
      <c r="C71" s="8" t="s">
        <v>284</v>
      </c>
      <c r="D71" s="2"/>
      <c r="E71" s="190"/>
      <c r="F71" s="103"/>
      <c r="G71" s="32">
        <f>G16+G35+G70</f>
        <v>32690.46</v>
      </c>
      <c r="H71" s="191"/>
      <c r="I71" s="32"/>
      <c r="J71" s="32">
        <f>J16+J35+J70</f>
        <v>704042.67</v>
      </c>
    </row>
    <row r="72" spans="1:12" s="12" customFormat="1" ht="14.25" customHeight="1" x14ac:dyDescent="0.2">
      <c r="A72" s="2"/>
      <c r="B72" s="2"/>
      <c r="C72" s="8" t="s">
        <v>285</v>
      </c>
      <c r="D72" s="200">
        <f>ROUND(G72/(G$18+$G$16),2)</f>
        <v>0.89</v>
      </c>
      <c r="E72" s="190"/>
      <c r="F72" s="103"/>
      <c r="G72" s="32">
        <v>10331.675243</v>
      </c>
      <c r="H72" s="191"/>
      <c r="I72" s="32"/>
      <c r="J72" s="32">
        <f>ROUND(D72*(J16+J18),2)</f>
        <v>474629.03</v>
      </c>
    </row>
    <row r="73" spans="1:12" s="12" customFormat="1" ht="14.25" customHeight="1" x14ac:dyDescent="0.2">
      <c r="A73" s="2"/>
      <c r="B73" s="2"/>
      <c r="C73" s="8" t="s">
        <v>286</v>
      </c>
      <c r="D73" s="200">
        <f>ROUND(G73/(G$16+G$18),2)</f>
        <v>0.63</v>
      </c>
      <c r="E73" s="190"/>
      <c r="F73" s="103"/>
      <c r="G73" s="32">
        <v>7274.0604860000003</v>
      </c>
      <c r="H73" s="191"/>
      <c r="I73" s="32"/>
      <c r="J73" s="32">
        <f>ROUND(D73*(J16+J18),2)</f>
        <v>335973.36</v>
      </c>
    </row>
    <row r="74" spans="1:12" s="12" customFormat="1" ht="14.25" customHeight="1" x14ac:dyDescent="0.2">
      <c r="A74" s="2"/>
      <c r="B74" s="2"/>
      <c r="C74" s="8" t="s">
        <v>287</v>
      </c>
      <c r="D74" s="2"/>
      <c r="E74" s="190"/>
      <c r="F74" s="103"/>
      <c r="G74" s="32">
        <f>G16+G35+G70+G72+G73</f>
        <v>50296.195728999999</v>
      </c>
      <c r="H74" s="191"/>
      <c r="I74" s="32"/>
      <c r="J74" s="32">
        <f>J16+J35+J70+J72+J73</f>
        <v>1514645.06</v>
      </c>
    </row>
    <row r="75" spans="1:12" s="12" customFormat="1" ht="14.25" customHeight="1" x14ac:dyDescent="0.2">
      <c r="A75" s="2"/>
      <c r="B75" s="2"/>
      <c r="C75" s="8" t="s">
        <v>288</v>
      </c>
      <c r="D75" s="2"/>
      <c r="E75" s="190"/>
      <c r="F75" s="103"/>
      <c r="G75" s="32">
        <f>G74+G43</f>
        <v>1305309.4757290001</v>
      </c>
      <c r="H75" s="191"/>
      <c r="I75" s="32"/>
      <c r="J75" s="32">
        <f>J74+J43</f>
        <v>9371028.25</v>
      </c>
    </row>
    <row r="76" spans="1:12" s="12" customFormat="1" ht="34.5" customHeight="1" x14ac:dyDescent="0.2">
      <c r="A76" s="2"/>
      <c r="B76" s="2"/>
      <c r="C76" s="8" t="s">
        <v>240</v>
      </c>
      <c r="D76" s="2" t="s">
        <v>289</v>
      </c>
      <c r="E76" s="190">
        <v>1</v>
      </c>
      <c r="F76" s="103"/>
      <c r="G76" s="32">
        <f>G75/E76</f>
        <v>1305309.4757290001</v>
      </c>
      <c r="H76" s="191"/>
      <c r="I76" s="32"/>
      <c r="J76" s="32">
        <f>J75/E76</f>
        <v>9371028.25</v>
      </c>
    </row>
    <row r="78" spans="1:12" x14ac:dyDescent="0.25">
      <c r="A78"/>
      <c r="B78" s="4" t="s">
        <v>75</v>
      </c>
      <c r="D78"/>
      <c r="E78"/>
      <c r="F78"/>
      <c r="G78"/>
      <c r="H78"/>
      <c r="I78"/>
      <c r="J78"/>
      <c r="K78"/>
      <c r="L78"/>
    </row>
    <row r="79" spans="1:12" x14ac:dyDescent="0.25">
      <c r="A79"/>
      <c r="B79" s="33" t="s">
        <v>76</v>
      </c>
      <c r="D79"/>
      <c r="E79"/>
      <c r="F79"/>
      <c r="G79"/>
      <c r="H79"/>
      <c r="I79"/>
      <c r="J79"/>
      <c r="K79"/>
      <c r="L79"/>
    </row>
    <row r="80" spans="1:12" x14ac:dyDescent="0.25">
      <c r="A80"/>
      <c r="B80" s="4"/>
      <c r="D80"/>
      <c r="E80"/>
      <c r="F80"/>
      <c r="G80"/>
      <c r="H80"/>
      <c r="I80"/>
      <c r="J80"/>
      <c r="K80"/>
      <c r="L80"/>
    </row>
    <row r="81" spans="1:12" x14ac:dyDescent="0.25">
      <c r="A81"/>
      <c r="B81" s="4" t="s">
        <v>77</v>
      </c>
      <c r="D81"/>
      <c r="E81"/>
      <c r="F81"/>
      <c r="G81"/>
      <c r="H81"/>
      <c r="I81"/>
      <c r="J81"/>
      <c r="K81"/>
      <c r="L81"/>
    </row>
    <row r="82" spans="1:12" x14ac:dyDescent="0.25">
      <c r="A82"/>
      <c r="B82" s="33" t="s">
        <v>78</v>
      </c>
      <c r="D82"/>
      <c r="E82"/>
      <c r="F82"/>
      <c r="G82"/>
      <c r="H82"/>
      <c r="I82"/>
      <c r="J82"/>
      <c r="K82"/>
      <c r="L82"/>
    </row>
  </sheetData>
  <sheetProtection formatCells="0" formatColumns="0" formatRows="0" insertColumns="0" insertRows="0" insertHyperlinks="0" deleteColumns="0" deleteRows="0" sort="0" autoFilter="0" pivotTables="0"/>
  <mergeCells count="20">
    <mergeCell ref="B46:H46"/>
    <mergeCell ref="B12:H12"/>
    <mergeCell ref="B17:H17"/>
    <mergeCell ref="B19:H19"/>
    <mergeCell ref="B20:H20"/>
    <mergeCell ref="B37:H37"/>
    <mergeCell ref="B45:H45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2023-11-30T09:32:39Z</cp:lastPrinted>
  <dcterms:created xsi:type="dcterms:W3CDTF">2020-09-30T08:50:27Z</dcterms:created>
  <dcterms:modified xsi:type="dcterms:W3CDTF">2023-11-30T09:32:43Z</dcterms:modified>
  <cp:category/>
</cp:coreProperties>
</file>