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8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4.5 РМ" sheetId="7" state="hidden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ФОТи1.тек." sheetId="14" state="hidden" r:id="rId14"/>
    <sheet name="ФОТи2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6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6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6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6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6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6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6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6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6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6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6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6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6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6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6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6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6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6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6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6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6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6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6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6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6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6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6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6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6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6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6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6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6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6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6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6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6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6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6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6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6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6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6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6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6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6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6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6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6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6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6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6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6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6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6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6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6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6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6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6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6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6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6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6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6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6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6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6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6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6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6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6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6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6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6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6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6">#REF!</definedName>
    <definedName name="_def2000г" localSheetId="16">#REF!</definedName>
    <definedName name="_def2000г" localSheetId="17">#REF!</definedName>
    <definedName name="_def2000г" localSheetId="8">#REF!</definedName>
    <definedName name="_def2000г" localSheetId="10">#REF!</definedName>
    <definedName name="_def2000г" localSheetId="13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6">#REF!</definedName>
    <definedName name="_def2001г" localSheetId="16">#REF!</definedName>
    <definedName name="_def2001г" localSheetId="17">#REF!</definedName>
    <definedName name="_def2001г" localSheetId="8">#REF!</definedName>
    <definedName name="_def2001г" localSheetId="10">#REF!</definedName>
    <definedName name="_def2001г" localSheetId="13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6">#REF!</definedName>
    <definedName name="_def2002г" localSheetId="16">#REF!</definedName>
    <definedName name="_def2002г" localSheetId="17">#REF!</definedName>
    <definedName name="_def2002г" localSheetId="8">#REF!</definedName>
    <definedName name="_def2002г" localSheetId="10">#REF!</definedName>
    <definedName name="_def2002г" localSheetId="13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6">#REF!</definedName>
    <definedName name="_FilterDatabase" localSheetId="8">#REF!</definedName>
    <definedName name="_FilterDatabase" localSheetId="10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6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6">#REF!</definedName>
    <definedName name="_inf2000" localSheetId="16">#REF!</definedName>
    <definedName name="_inf2000" localSheetId="17">#REF!</definedName>
    <definedName name="_inf2000" localSheetId="8">#REF!</definedName>
    <definedName name="_inf2000" localSheetId="10">#REF!</definedName>
    <definedName name="_inf2000" localSheetId="13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6">#REF!</definedName>
    <definedName name="_inf2001" localSheetId="16">#REF!</definedName>
    <definedName name="_inf2001" localSheetId="17">#REF!</definedName>
    <definedName name="_inf2001" localSheetId="8">#REF!</definedName>
    <definedName name="_inf2001" localSheetId="10">#REF!</definedName>
    <definedName name="_inf2001" localSheetId="13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6">#REF!</definedName>
    <definedName name="_inf2002" localSheetId="16">#REF!</definedName>
    <definedName name="_inf2002" localSheetId="17">#REF!</definedName>
    <definedName name="_inf2002" localSheetId="8">#REF!</definedName>
    <definedName name="_inf2002" localSheetId="10">#REF!</definedName>
    <definedName name="_inf2002" localSheetId="13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6">#REF!</definedName>
    <definedName name="_inf2003" localSheetId="16">#REF!</definedName>
    <definedName name="_inf2003" localSheetId="17">#REF!</definedName>
    <definedName name="_inf2003" localSheetId="8">#REF!</definedName>
    <definedName name="_inf2003" localSheetId="10">#REF!</definedName>
    <definedName name="_inf2003" localSheetId="13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6">#REF!</definedName>
    <definedName name="_inf2004" localSheetId="16">#REF!</definedName>
    <definedName name="_inf2004" localSheetId="17">#REF!</definedName>
    <definedName name="_inf2004" localSheetId="8">#REF!</definedName>
    <definedName name="_inf2004" localSheetId="10">#REF!</definedName>
    <definedName name="_inf2004" localSheetId="13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6">#REF!</definedName>
    <definedName name="_inf2005" localSheetId="16">#REF!</definedName>
    <definedName name="_inf2005" localSheetId="17">#REF!</definedName>
    <definedName name="_inf2005" localSheetId="8">#REF!</definedName>
    <definedName name="_inf2005" localSheetId="10">#REF!</definedName>
    <definedName name="_inf2005" localSheetId="13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6">#REF!</definedName>
    <definedName name="_inf2006" localSheetId="16">#REF!</definedName>
    <definedName name="_inf2006" localSheetId="17">#REF!</definedName>
    <definedName name="_inf2006" localSheetId="8">#REF!</definedName>
    <definedName name="_inf2006" localSheetId="10">#REF!</definedName>
    <definedName name="_inf2006" localSheetId="13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6">#REF!</definedName>
    <definedName name="_inf2007" localSheetId="16">#REF!</definedName>
    <definedName name="_inf2007" localSheetId="17">#REF!</definedName>
    <definedName name="_inf2007" localSheetId="8">#REF!</definedName>
    <definedName name="_inf2007" localSheetId="10">#REF!</definedName>
    <definedName name="_inf2007" localSheetId="13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6">#REF!</definedName>
    <definedName name="_inf2008" localSheetId="16">#REF!</definedName>
    <definedName name="_inf2008" localSheetId="17">#REF!</definedName>
    <definedName name="_inf2008" localSheetId="8">#REF!</definedName>
    <definedName name="_inf2008" localSheetId="10">#REF!</definedName>
    <definedName name="_inf2008" localSheetId="13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6">#REF!</definedName>
    <definedName name="_inf2009" localSheetId="16">#REF!</definedName>
    <definedName name="_inf2009" localSheetId="17">#REF!</definedName>
    <definedName name="_inf2009" localSheetId="8">#REF!</definedName>
    <definedName name="_inf2009" localSheetId="10">#REF!</definedName>
    <definedName name="_inf2009" localSheetId="13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6">#REF!</definedName>
    <definedName name="_inf2010" localSheetId="16">#REF!</definedName>
    <definedName name="_inf2010" localSheetId="17">#REF!</definedName>
    <definedName name="_inf2010" localSheetId="8">#REF!</definedName>
    <definedName name="_inf2010" localSheetId="10">#REF!</definedName>
    <definedName name="_inf2010" localSheetId="13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6">#REF!</definedName>
    <definedName name="_inf2011" localSheetId="16">#REF!</definedName>
    <definedName name="_inf2011" localSheetId="17">#REF!</definedName>
    <definedName name="_inf2011" localSheetId="8">#REF!</definedName>
    <definedName name="_inf2011" localSheetId="10">#REF!</definedName>
    <definedName name="_inf2011" localSheetId="13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6">#REF!</definedName>
    <definedName name="_inf2012" localSheetId="16">#REF!</definedName>
    <definedName name="_inf2012" localSheetId="17">#REF!</definedName>
    <definedName name="_inf2012" localSheetId="8">#REF!</definedName>
    <definedName name="_inf2012" localSheetId="10">#REF!</definedName>
    <definedName name="_inf2012" localSheetId="13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6">#REF!</definedName>
    <definedName name="_inf2013" localSheetId="16">#REF!</definedName>
    <definedName name="_inf2013" localSheetId="17">#REF!</definedName>
    <definedName name="_inf2013" localSheetId="8">#REF!</definedName>
    <definedName name="_inf2013" localSheetId="10">#REF!</definedName>
    <definedName name="_inf2013" localSheetId="13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6">#REF!</definedName>
    <definedName name="_inf2014" localSheetId="16">#REF!</definedName>
    <definedName name="_inf2014" localSheetId="17">#REF!</definedName>
    <definedName name="_inf2014" localSheetId="8">#REF!</definedName>
    <definedName name="_inf2014" localSheetId="10">#REF!</definedName>
    <definedName name="_inf2014" localSheetId="13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6">#REF!</definedName>
    <definedName name="_inf2015" localSheetId="16">#REF!</definedName>
    <definedName name="_inf2015" localSheetId="17">#REF!</definedName>
    <definedName name="_inf2015" localSheetId="8">#REF!</definedName>
    <definedName name="_inf2015" localSheetId="10">#REF!</definedName>
    <definedName name="_inf2015" localSheetId="13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6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6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6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Toc132270798" localSheetId="3">'Прил.1 Сравнит табл'!$B$4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6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6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6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6">#REF!</definedName>
    <definedName name="a04t" localSheetId="16">#REF!</definedName>
    <definedName name="a04t" localSheetId="17">#REF!</definedName>
    <definedName name="a04t" localSheetId="8">#REF!</definedName>
    <definedName name="a04t" localSheetId="10">#REF!</definedName>
    <definedName name="a04t" localSheetId="13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6">#REF!</definedName>
    <definedName name="A99999999" localSheetId="8">#REF!</definedName>
    <definedName name="A99999999" localSheetId="10">#REF!</definedName>
    <definedName name="A99999999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6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6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6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6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10">#REF!</definedName>
    <definedName name="cvtnf" localSheetId="13">#REF!</definedName>
    <definedName name="cvtnf" localSheetId="14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6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6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6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6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6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6">#REF!</definedName>
    <definedName name="DOLL" localSheetId="16">#REF!</definedName>
    <definedName name="DOLL" localSheetId="17">#REF!</definedName>
    <definedName name="DOLL" localSheetId="8">#REF!</definedName>
    <definedName name="DOLL" localSheetId="10">#REF!</definedName>
    <definedName name="DOLL" localSheetId="13">#REF!</definedName>
    <definedName name="DOLL" localSheetId="14">#REF!</definedName>
    <definedName name="DOLL" localSheetId="12">#REF!</definedName>
    <definedName name="DOLL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6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6">#REF!</definedName>
    <definedName name="Excel_BuiltIn_Print_Area_1" localSheetId="16">#REF!</definedName>
    <definedName name="Excel_BuiltIn_Print_Area_1" localSheetId="17">#REF!</definedName>
    <definedName name="Excel_BuiltIn_Print_Area_1" localSheetId="8">#REF!</definedName>
    <definedName name="Excel_BuiltIn_Print_Area_1" localSheetId="10">#REF!</definedName>
    <definedName name="Excel_BuiltIn_Print_Area_1" localSheetId="13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6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6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6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6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6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6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6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6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6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6">#REF!</definedName>
    <definedName name="Excel_BuiltIn_Print_Area_4" localSheetId="16">#REF!</definedName>
    <definedName name="Excel_BuiltIn_Print_Area_4" localSheetId="17">#REF!</definedName>
    <definedName name="Excel_BuiltIn_Print_Area_4" localSheetId="8">#REF!</definedName>
    <definedName name="Excel_BuiltIn_Print_Area_4" localSheetId="10">#REF!</definedName>
    <definedName name="Excel_BuiltIn_Print_Area_4" localSheetId="13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6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6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6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6">#REF!</definedName>
    <definedName name="Excel_BuiltIn_Print_Area_5" localSheetId="16">#REF!</definedName>
    <definedName name="Excel_BuiltIn_Print_Area_5" localSheetId="17">#REF!</definedName>
    <definedName name="Excel_BuiltIn_Print_Area_5" localSheetId="8">#REF!</definedName>
    <definedName name="Excel_BuiltIn_Print_Area_5" localSheetId="10">#REF!</definedName>
    <definedName name="Excel_BuiltIn_Print_Area_5" localSheetId="13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6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6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6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6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6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6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6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6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6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6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6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6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6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6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6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6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6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6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6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6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6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6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6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6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6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6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6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6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6">#REF!</definedName>
    <definedName name="ff" localSheetId="16">#REF!</definedName>
    <definedName name="ff" localSheetId="17">#REF!</definedName>
    <definedName name="ff" localSheetId="8">#REF!</definedName>
    <definedName name="ff" localSheetId="10">#REF!</definedName>
    <definedName name="ff" localSheetId="13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6">#REF!</definedName>
    <definedName name="gggg" localSheetId="16">#REF!</definedName>
    <definedName name="gggg" localSheetId="17">#REF!</definedName>
    <definedName name="gggg" localSheetId="8">#REF!</definedName>
    <definedName name="gggg" localSheetId="10">#REF!</definedName>
    <definedName name="gggg" localSheetId="13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6">#REF!</definedName>
    <definedName name="Global.MNULL" localSheetId="16">#REF!</definedName>
    <definedName name="Global.MNULL" localSheetId="17">#REF!</definedName>
    <definedName name="Global.MNULL" localSheetId="8">#REF!</definedName>
    <definedName name="Global.MNULL" localSheetId="10">#REF!</definedName>
    <definedName name="Global.MNULL" localSheetId="13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6">#REF!</definedName>
    <definedName name="Global.NULL" localSheetId="16">#REF!</definedName>
    <definedName name="Global.NULL" localSheetId="17">#REF!</definedName>
    <definedName name="Global.NULL" localSheetId="8">#REF!</definedName>
    <definedName name="Global.NULL" localSheetId="10">#REF!</definedName>
    <definedName name="Global.NULL" localSheetId="13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6">#REF!</definedName>
    <definedName name="h" localSheetId="8">#REF!</definedName>
    <definedName name="h" localSheetId="10">#REF!</definedName>
    <definedName name="h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6">#REF!</definedName>
    <definedName name="hfcxtn" localSheetId="8">#REF!</definedName>
    <definedName name="hfcxtn" localSheetId="10">#REF!</definedName>
    <definedName name="hfcxtn">#REF!</definedName>
    <definedName name="htvjyn" localSheetId="10">#REF!</definedName>
    <definedName name="htvjyn" localSheetId="13">#REF!</definedName>
    <definedName name="htvjyn" localSheetId="14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6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6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6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10">#REF!</definedName>
    <definedName name="kk" localSheetId="13">#REF!</definedName>
    <definedName name="kk" localSheetId="14">#REF!</definedName>
    <definedName name="kk">#REF!</definedName>
    <definedName name="kl" localSheetId="10">#REF!</definedName>
    <definedName name="kl" localSheetId="13">#REF!</definedName>
    <definedName name="kl" localSheetId="14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6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6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6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6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3">IF(ФОТи1.тек.!n_3=1,ФОТи1.тек.!n_2,ФОТи1.тек.!n_3&amp;ФОТи1.тек.!n_1)</definedName>
    <definedName name="n0x" localSheetId="14">IF(ФОТи2.тек.!n_3=1,ФОТи2.тек.!n_2,ФОТи2.тек.!n_3&amp;ФОТи2.тек.!n_1)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6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3">IF(ФОТи1.тек.!n_3=1,ФОТи1.тек.!n_2,ФОТи1.тек.!n_3&amp;ФОТи1.тек.!n_5)</definedName>
    <definedName name="n1x" localSheetId="14">IF(ФОТи2.тек.!n_3=1,ФОТи2.тек.!n_2,ФОТи2.тек.!n_3&amp;ФОТи2.тек.!n_5)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6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6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6">#REF!</definedName>
    <definedName name="Print_Area" localSheetId="17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6">#REF!</definedName>
    <definedName name="q" localSheetId="8">#REF!</definedName>
    <definedName name="q" localSheetId="10">#REF!</definedName>
    <definedName name="q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6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6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10">#REF!</definedName>
    <definedName name="rrrrrr" localSheetId="13">#REF!</definedName>
    <definedName name="rrrrrr" localSheetId="14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6">#REF!</definedName>
    <definedName name="rtyrty" localSheetId="8">#REF!</definedName>
    <definedName name="rtyrty" localSheetId="10">#REF!</definedName>
    <definedName name="rtyrty">#REF!</definedName>
    <definedName name="rybuf" localSheetId="10">#REF!</definedName>
    <definedName name="rybuf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6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6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6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6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6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6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6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6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6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6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6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6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6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6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6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6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6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6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6">#REF!</definedName>
    <definedName name="time" localSheetId="16">#REF!</definedName>
    <definedName name="time" localSheetId="17">#REF!</definedName>
    <definedName name="time" localSheetId="8">#REF!</definedName>
    <definedName name="time" localSheetId="10">#REF!</definedName>
    <definedName name="time" localSheetId="13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6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6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6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6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6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6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6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3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6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6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6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6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6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6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6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6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6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6">#REF!</definedName>
    <definedName name="а" localSheetId="16">#REF!</definedName>
    <definedName name="а" localSheetId="17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6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6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6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6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6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6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6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6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6">#REF!</definedName>
    <definedName name="ааа" localSheetId="16">#REF!</definedName>
    <definedName name="ааа" localSheetId="17">#REF!</definedName>
    <definedName name="ааа" localSheetId="8">#REF!</definedName>
    <definedName name="ааа" localSheetId="10">#REF!</definedName>
    <definedName name="ааа" localSheetId="13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6">#REF!</definedName>
    <definedName name="аааа" localSheetId="11">#REF!</definedName>
    <definedName name="аааа" localSheetId="3">#REF!</definedName>
    <definedName name="аааа" localSheetId="4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6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6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6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6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6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6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6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6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6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6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6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6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6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6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6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6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6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10">#REF!</definedName>
    <definedName name="аморт">#REF!</definedName>
    <definedName name="Амортизация" localSheetId="10">#REF!</definedName>
    <definedName name="Амортизация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6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6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6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6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6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6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6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6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6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6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6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6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6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6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6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6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6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6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6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6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6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6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6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6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6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6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6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6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6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6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6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6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6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6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6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6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6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6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6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6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6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6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6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6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6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6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6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6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6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6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6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6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6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6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6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6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6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6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6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6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6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6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6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6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6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6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6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6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6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6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6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6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6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6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6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6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6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6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6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6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6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6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6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6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6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6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6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6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6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6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6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6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6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6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6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6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6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6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6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6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6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6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6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6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6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6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6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6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6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6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6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6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6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6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6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6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6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6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6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6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6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6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6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6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6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6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6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6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6">#REF!</definedName>
    <definedName name="д" localSheetId="16">#REF!</definedName>
    <definedName name="д" localSheetId="17">#REF!</definedName>
    <definedName name="д" localSheetId="8">#REF!</definedName>
    <definedName name="д" localSheetId="10">#REF!</definedName>
    <definedName name="д" localSheetId="13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6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6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6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6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6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6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6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6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6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6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6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6">#REF!</definedName>
    <definedName name="дд" localSheetId="16">#REF!</definedName>
    <definedName name="дд" localSheetId="17">#REF!</definedName>
    <definedName name="дд" localSheetId="8">#REF!</definedName>
    <definedName name="дд" localSheetId="10">#REF!</definedName>
    <definedName name="дд" localSheetId="13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6">#REF!</definedName>
    <definedName name="дддд" localSheetId="16">#REF!</definedName>
    <definedName name="дддд" localSheetId="17">#REF!</definedName>
    <definedName name="дддд" localSheetId="8">#REF!</definedName>
    <definedName name="дддд" localSheetId="10">#REF!</definedName>
    <definedName name="дддд" localSheetId="13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6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6">#REF!</definedName>
    <definedName name="де" localSheetId="16">#REF!</definedName>
    <definedName name="де" localSheetId="17">#REF!</definedName>
    <definedName name="де" localSheetId="8">#REF!</definedName>
    <definedName name="де" localSheetId="10">#REF!</definedName>
    <definedName name="де" localSheetId="13">#REF!</definedName>
    <definedName name="де" localSheetId="14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6">#REF!</definedName>
    <definedName name="дефл." localSheetId="16">#REF!</definedName>
    <definedName name="дефл." localSheetId="17">#REF!</definedName>
    <definedName name="дефл." localSheetId="8">#REF!</definedName>
    <definedName name="дефл." localSheetId="10">#REF!</definedName>
    <definedName name="дефл." localSheetId="13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6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6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6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6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6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6">#REF!</definedName>
    <definedName name="до" localSheetId="16">#REF!</definedName>
    <definedName name="до" localSheetId="17">#REF!</definedName>
    <definedName name="до" localSheetId="8">#REF!</definedName>
    <definedName name="до" localSheetId="10">#REF!</definedName>
    <definedName name="до" localSheetId="13">#REF!</definedName>
    <definedName name="до" localSheetId="14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6">#REF!</definedName>
    <definedName name="дол" localSheetId="16">#REF!</definedName>
    <definedName name="дол" localSheetId="17">#REF!</definedName>
    <definedName name="дол" localSheetId="8">#REF!</definedName>
    <definedName name="дол" localSheetId="10">#REF!</definedName>
    <definedName name="дол" localSheetId="13">#REF!</definedName>
    <definedName name="дол" localSheetId="14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6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6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6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6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6">#REF!</definedName>
    <definedName name="др" localSheetId="8">#REF!</definedName>
    <definedName name="др" localSheetId="10">#REF!</definedName>
    <definedName name="др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6">#REF!</definedName>
    <definedName name="ДС" localSheetId="16">#REF!</definedName>
    <definedName name="ДС" localSheetId="17">#REF!</definedName>
    <definedName name="ДС" localSheetId="8">#REF!</definedName>
    <definedName name="ДС" localSheetId="10">#REF!</definedName>
    <definedName name="ДС" localSheetId="13">#REF!</definedName>
    <definedName name="ДС" localSheetId="14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6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6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6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6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6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6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6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6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6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6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6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6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6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6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6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6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6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6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6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6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6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6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6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6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6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6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6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6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6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6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6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6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6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6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6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6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6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6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6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6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6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6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6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6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6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6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6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6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6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6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6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6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6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6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6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6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6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6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6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6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6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6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6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6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6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6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6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6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6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6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6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6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6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6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6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6">#REF!</definedName>
    <definedName name="ер" localSheetId="8">#REF!</definedName>
    <definedName name="ер" localSheetId="10">#REF!</definedName>
    <definedName name="ер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6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6">#REF!</definedName>
    <definedName name="ж" localSheetId="16">#REF!</definedName>
    <definedName name="ж" localSheetId="17">#REF!</definedName>
    <definedName name="ж" localSheetId="8">#REF!</definedName>
    <definedName name="ж" localSheetId="10">#REF!</definedName>
    <definedName name="ж" localSheetId="13">#REF!</definedName>
    <definedName name="ж" localSheetId="14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6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6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5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6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6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10">#REF!</definedName>
    <definedName name="ЗаданиеГС_КМ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6">#REF!</definedName>
    <definedName name="зз" localSheetId="16">#REF!</definedName>
    <definedName name="зз" localSheetId="17">#REF!</definedName>
    <definedName name="зз" localSheetId="8">#REF!</definedName>
    <definedName name="зз" localSheetId="10">#REF!</definedName>
    <definedName name="зз" localSheetId="13">#REF!</definedName>
    <definedName name="зз" localSheetId="14">#REF!</definedName>
    <definedName name="зз" localSheetId="12">#REF!</definedName>
    <definedName name="зз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6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6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6">#REF!</definedName>
    <definedName name="ивпт" localSheetId="8">#REF!</definedName>
    <definedName name="ивпт" localSheetId="10">#REF!</definedName>
    <definedName name="ивпт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6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6">#REF!</definedName>
    <definedName name="иии" localSheetId="16">#REF!</definedName>
    <definedName name="иии" localSheetId="17">#REF!</definedName>
    <definedName name="иии" localSheetId="8">#REF!</definedName>
    <definedName name="иии" localSheetId="10">#REF!</definedName>
    <definedName name="иии" localSheetId="13">#REF!</definedName>
    <definedName name="иии" localSheetId="14">#REF!</definedName>
    <definedName name="иии" localSheetId="12">#REF!</definedName>
    <definedName name="иии">#REF!</definedName>
    <definedName name="ИИМбал" localSheetId="10">#REF!</definedName>
    <definedName name="ИИМбал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6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6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6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6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6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6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10">#REF!</definedName>
    <definedName name="Ини" localSheetId="13">#REF!</definedName>
    <definedName name="Ини" localSheetId="14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6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6">#REF!</definedName>
    <definedName name="иолд" localSheetId="8">#REF!</definedName>
    <definedName name="иолд" localSheetId="10">#REF!</definedName>
    <definedName name="иолд">#REF!</definedName>
    <definedName name="ИОСост" localSheetId="10">#REF!</definedName>
    <definedName name="ИОСост">#REF!</definedName>
    <definedName name="ИОСпс" localSheetId="10">#REF!</definedName>
    <definedName name="ИОСпс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6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6">#REF!</definedName>
    <definedName name="ип" localSheetId="8">#REF!</definedName>
    <definedName name="ип" localSheetId="10">#REF!</definedName>
    <definedName name="ип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6">#REF!</definedName>
    <definedName name="ИПусто" localSheetId="8">#REF!</definedName>
    <definedName name="ИПусто" localSheetId="10">#REF!</definedName>
    <definedName name="ИПусто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6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6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6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6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6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6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6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6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6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6">#REF!</definedName>
    <definedName name="итьоиьб" localSheetId="8">#REF!</definedName>
    <definedName name="итьоиьб" localSheetId="10">#REF!</definedName>
    <definedName name="итьоиьб">#REF!</definedName>
    <definedName name="Иуе" localSheetId="10">#REF!</definedName>
    <definedName name="Иуе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6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6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6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6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6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6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6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6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6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6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6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6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6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6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6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6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6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6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6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6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6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6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6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6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6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6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6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6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6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6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6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6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6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6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6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6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6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6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6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6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6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6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6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6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6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6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6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6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6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6">#REF!</definedName>
    <definedName name="керл" localSheetId="8">#REF!</definedName>
    <definedName name="керл" localSheetId="10">#REF!</definedName>
    <definedName name="керл">#REF!</definedName>
    <definedName name="КЗ_Имущество" localSheetId="10">#REF!</definedName>
    <definedName name="КЗ_Имущество">#REF!</definedName>
    <definedName name="КЗ_ИП" localSheetId="10">#REF!</definedName>
    <definedName name="КЗ_ИП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6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6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6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6">#REF!</definedName>
    <definedName name="кк" localSheetId="16">#REF!</definedName>
    <definedName name="кк" localSheetId="17">#REF!</definedName>
    <definedName name="кк" localSheetId="8">#REF!</definedName>
    <definedName name="кк" localSheetId="10">#REF!</definedName>
    <definedName name="кк" localSheetId="13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6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6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6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6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6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6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10">#REF!</definedName>
    <definedName name="комплект" localSheetId="13">#REF!</definedName>
    <definedName name="комплект" localSheetId="14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6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6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6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6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3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6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6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6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6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6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6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6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6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6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6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6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6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6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6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6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6">#REF!</definedName>
    <definedName name="лд" localSheetId="16">#REF!</definedName>
    <definedName name="лд" localSheetId="17">#REF!</definedName>
    <definedName name="лд" localSheetId="8">#REF!</definedName>
    <definedName name="лд" localSheetId="10">#REF!</definedName>
    <definedName name="лд" localSheetId="13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6">#REF!</definedName>
    <definedName name="лдд" localSheetId="16">#REF!</definedName>
    <definedName name="лдд" localSheetId="17">#REF!</definedName>
    <definedName name="лдд" localSheetId="8">#REF!</definedName>
    <definedName name="лдд" localSheetId="10">#REF!</definedName>
    <definedName name="лдд" localSheetId="13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6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6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6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6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6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6">#REF!</definedName>
    <definedName name="лл" localSheetId="16">#REF!</definedName>
    <definedName name="лл" localSheetId="17">#REF!</definedName>
    <definedName name="лл" localSheetId="8">#REF!</definedName>
    <definedName name="лл" localSheetId="10">#REF!</definedName>
    <definedName name="лл" localSheetId="13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6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6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6">#REF!</definedName>
    <definedName name="ллл" localSheetId="16">#REF!</definedName>
    <definedName name="ллл" localSheetId="17">#REF!</definedName>
    <definedName name="ллл" localSheetId="8">#REF!</definedName>
    <definedName name="ллл" localSheetId="10">#REF!</definedName>
    <definedName name="ллл" localSheetId="13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6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6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6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6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6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6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6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6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6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6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6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6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6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6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10">#REF!</definedName>
    <definedName name="матер">#REF!</definedName>
    <definedName name="матер." localSheetId="10">#REF!</definedName>
    <definedName name="матер.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6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6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6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6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6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3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6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6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6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6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6">#REF!</definedName>
    <definedName name="Модель2" localSheetId="16">#REF!</definedName>
    <definedName name="Модель2" localSheetId="17">#REF!</definedName>
    <definedName name="Модель2" localSheetId="8">#REF!</definedName>
    <definedName name="Модель2" localSheetId="10">#REF!</definedName>
    <definedName name="Модель2" localSheetId="13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6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6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6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6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6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6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6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6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6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6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6">#REF!</definedName>
    <definedName name="НДС" localSheetId="8">#REF!</definedName>
    <definedName name="НДС" localSheetId="10">#REF!</definedName>
    <definedName name="НДС">#REF!</definedName>
    <definedName name="НДСИмущество" localSheetId="10">#REF!</definedName>
    <definedName name="НДСИмущество">#REF!</definedName>
    <definedName name="НДСИП" localSheetId="10">#REF!</definedName>
    <definedName name="НДСИП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6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6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6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6">#REF!</definedName>
    <definedName name="нн" localSheetId="16">#REF!</definedName>
    <definedName name="нн" localSheetId="17">#REF!</definedName>
    <definedName name="нн" localSheetId="8">#REF!</definedName>
    <definedName name="нн" localSheetId="10">#REF!</definedName>
    <definedName name="нн" localSheetId="13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6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6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6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6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6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10">#REF!</definedName>
    <definedName name="НормаАУП_на_УЕ" localSheetId="13">#REF!</definedName>
    <definedName name="НормаАУП_на_УЕ" localSheetId="14">#REF!</definedName>
    <definedName name="НормаАУП_на_УЕ">#REF!</definedName>
    <definedName name="НормаПП_на_УЕ" localSheetId="10">#REF!</definedName>
    <definedName name="НормаПП_на_УЕ" localSheetId="13">#REF!</definedName>
    <definedName name="НормаПП_на_УЕ" localSheetId="14">#REF!</definedName>
    <definedName name="НормаПП_на_УЕ">#REF!</definedName>
    <definedName name="НормаРостаУЕ" localSheetId="10">#REF!</definedName>
    <definedName name="НормаРостаУЕ" localSheetId="13">#REF!</definedName>
    <definedName name="НормаРостаУЕ" localSheetId="14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6">граж</definedName>
    <definedName name="нр" localSheetId="15">граж</definedName>
    <definedName name="нр" localSheetId="17">граж</definedName>
    <definedName name="нр" localSheetId="11">граж</definedName>
    <definedName name="нр" localSheetId="3">граж</definedName>
    <definedName name="нр" localSheetId="4">граж</definedName>
    <definedName name="нр" localSheetId="7">граж</definedName>
    <definedName name="нр" localSheetId="8">граж</definedName>
    <definedName name="нр" localSheetId="10">#REF!</definedName>
    <definedName name="нр" localSheetId="13">граж</definedName>
    <definedName name="нр" localSheetId="14">граж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5">'Прил. 3'!$A$1:$H$62</definedName>
    <definedName name="_xlnm.Print_Area" localSheetId="7">'Прил.4 РМ'!$A$1:$E$48</definedName>
    <definedName name="_xlnm.Print_Area" localSheetId="8">'Прил.5 Расчет СМР и ОБ'!$A$1:$J$79</definedName>
    <definedName name="_xlnm.Print_Area" localSheetId="13">ФОТи1.тек.!$A$1:$F$13</definedName>
    <definedName name="_xlnm.Print_Area" localSheetId="14">ФОТи2.тек.!$A$1:$F$13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6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6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6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6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6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6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6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6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6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6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6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6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6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6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6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6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6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6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6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6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6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6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6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6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6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6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6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6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6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6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6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6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6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6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6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6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6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6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6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6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6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6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6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6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6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6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6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6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6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6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6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6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6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6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6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6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6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6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6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6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6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6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6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6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6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6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6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6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6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6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6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6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6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6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6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6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6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6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6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6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6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6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6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6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6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6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6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6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6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6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6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6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6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6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6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6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6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6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6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6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6">#REF!</definedName>
    <definedName name="ол" localSheetId="16">#REF!</definedName>
    <definedName name="ол" localSheetId="17">#REF!</definedName>
    <definedName name="ол" localSheetId="8">#REF!</definedName>
    <definedName name="ол" localSheetId="10">#REF!</definedName>
    <definedName name="ол" localSheetId="13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6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6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6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6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6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6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6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6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6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6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6">#REF!</definedName>
    <definedName name="ооо" localSheetId="16">#REF!</definedName>
    <definedName name="ооо" localSheetId="17">#REF!</definedName>
    <definedName name="ооо" localSheetId="8">#REF!</definedName>
    <definedName name="ооо" localSheetId="10">#REF!</definedName>
    <definedName name="ооо" localSheetId="13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6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6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6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6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6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6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6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6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6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6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10">#REF!</definedName>
    <definedName name="ОсвоениеИмущества" localSheetId="13">#REF!</definedName>
    <definedName name="ОсвоениеИмущества" localSheetId="14">#REF!</definedName>
    <definedName name="ОсвоениеИмущества">#REF!</definedName>
    <definedName name="ОсвоениеИП" localSheetId="10">#REF!</definedName>
    <definedName name="ОсвоениеИП" localSheetId="13">#REF!</definedName>
    <definedName name="ОсвоениеИП" localSheetId="14">#REF!</definedName>
    <definedName name="ОсвоениеИП">#REF!</definedName>
    <definedName name="ОсвоениеНИОКР" localSheetId="10">#REF!</definedName>
    <definedName name="ОсвоениеНИОКР" localSheetId="13">#REF!</definedName>
    <definedName name="ОсвоениеНИОКР" localSheetId="14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6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10">#REF!</definedName>
    <definedName name="ОтпускИзЕНЭС" localSheetId="13">#REF!</definedName>
    <definedName name="ОтпускИзЕНЭС" localSheetId="14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6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6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6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6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6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6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6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6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6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6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6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6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6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6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6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6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6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6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6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6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6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6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6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6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6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6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6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6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6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6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6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6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6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6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6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6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6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6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6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6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6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6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6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6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6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6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6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6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6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6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10">#REF!</definedName>
    <definedName name="ПотериНорма" localSheetId="13">#REF!</definedName>
    <definedName name="ПотериНорма" localSheetId="14">#REF!</definedName>
    <definedName name="ПотериНорма">#REF!</definedName>
    <definedName name="ПотериФакт" localSheetId="10">#REF!</definedName>
    <definedName name="ПотериФакт" localSheetId="13">#REF!</definedName>
    <definedName name="ПотериФакт" localSheetId="14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6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6">#REF!</definedName>
    <definedName name="пп" localSheetId="16">#REF!</definedName>
    <definedName name="пп" localSheetId="17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6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6">#REF!</definedName>
    <definedName name="ппп" localSheetId="16">#REF!</definedName>
    <definedName name="ппп" localSheetId="17">#REF!</definedName>
    <definedName name="ппп" localSheetId="8">#REF!</definedName>
    <definedName name="ппп" localSheetId="10">#REF!</definedName>
    <definedName name="ппп" localSheetId="13">#REF!</definedName>
    <definedName name="ппп" localSheetId="14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6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6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6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6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10">#REF!</definedName>
    <definedName name="Прибыль_RAB">#REF!</definedName>
    <definedName name="Прибыль_Масса" localSheetId="10">#REF!</definedName>
    <definedName name="Прибыль_Масса">#REF!</definedName>
    <definedName name="Прибыль_Метод" localSheetId="10">#REF!</definedName>
    <definedName name="Прибыль_Метод">#REF!</definedName>
    <definedName name="Прибыль_ПроцентОС" localSheetId="10">#REF!</definedName>
    <definedName name="Прибыль_ПроцентОС">#REF!</definedName>
    <definedName name="Прибыль_ПроцентСС" localSheetId="10">#REF!</definedName>
    <definedName name="Прибыль_ПроцентСС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6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6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6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10">#REF!</definedName>
    <definedName name="приоб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6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6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6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6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6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6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6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6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6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6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6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6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6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6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6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6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6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6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6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6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6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6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6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6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6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6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6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6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6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6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6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6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6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6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6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6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6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6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6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6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6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6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6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6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6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6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6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6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6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6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6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6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6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6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6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6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6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6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6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6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6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6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6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6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6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6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6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6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6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6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6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6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6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6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6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6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6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6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6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6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6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6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6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6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6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6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6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6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6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10">#REF!</definedName>
    <definedName name="расш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10">#REF!</definedName>
    <definedName name="Расшифровка" localSheetId="13">#REF!</definedName>
    <definedName name="Расшифровка" localSheetId="14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6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6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6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6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6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6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6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6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6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6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6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6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6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6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6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6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6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6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6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6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6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6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6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6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6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6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6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6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6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6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6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6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6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6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6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6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6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6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6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6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6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6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3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6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6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6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6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6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6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6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6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6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6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6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6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6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6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6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6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6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6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6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6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6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6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6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6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6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6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6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6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6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6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6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6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6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10">#REF!</definedName>
    <definedName name="СтавкаАмортизации" localSheetId="13">#REF!</definedName>
    <definedName name="СтавкаАмортизации" localSheetId="14">#REF!</definedName>
    <definedName name="СтавкаАмортизации">#REF!</definedName>
    <definedName name="СтавкаДепозитов" localSheetId="10">#REF!</definedName>
    <definedName name="СтавкаДепозитов" localSheetId="13">#REF!</definedName>
    <definedName name="СтавкаДепозитов" localSheetId="14">#REF!</definedName>
    <definedName name="СтавкаДепозитов">#REF!</definedName>
    <definedName name="СтавкаДивидендов" localSheetId="10">#REF!</definedName>
    <definedName name="СтавкаДивидендов" localSheetId="13">#REF!</definedName>
    <definedName name="СтавкаДивидендов" localSheetId="14">#REF!</definedName>
    <definedName name="СтавкаДивидендов">#REF!</definedName>
    <definedName name="СтавкаДКЗ" localSheetId="10">#REF!</definedName>
    <definedName name="СтавкаДКЗ">#REF!</definedName>
    <definedName name="СтавкаЕСН" localSheetId="10">#REF!</definedName>
    <definedName name="СтавкаЕСН">#REF!</definedName>
    <definedName name="СтавкаНДС" localSheetId="10">#REF!</definedName>
    <definedName name="СтавкаНДС">#REF!</definedName>
    <definedName name="СтавкаНП" localSheetId="10">#REF!</definedName>
    <definedName name="СтавкаНП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10">#REF!</definedName>
    <definedName name="страх" localSheetId="13">#REF!</definedName>
    <definedName name="страх" localSheetId="14">#REF!</definedName>
    <definedName name="страх">#REF!</definedName>
    <definedName name="страхов" localSheetId="10">#REF!</definedName>
    <definedName name="страхов" localSheetId="13">#REF!</definedName>
    <definedName name="страхов" localSheetId="14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6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6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6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6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6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6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6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6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6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6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6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6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6">#REF!</definedName>
    <definedName name="ттт" localSheetId="16">#REF!</definedName>
    <definedName name="ттт" localSheetId="17">#REF!</definedName>
    <definedName name="ттт" localSheetId="8">#REF!</definedName>
    <definedName name="ттт" localSheetId="10">#REF!</definedName>
    <definedName name="ттт" localSheetId="13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6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6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3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6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6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6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6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6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6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6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6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6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6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6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6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6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6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6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6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6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6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6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6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6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6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6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6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6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6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6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6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6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10">#REF!</definedName>
    <definedName name="УслугиТОиР_ГС" localSheetId="13">#REF!</definedName>
    <definedName name="УслугиТОиР_ГС" localSheetId="14">#REF!</definedName>
    <definedName name="УслугиТОиР_ГС">#REF!</definedName>
    <definedName name="УслугиТОиР_ЭСС" localSheetId="10">#REF!</definedName>
    <definedName name="УслугиТОиР_ЭСС" localSheetId="13">#REF!</definedName>
    <definedName name="УслугиТОиР_ЭСС" localSheetId="14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6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6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6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6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6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6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6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6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6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6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6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6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6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6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6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6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6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6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6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6">#REF!</definedName>
    <definedName name="ффф" localSheetId="16">#REF!</definedName>
    <definedName name="ффф" localSheetId="17">#REF!</definedName>
    <definedName name="ффф" localSheetId="8">#REF!</definedName>
    <definedName name="ффф" localSheetId="10">#REF!</definedName>
    <definedName name="ффф" localSheetId="13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6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6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6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6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6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6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6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6">#REF!</definedName>
    <definedName name="хх" localSheetId="16">#REF!</definedName>
    <definedName name="хх" localSheetId="17">#REF!</definedName>
    <definedName name="хх" localSheetId="8">#REF!</definedName>
    <definedName name="хх" localSheetId="10">#REF!</definedName>
    <definedName name="хх" localSheetId="13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6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6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6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6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6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6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6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6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6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6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6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6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6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6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6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6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6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6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6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6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6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6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6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6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6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6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6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6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6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6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6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6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6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6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6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6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6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6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6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6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6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6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6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6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6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6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6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6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6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6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6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6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6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6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6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6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6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6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6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6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6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6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6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6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6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6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6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6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6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6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6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6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6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6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6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6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6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6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6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6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6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6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6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6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6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6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6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6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6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6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6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6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6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6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6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6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6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6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6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6">#REF!</definedName>
    <definedName name="цц" localSheetId="16">#REF!</definedName>
    <definedName name="цц" localSheetId="17">#REF!</definedName>
    <definedName name="цц" localSheetId="8">#REF!</definedName>
    <definedName name="цц" localSheetId="10">#REF!</definedName>
    <definedName name="цц" localSheetId="13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6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6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6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6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6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6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6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6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6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6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6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6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6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6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6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6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6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6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6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6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6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6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6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6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6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6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6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6">#REF!</definedName>
    <definedName name="шш" localSheetId="16">#REF!</definedName>
    <definedName name="шш" localSheetId="17">#REF!</definedName>
    <definedName name="шш" localSheetId="8">#REF!</definedName>
    <definedName name="шш" localSheetId="10">#REF!</definedName>
    <definedName name="шш" localSheetId="13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6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6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6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6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6">#REF!</definedName>
    <definedName name="щщ" localSheetId="16">#REF!</definedName>
    <definedName name="щщ" localSheetId="17">#REF!</definedName>
    <definedName name="щщ" localSheetId="8">#REF!</definedName>
    <definedName name="щщ" localSheetId="10">#REF!</definedName>
    <definedName name="щщ" localSheetId="13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6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6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6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6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6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6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6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6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6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6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6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6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6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6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6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6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6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6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6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6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6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6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6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6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6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6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6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6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6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6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6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6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6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6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6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6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6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6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6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6">#REF!</definedName>
    <definedName name="ььь" localSheetId="16">#REF!</definedName>
    <definedName name="ььь" localSheetId="17">#REF!</definedName>
    <definedName name="ььь" localSheetId="8">#REF!</definedName>
    <definedName name="ььь" localSheetId="10">#REF!</definedName>
    <definedName name="ььь" localSheetId="13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6">#REF!</definedName>
    <definedName name="э" localSheetId="16">#REF!</definedName>
    <definedName name="э" localSheetId="17">#REF!</definedName>
    <definedName name="э" localSheetId="8">#REF!</definedName>
    <definedName name="э" localSheetId="10">#REF!</definedName>
    <definedName name="э" localSheetId="13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6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6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6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6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6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6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6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6">граж</definedName>
    <definedName name="ЭКСПО" localSheetId="15">граж</definedName>
    <definedName name="ЭКСПО" localSheetId="17">граж</definedName>
    <definedName name="ЭКСПО" localSheetId="11">граж</definedName>
    <definedName name="ЭКСПО" localSheetId="3">граж</definedName>
    <definedName name="ЭКСПО" localSheetId="4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3">граж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6">граж</definedName>
    <definedName name="ЭКСПОФОРУМ" localSheetId="15">граж</definedName>
    <definedName name="ЭКСПОФОРУМ" localSheetId="17">граж</definedName>
    <definedName name="ЭКСПОФОРУМ" localSheetId="11">граж</definedName>
    <definedName name="ЭКСПОФОРУМ" localSheetId="3">граж</definedName>
    <definedName name="ЭКСПОФОРУМ" localSheetId="4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3">граж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10">#REF!</definedName>
    <definedName name="электроэнер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6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6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6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6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6">#REF!</definedName>
    <definedName name="юююю" localSheetId="16">#REF!</definedName>
    <definedName name="юююю" localSheetId="17">#REF!</definedName>
    <definedName name="юююю" localSheetId="8">#REF!</definedName>
    <definedName name="юююю" localSheetId="10">#REF!</definedName>
    <definedName name="юююю" localSheetId="13">#REF!</definedName>
    <definedName name="юююю" localSheetId="14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6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6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6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6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6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6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6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6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E13" i="14"/>
  <c r="E8" i="14"/>
  <c r="E29" i="13"/>
  <c r="E24" i="13"/>
  <c r="E21" i="13"/>
  <c r="E16" i="13"/>
  <c r="E13" i="13"/>
  <c r="E8" i="13"/>
  <c r="D11" i="11"/>
  <c r="C11" i="11"/>
  <c r="D5" i="11"/>
  <c r="G16" i="10"/>
  <c r="G15" i="10"/>
  <c r="G14" i="10"/>
  <c r="G13" i="10"/>
  <c r="G12" i="10"/>
  <c r="J73" i="9"/>
  <c r="G73" i="9"/>
  <c r="J72" i="9"/>
  <c r="G72" i="9"/>
  <c r="J71" i="9"/>
  <c r="G71" i="9"/>
  <c r="J70" i="9"/>
  <c r="G70" i="9"/>
  <c r="J69" i="9"/>
  <c r="G69" i="9"/>
  <c r="J68" i="9"/>
  <c r="G68" i="9"/>
  <c r="J67" i="9"/>
  <c r="G67" i="9"/>
  <c r="J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J56" i="9"/>
  <c r="I56" i="9"/>
  <c r="H56" i="9"/>
  <c r="G56" i="9"/>
  <c r="J55" i="9"/>
  <c r="I55" i="9"/>
  <c r="H55" i="9"/>
  <c r="G55" i="9"/>
  <c r="J54" i="9"/>
  <c r="I54" i="9"/>
  <c r="H54" i="9"/>
  <c r="G54" i="9"/>
  <c r="J53" i="9"/>
  <c r="I53" i="9"/>
  <c r="H53" i="9"/>
  <c r="G53" i="9"/>
  <c r="J52" i="9"/>
  <c r="I52" i="9"/>
  <c r="H52" i="9"/>
  <c r="G52" i="9"/>
  <c r="J51" i="9"/>
  <c r="I51" i="9"/>
  <c r="H51" i="9"/>
  <c r="G51" i="9"/>
  <c r="J50" i="9"/>
  <c r="H50" i="9"/>
  <c r="G50" i="9"/>
  <c r="J49" i="9"/>
  <c r="I49" i="9"/>
  <c r="H49" i="9"/>
  <c r="G49" i="9"/>
  <c r="J48" i="9"/>
  <c r="I48" i="9"/>
  <c r="H48" i="9"/>
  <c r="G48" i="9"/>
  <c r="J47" i="9"/>
  <c r="I47" i="9"/>
  <c r="H47" i="9"/>
  <c r="G47" i="9"/>
  <c r="J46" i="9"/>
  <c r="I46" i="9"/>
  <c r="H46" i="9"/>
  <c r="G46" i="9"/>
  <c r="J45" i="9"/>
  <c r="I45" i="9"/>
  <c r="H45" i="9"/>
  <c r="G45" i="9"/>
  <c r="J44" i="9"/>
  <c r="I44" i="9"/>
  <c r="H44" i="9"/>
  <c r="G44" i="9"/>
  <c r="J43" i="9"/>
  <c r="I43" i="9"/>
  <c r="H43" i="9"/>
  <c r="G43" i="9"/>
  <c r="J40" i="9"/>
  <c r="G40" i="9"/>
  <c r="J39" i="9"/>
  <c r="H39" i="9"/>
  <c r="G39" i="9"/>
  <c r="J38" i="9"/>
  <c r="H38" i="9"/>
  <c r="G38" i="9"/>
  <c r="J37" i="9"/>
  <c r="H37" i="9"/>
  <c r="G37" i="9"/>
  <c r="F37" i="9"/>
  <c r="J36" i="9"/>
  <c r="H36" i="9"/>
  <c r="G36" i="9"/>
  <c r="F36" i="9"/>
  <c r="J35" i="9"/>
  <c r="H35" i="9"/>
  <c r="G35" i="9"/>
  <c r="J34" i="9"/>
  <c r="H34" i="9"/>
  <c r="G34" i="9"/>
  <c r="F34" i="9"/>
  <c r="J31" i="9"/>
  <c r="G31" i="9"/>
  <c r="J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I25" i="9"/>
  <c r="H25" i="9"/>
  <c r="G25" i="9"/>
  <c r="J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18" i="9"/>
  <c r="I18" i="9"/>
  <c r="F18" i="9"/>
  <c r="J16" i="9"/>
  <c r="G16" i="9"/>
  <c r="E16" i="9"/>
  <c r="J15" i="9"/>
  <c r="I15" i="9"/>
  <c r="H15" i="9"/>
  <c r="G15" i="9"/>
  <c r="J14" i="9"/>
  <c r="I14" i="9"/>
  <c r="H14" i="9"/>
  <c r="G14" i="9"/>
  <c r="J13" i="9"/>
  <c r="I13" i="9"/>
  <c r="H13" i="9"/>
  <c r="G13" i="9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E30" i="8"/>
  <c r="C30" i="8"/>
  <c r="E29" i="8"/>
  <c r="C29" i="8"/>
  <c r="E27" i="8"/>
  <c r="C27" i="8"/>
  <c r="E26" i="8"/>
  <c r="C26" i="8"/>
  <c r="E25" i="8"/>
  <c r="C25" i="8"/>
  <c r="E24" i="8"/>
  <c r="D24" i="8"/>
  <c r="C24" i="8"/>
  <c r="C23" i="8"/>
  <c r="E22" i="8"/>
  <c r="D22" i="8"/>
  <c r="C22" i="8"/>
  <c r="C21" i="8"/>
  <c r="E20" i="8"/>
  <c r="D20" i="8"/>
  <c r="C20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B36" i="7"/>
  <c r="D35" i="7"/>
  <c r="B35" i="7"/>
  <c r="D34" i="7"/>
  <c r="B34" i="7"/>
  <c r="D33" i="7"/>
  <c r="B33" i="7"/>
  <c r="D32" i="7"/>
  <c r="B32" i="7"/>
  <c r="D30" i="7"/>
  <c r="B30" i="7"/>
  <c r="D28" i="7"/>
  <c r="B28" i="7"/>
  <c r="D27" i="7"/>
  <c r="B27" i="7"/>
  <c r="D26" i="7"/>
  <c r="B26" i="7"/>
  <c r="D24" i="7"/>
  <c r="B24" i="7"/>
  <c r="D23" i="7"/>
  <c r="B23" i="7"/>
  <c r="D22" i="7"/>
  <c r="B22" i="7"/>
  <c r="D21" i="7"/>
  <c r="C21" i="7"/>
  <c r="B21" i="7"/>
  <c r="B20" i="7"/>
  <c r="D19" i="7"/>
  <c r="C19" i="7"/>
  <c r="B19" i="7"/>
  <c r="B18" i="7"/>
  <c r="D17" i="7"/>
  <c r="C17" i="7"/>
  <c r="B17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A4" i="7"/>
  <c r="A2" i="7"/>
  <c r="H53" i="6"/>
  <c r="H52" i="6"/>
  <c r="H51" i="6"/>
  <c r="H50" i="6"/>
  <c r="H49" i="6"/>
  <c r="H48" i="6"/>
  <c r="H47" i="6"/>
  <c r="H46" i="6"/>
  <c r="H45" i="6"/>
  <c r="H44" i="6"/>
  <c r="H43" i="6"/>
  <c r="F43" i="6"/>
  <c r="H42" i="6"/>
  <c r="H41" i="6"/>
  <c r="H40" i="6"/>
  <c r="H39" i="6"/>
  <c r="H38" i="6"/>
  <c r="H37" i="6"/>
  <c r="H36" i="6"/>
  <c r="H35" i="6"/>
  <c r="F34" i="6"/>
  <c r="H34" i="6" s="1"/>
  <c r="H33" i="6"/>
  <c r="F33" i="6"/>
  <c r="F32" i="6"/>
  <c r="H32" i="6" s="1"/>
  <c r="H31" i="6" s="1"/>
  <c r="H30" i="6"/>
  <c r="H29" i="6"/>
  <c r="H28" i="6"/>
  <c r="H27" i="6" s="1"/>
  <c r="H26" i="6"/>
  <c r="H25" i="6"/>
  <c r="H24" i="6"/>
  <c r="H23" i="6"/>
  <c r="H22" i="6"/>
  <c r="H21" i="6"/>
  <c r="H20" i="6"/>
  <c r="H18" i="6" s="1"/>
  <c r="H19" i="6"/>
  <c r="A17" i="6"/>
  <c r="A19" i="6" s="1"/>
  <c r="A20" i="6" s="1"/>
  <c r="A21" i="6" s="1"/>
  <c r="A22" i="6" s="1"/>
  <c r="A23" i="6" s="1"/>
  <c r="A24" i="6" s="1"/>
  <c r="A25" i="6" s="1"/>
  <c r="A26" i="6" s="1"/>
  <c r="A28" i="6" s="1"/>
  <c r="A29" i="6" s="1"/>
  <c r="A30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H16" i="6"/>
  <c r="H15" i="6"/>
  <c r="H14" i="6"/>
  <c r="H12" i="6" s="1"/>
  <c r="H13" i="6"/>
  <c r="F12" i="6"/>
  <c r="J14" i="5"/>
  <c r="I14" i="5"/>
  <c r="H14" i="5"/>
  <c r="G14" i="5"/>
  <c r="F14" i="5"/>
  <c r="J13" i="5"/>
  <c r="H13" i="5"/>
  <c r="G13" i="5"/>
  <c r="F13" i="5"/>
  <c r="J12" i="5"/>
  <c r="C12" i="5"/>
  <c r="D24" i="4"/>
  <c r="D23" i="4"/>
  <c r="D21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<sst xmlns="http://schemas.openxmlformats.org/spreadsheetml/2006/main" count="905" uniqueCount="450">
  <si>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</si>
  <si>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</si>
  <si>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</si>
  <si>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</si>
  <si>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</si>
  <si>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</si>
  <si>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</si>
  <si>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</si>
  <si>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</si>
  <si>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</si>
  <si>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</si>
  <si>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</si>
  <si>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</si>
  <si>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</si>
  <si>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</si>
  <si>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</si>
  <si>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</si>
  <si>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</si>
  <si>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</si>
  <si>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</si>
  <si>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</si>
  <si>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</si>
  <si>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</si>
  <si>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</si>
  <si>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</si>
  <si>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</si>
  <si>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</si>
  <si>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</si>
  <si>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</si>
  <si>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</si>
  <si>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</si>
  <si>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</si>
  <si>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</si>
  <si>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</si>
  <si>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</si>
  <si>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</si>
  <si>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</si>
  <si>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</si>
  <si>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</si>
  <si>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</si>
  <si>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</si>
  <si>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</si>
  <si>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</si>
  <si>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</si>
  <si>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</si>
  <si>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</si>
  <si>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</si>
  <si>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</si>
  <si>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Элементы ПС без устройства фундаментов. Цифровой ТН на три фазы 6-15 кВ.</t>
  </si>
  <si>
    <t>Сопоставимый уровень цен: 4 кв. 2016 г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</si>
  <si>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</si>
  <si>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</si>
  <si>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</si>
  <si>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</si>
  <si>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Строительство ПС 110/35/10 кВ "Южная" с заходами ВЛ 110/35/10 кВ в Зашекснинском районе г.Череповец (2 пусковой комплекс)</t>
  </si>
  <si>
    <t>Наименование субъекта Российской Федерации</t>
  </si>
  <si>
    <t>Вологодская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</si>
  <si>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</si>
  <si>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</si>
  <si>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</si>
  <si>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</si>
  <si>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Трансформатор напряжения цифровой 10 кВ, 2000 ВА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</si>
  <si>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</si>
  <si>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</si>
  <si>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</si>
  <si>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</si>
  <si>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</si>
  <si>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</si>
  <si>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</si>
  <si>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</si>
  <si>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</si>
  <si>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</si>
  <si>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2016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</si>
  <si>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</si>
  <si>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</si>
  <si>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</si>
  <si>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</si>
  <si>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</si>
  <si>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</si>
  <si>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</si>
  <si>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</si>
  <si>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</si>
  <si>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</si>
  <si>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</si>
  <si>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</si>
  <si>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2016 г., тыс. руб.</t>
  </si>
  <si>
    <t>Строительные работы</t>
  </si>
  <si>
    <t>Монтажные работы</t>
  </si>
  <si>
    <t>Прочее</t>
  </si>
  <si>
    <t>Всего</t>
  </si>
  <si>
    <t xml:space="preserve"> 02-01-23</t>
  </si>
  <si>
    <t>Установка силовых трансформаторов. Электротехнические решения</t>
  </si>
  <si>
    <t>Всего по объекту:</t>
  </si>
  <si>
    <t>Всего по объекту в сопоставимом уровне цен 4 кв. 2016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</si>
  <si>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</si>
  <si>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</si>
  <si>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</si>
  <si>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</si>
  <si>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</si>
  <si>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</si>
  <si>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</si>
  <si>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</si>
  <si>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</si>
  <si>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</si>
  <si>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</si>
  <si>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</si>
  <si>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</si>
  <si>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</t>
  </si>
  <si>
    <t>10-30-1</t>
  </si>
  <si>
    <t>Инженер I категории</t>
  </si>
  <si>
    <t>чел.час</t>
  </si>
  <si>
    <t>2</t>
  </si>
  <si>
    <t>10-30-2</t>
  </si>
  <si>
    <t>Инженер II категории</t>
  </si>
  <si>
    <t>3</t>
  </si>
  <si>
    <t>1-4-0</t>
  </si>
  <si>
    <t>Затраты труда рабочих (средний разряд работы 4,0)</t>
  </si>
  <si>
    <t>Затраты труда машинистов</t>
  </si>
  <si>
    <t>Машины и механизмы</t>
  </si>
  <si>
    <t>91.11.01-012</t>
  </si>
  <si>
    <t>Машины монтажные для выполнения работ при прокладке и монтаже кабеля на базе автомобиля</t>
  </si>
  <si>
    <t>маш.час</t>
  </si>
  <si>
    <t>91.10.01-002</t>
  </si>
  <si>
    <t>Агрегаты наполнительно-опрессовочные: до 300 м3/ч</t>
  </si>
  <si>
    <t>91.06.03-058</t>
  </si>
  <si>
    <t>Лебедки электрические тяговым усилием: 156,96 кН (16 т)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</si>
  <si>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</si>
  <si>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</si>
  <si>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</si>
  <si>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</si>
  <si>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91.06.06-042</t>
  </si>
  <si>
    <t>Подъемники гидравлические высотой подъема: 10 м</t>
  </si>
  <si>
    <t>91.17.04-233</t>
  </si>
  <si>
    <t>Установки для сварки: ручной дуговой (постоянного тока)</t>
  </si>
  <si>
    <t>91.06.01-003</t>
  </si>
  <si>
    <t>Домкраты гидравлические, грузоподъемность 63-100 т</t>
  </si>
  <si>
    <t>Прайс из СД ОП</t>
  </si>
  <si>
    <t>компл</t>
  </si>
  <si>
    <t>Ящик АВР цепей напряжения ЯАВР2.1-АСКУЭ-220В</t>
  </si>
  <si>
    <t>шт.</t>
  </si>
  <si>
    <t>Ящик цепей напряжения ЯЗН-11-АСКУЭ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</si>
  <si>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</si>
  <si>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</si>
  <si>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</si>
  <si>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</si>
  <si>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</si>
  <si>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</si>
  <si>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05.1.01.10-0131</t>
  </si>
  <si>
    <t>Лотки каналов и тоннелей железобетонные для прокладки коммуникаций</t>
  </si>
  <si>
    <t>м3</t>
  </si>
  <si>
    <t>21.2.01.02-0090</t>
  </si>
  <si>
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</si>
  <si>
    <t>т</t>
  </si>
  <si>
    <t>61.2.04.01-0002</t>
  </si>
  <si>
    <t>Арматура светосигнальная АМЕ с лампой накаливания КМ- 24В</t>
  </si>
  <si>
    <t>10 шт.</t>
  </si>
  <si>
    <t>20.1.01.02-0062</t>
  </si>
  <si>
    <t>Зажим аппаратный прессуемый: А4А-150-2</t>
  </si>
  <si>
    <t>100 шт.</t>
  </si>
  <si>
    <t>01.7.17.11-0001</t>
  </si>
  <si>
    <t>Бумага шлифовальная</t>
  </si>
  <si>
    <t>кг</t>
  </si>
  <si>
    <t>999-9950</t>
  </si>
  <si>
    <t>Вспомогательные ненормируемые ресурсы (2% от Оплаты труда рабочих)</t>
  </si>
  <si>
    <t>руб</t>
  </si>
  <si>
    <t>20.2.08.05-0017</t>
  </si>
  <si>
    <t>Профиль монтажный</t>
  </si>
  <si>
    <t>20.1.01.03-0002</t>
  </si>
  <si>
    <t>Зажим винтовой ЗВИ-10 2,5-6 мм2 12 пар</t>
  </si>
  <si>
    <t>01.7.15.03-0042</t>
  </si>
  <si>
    <t>Болты с гайками и шайбами строительные</t>
  </si>
  <si>
    <t>02.2.05.04-1777</t>
  </si>
  <si>
    <t>Щебень М 800, фракция 20-40 мм, группа 2</t>
  </si>
  <si>
    <t>20.2.08.07-0072</t>
  </si>
  <si>
    <t>Скобы металлические для крепления проводов</t>
  </si>
  <si>
    <t>08.3.07.01-0076</t>
  </si>
  <si>
    <t>Сталь полосовая, марка стали: Ст3сп шириной 50-200 мм толщиной 4-5 мм</t>
  </si>
  <si>
    <t>01.7.11.07-0034</t>
  </si>
  <si>
    <t>Электроды диаметром: 4 мм Э42А</t>
  </si>
  <si>
    <t>01.7.15.07-0031</t>
  </si>
  <si>
    <t>Дюбели распорные с гайкой</t>
  </si>
  <si>
    <t>03.2.01.01-0003</t>
  </si>
  <si>
    <t>Портландцемент общестроительного назначения бездобавочный, марки: 500</t>
  </si>
  <si>
    <t>14.4.02.09-0001</t>
  </si>
  <si>
    <t>Краска</t>
  </si>
  <si>
    <t>01.3.01.06-0050</t>
  </si>
  <si>
    <t>Смазка универсальная тугоплавкая УТ (консталин жировой)</t>
  </si>
  <si>
    <t>01.7.20.08-0031</t>
  </si>
  <si>
    <t>Бязь суровая арт. 6804</t>
  </si>
  <si>
    <t>10 м2</t>
  </si>
  <si>
    <t>02.3.01.02-0020</t>
  </si>
  <si>
    <t>Песок природный для строительных: растворов средний</t>
  </si>
  <si>
    <t>08.3.07.01-0043</t>
  </si>
  <si>
    <t>Сталь полосовая: 40х5 мм, марка Ст3сп</t>
  </si>
  <si>
    <t>Ресурсная модель</t>
  </si>
  <si>
    <t>Наименование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</si>
  <si>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</si>
  <si>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</si>
  <si>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</si>
  <si>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</si>
  <si>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</si>
  <si>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</si>
  <si>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</si>
  <si>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</si>
  <si>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</si>
  <si>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</si>
  <si>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</si>
  <si>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</si>
  <si>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</si>
  <si>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</si>
  <si>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</si>
  <si>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</si>
  <si>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</si>
  <si>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</si>
  <si>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</si>
  <si>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</si>
  <si>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</si>
  <si>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</si>
  <si>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</si>
  <si>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</si>
  <si>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</si>
  <si>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</si>
  <si>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</si>
  <si>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</si>
  <si>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</si>
  <si>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</si>
  <si>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</si>
  <si>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</si>
  <si>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</si>
  <si>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</si>
  <si>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</si>
  <si>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</si>
  <si>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</si>
  <si>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- 2,5%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</si>
  <si>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</si>
  <si>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</si>
  <si>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</si>
  <si>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</si>
  <si>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</si>
  <si>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</si>
  <si>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</si>
  <si>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</si>
  <si>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</si>
  <si>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</si>
  <si>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 xml:space="preserve">Наименование разрабатываемого показателя УНЦ - </t>
  </si>
  <si>
    <t>Элементы ПС без устройства фундаментов. Цифровой ТН на три фазы 6-15 кВ.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</si>
  <si>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</si>
  <si>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</si>
  <si>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</si>
  <si>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</si>
  <si>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</si>
  <si>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</si>
  <si>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</si>
  <si>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</si>
  <si>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</si>
  <si>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</si>
  <si>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</si>
  <si>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</si>
  <si>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</si>
  <si>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</si>
  <si>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БЦ.16_1.155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</si>
  <si>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</si>
  <si>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</si>
  <si>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</si>
  <si>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</si>
  <si>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</si>
  <si>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</si>
  <si>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</si>
  <si>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</si>
  <si>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</si>
  <si>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</si>
  <si>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</si>
  <si>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</si>
  <si>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</si>
  <si>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</si>
  <si>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</si>
  <si>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</si>
  <si>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</si>
  <si>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</si>
  <si>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</si>
  <si>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БЦ.16.1.155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</si>
  <si>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</si>
  <si>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</si>
  <si>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</si>
  <si>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</si>
  <si>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>Наименование РМ, входящих в состав показателя</t>
  </si>
  <si>
    <t>Норматив цены на 01.01.2023, тыс.руб.</t>
  </si>
  <si>
    <t>И10-08-1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</si>
  <si>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</si>
  <si>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</si>
  <si>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</si>
  <si>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</si>
  <si>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</si>
  <si>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</si>
  <si>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</si>
  <si>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</si>
  <si>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</si>
  <si>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</si>
  <si>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</si>
  <si>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</si>
  <si>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</si>
  <si>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</si>
  <si>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</si>
  <si>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</si>
  <si>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</si>
  <si>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</si>
  <si>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Расчёт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</si>
  <si>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</si>
  <si>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</si>
  <si>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</si>
  <si>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</si>
  <si>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</si>
  <si>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</si>
  <si>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</si>
  <si>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</si>
  <si>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</si>
  <si>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</si>
  <si>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</si>
  <si>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</si>
  <si>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</si>
  <si>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</si>
  <si>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</si>
  <si>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</si>
  <si>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</si>
  <si>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</si>
  <si>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</si>
  <si>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</si>
  <si>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</si>
  <si>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</si>
  <si>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</si>
  <si>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</si>
  <si>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</si>
  <si>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</si>
  <si>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</si>
  <si>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</si>
  <si>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</si>
  <si>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</si>
  <si>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</si>
  <si>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</si>
  <si>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</si>
  <si>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</si>
  <si>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</si>
  <si>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</si>
  <si>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</si>
  <si>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</si>
  <si>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</si>
  <si>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</si>
  <si>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</si>
  <si>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</si>
  <si>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</si>
  <si>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r>
      <t>С</t>
    </r>
    <r>
      <rPr>
        <vertAlign val="subscript"/>
        <sz val="11"/>
        <color rgb="FF000000"/>
        <rFont val="Calibri"/>
      </rPr>
      <t>1ср</t>
    </r>
  </si>
  <si>
    <r>
      <t>t</t>
    </r>
    <r>
      <rPr>
        <vertAlign val="subscript"/>
        <sz val="11"/>
        <color rgb="FF000000"/>
        <rFont val="Calibri"/>
      </rPr>
      <t>ср</t>
    </r>
  </si>
  <si>
    <r>
      <t>К</t>
    </r>
    <r>
      <rPr>
        <vertAlign val="subscript"/>
        <sz val="11"/>
        <color rgb="FF000000"/>
        <rFont val="Calibri"/>
      </rPr>
      <t>Т</t>
    </r>
  </si>
  <si>
    <r>
      <t>К</t>
    </r>
    <r>
      <rPr>
        <vertAlign val="subscript"/>
        <sz val="11"/>
        <color rgb="FF000000"/>
        <rFont val="Calibri"/>
      </rPr>
      <t>инф</t>
    </r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</si>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</sst>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\ _₽"/>
    <numFmt numFmtId="170" formatCode="#,##0.0000"/>
  </numFmts>
  <fonts count="37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b/>
      <i/>
      <sz val="10"/>
      <color rgb="FF000000"/>
      <name val="Arial Cyr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0"/>
      <color rgb="FF000000"/>
      <name val="Arial Cyr"/>
    </font>
    <font>
      <sz val="10"/>
      <color rgb="FF000000"/>
      <name val="Times New Roman"/>
    </font>
    <font>
      <b/>
      <sz val="12"/>
      <color rgb="FF000000"/>
      <name val="Arial"/>
    </font>
    <font>
      <b/>
      <sz val="12"/>
      <color rgb="FF000000"/>
      <name val="Calibri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15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49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right" vertical="center" wrapText="1"/>
    </xf>
    <xf numFmtId="169" fontId="23" fillId="0" borderId="1" xfId="0" applyNumberFormat="1" applyFont="1" applyBorder="1" applyAlignment="1">
      <alignment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24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 applyAlignment="1">
      <alignment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justify" vertical="center"/>
    </xf>
    <xf numFmtId="0" fontId="0" fillId="4" borderId="0" xfId="0" applyFill="1"/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 wrapText="1"/>
    </xf>
    <xf numFmtId="0" fontId="11" fillId="4" borderId="0" xfId="0" applyFont="1" applyFill="1" applyAlignment="1">
      <alignment vertical="top"/>
    </xf>
    <xf numFmtId="0" fontId="25" fillId="4" borderId="0" xfId="0" applyFont="1" applyFill="1" applyAlignment="1">
      <alignment horizontal="center" vertical="center"/>
    </xf>
    <xf numFmtId="2" fontId="25" fillId="4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right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49" fontId="1" fillId="4" borderId="0" xfId="0" applyNumberFormat="1" applyFont="1" applyFill="1" applyAlignment="1">
      <alignment horizontal="center" vertical="top" wrapText="1"/>
    </xf>
    <xf numFmtId="0" fontId="1" fillId="4" borderId="0" xfId="0" applyFont="1" applyFill="1" applyAlignment="1">
      <alignment horizontal="right" vertical="top" wrapText="1"/>
    </xf>
    <xf numFmtId="2" fontId="1" fillId="4" borderId="0" xfId="0" applyNumberFormat="1" applyFont="1" applyFill="1" applyAlignment="1">
      <alignment horizontal="right" vertical="top" wrapText="1"/>
    </xf>
    <xf numFmtId="0" fontId="0" fillId="4" borderId="0" xfId="0" applyFill="1" applyAlignment="1">
      <alignment horizontal="center"/>
    </xf>
    <xf numFmtId="4" fontId="17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6" fillId="0" borderId="4" xfId="0" applyNumberFormat="1" applyFont="1" applyBorder="1" applyAlignment="1">
      <alignment vertical="center" wrapText="1"/>
    </xf>
    <xf numFmtId="4" fontId="26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" fontId="23" fillId="0" borderId="1" xfId="0" applyNumberFormat="1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top" wrapText="1"/>
    </xf>
    <xf numFmtId="4" fontId="23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4" borderId="0" xfId="0" applyFont="1" applyFill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9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 wrapText="1"/>
    </xf>
    <xf numFmtId="0" fontId="17" fillId="4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4" borderId="0" xfId="0" applyNumberFormat="1" applyFont="1" applyFill="1" applyAlignment="1">
      <alignment horizontal="left" vertical="top" wrapText="1"/>
    </xf>
    <xf numFmtId="4" fontId="4" fillId="4" borderId="0" xfId="0" applyNumberFormat="1" applyFont="1" applyFill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0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441326</xdr:colOff>
      <xdr:row>16</xdr:row>
      <xdr:rowOff>10085</xdr:rowOff>
    </xdr:from>
    <xdr:to>
      <xdr:col>2</xdr:col>
      <xdr:colOff>1344520</xdr:colOff>
      <xdr:row>17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1" y="44582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287805</xdr:colOff>
      <xdr:row>58</xdr:row>
      <xdr:rowOff>45944</xdr:rowOff>
    </xdr:from>
    <xdr:to>
      <xdr:col>3</xdr:col>
      <xdr:colOff>102347</xdr:colOff>
      <xdr:row>61</xdr:row>
      <xdr:rowOff>30069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158" y="13874003"/>
          <a:ext cx="935130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162299</xdr:colOff>
      <xdr:row>56</xdr:row>
      <xdr:rowOff>11765</xdr:rowOff>
    </xdr:from>
    <xdr:to>
      <xdr:col>2</xdr:col>
      <xdr:colOff>1062131</xdr:colOff>
      <xdr:row>57</xdr:row>
      <xdr:rowOff>167378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652" y="13458824"/>
          <a:ext cx="899832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976967</xdr:colOff>
      <xdr:row>43</xdr:row>
      <xdr:rowOff>52668</xdr:rowOff>
    </xdr:from>
    <xdr:to>
      <xdr:col>1</xdr:col>
      <xdr:colOff>1915459</xdr:colOff>
      <xdr:row>46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192" y="116731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1079501</xdr:colOff>
      <xdr:row>41</xdr:row>
      <xdr:rowOff>29135</xdr:rowOff>
    </xdr:from>
    <xdr:to>
      <xdr:col>1</xdr:col>
      <xdr:colOff>1982695</xdr:colOff>
      <xdr:row>42</xdr:row>
      <xdr:rowOff>175223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726" y="112686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1091267</xdr:colOff>
      <xdr:row>75</xdr:row>
      <xdr:rowOff>62193</xdr:rowOff>
    </xdr:from>
    <xdr:to>
      <xdr:col>2</xdr:col>
      <xdr:colOff>524809</xdr:colOff>
      <xdr:row>78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2267" y="13225743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1098551</xdr:colOff>
      <xdr:row>72</xdr:row>
      <xdr:rowOff>172010</xdr:rowOff>
    </xdr:from>
    <xdr:to>
      <xdr:col>2</xdr:col>
      <xdr:colOff>496795</xdr:colOff>
      <xdr:row>74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1" y="12773585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1034117</xdr:colOff>
      <xdr:row>18</xdr:row>
      <xdr:rowOff>90768</xdr:rowOff>
    </xdr:from>
    <xdr:to>
      <xdr:col>2</xdr:col>
      <xdr:colOff>801034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117" y="45389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1136651</xdr:colOff>
      <xdr:row>16</xdr:row>
      <xdr:rowOff>67235</xdr:rowOff>
    </xdr:from>
    <xdr:to>
      <xdr:col>2</xdr:col>
      <xdr:colOff>868270</xdr:colOff>
      <xdr:row>18</xdr:row>
      <xdr:rowOff>22823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651" y="41344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1062692</xdr:colOff>
      <xdr:row>13</xdr:row>
      <xdr:rowOff>71718</xdr:rowOff>
    </xdr:from>
    <xdr:to>
      <xdr:col>2</xdr:col>
      <xdr:colOff>19984</xdr:colOff>
      <xdr:row>16</xdr:row>
      <xdr:rowOff>27268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717" y="36816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1031876</xdr:colOff>
      <xdr:row>11</xdr:row>
      <xdr:rowOff>29135</xdr:rowOff>
    </xdr:from>
    <xdr:to>
      <xdr:col>1</xdr:col>
      <xdr:colOff>1935070</xdr:colOff>
      <xdr:row>12</xdr:row>
      <xdr:rowOff>175223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1" y="32581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1094628</xdr:colOff>
      <xdr:row>27</xdr:row>
      <xdr:rowOff>79562</xdr:rowOff>
    </xdr:from>
    <xdr:to>
      <xdr:col>1</xdr:col>
      <xdr:colOff>2033120</xdr:colOff>
      <xdr:row>30</xdr:row>
      <xdr:rowOff>35112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746" y="90442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1013946</xdr:colOff>
      <xdr:row>25</xdr:row>
      <xdr:rowOff>560</xdr:rowOff>
    </xdr:from>
    <xdr:to>
      <xdr:col>1</xdr:col>
      <xdr:colOff>1917140</xdr:colOff>
      <xdr:row>26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064" y="8584266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0" t="s">
        <v>0</v>
      </c>
      <c r="B2" s="230"/>
      <c r="C2" s="230"/>
    </row>
    <row r="3" spans="1:3" x14ac:dyDescent="0.25">
      <c r="A3" s="1"/>
      <c r="B3" s="1"/>
      <c r="C3" s="1"/>
    </row>
    <row r="4" spans="1:3" x14ac:dyDescent="0.25">
      <c r="A4" s="231" t="s">
        <v>1</v>
      </c>
      <c r="B4" s="231"/>
      <c r="C4" s="23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32" t="s">
        <v>3</v>
      </c>
      <c r="C6" s="232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726.77248062999001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77" t="s">
        <v>275</v>
      </c>
      <c r="B1" s="277"/>
      <c r="C1" s="277"/>
      <c r="D1" s="277"/>
      <c r="E1" s="277"/>
      <c r="F1" s="277"/>
      <c r="G1" s="277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30" t="s">
        <v>276</v>
      </c>
      <c r="B3" s="230"/>
      <c r="C3" s="230"/>
      <c r="D3" s="230"/>
      <c r="E3" s="230"/>
      <c r="F3" s="230"/>
      <c r="G3" s="230"/>
    </row>
    <row r="4" spans="1:7" ht="25.5" customHeight="1" x14ac:dyDescent="0.25">
      <c r="A4" s="233" t="s">
        <v>48</v>
      </c>
      <c r="B4" s="233"/>
      <c r="C4" s="233"/>
      <c r="D4" s="233"/>
      <c r="E4" s="233"/>
      <c r="F4" s="233"/>
      <c r="G4" s="233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3" t="s">
        <v>13</v>
      </c>
      <c r="B6" s="263" t="s">
        <v>98</v>
      </c>
      <c r="C6" s="263" t="s">
        <v>195</v>
      </c>
      <c r="D6" s="263" t="s">
        <v>100</v>
      </c>
      <c r="E6" s="275" t="s">
        <v>247</v>
      </c>
      <c r="F6" s="282" t="s">
        <v>102</v>
      </c>
      <c r="G6" s="282"/>
    </row>
    <row r="7" spans="1:7" x14ac:dyDescent="0.25">
      <c r="A7" s="263"/>
      <c r="B7" s="263"/>
      <c r="C7" s="263"/>
      <c r="D7" s="263"/>
      <c r="E7" s="276"/>
      <c r="F7" s="2" t="s">
        <v>250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78" t="s">
        <v>277</v>
      </c>
      <c r="C9" s="279"/>
      <c r="D9" s="279"/>
      <c r="E9" s="279"/>
      <c r="F9" s="279"/>
      <c r="G9" s="280"/>
    </row>
    <row r="10" spans="1:7" ht="27" customHeight="1" x14ac:dyDescent="0.25">
      <c r="A10" s="2"/>
      <c r="B10" s="104"/>
      <c r="C10" s="8" t="s">
        <v>278</v>
      </c>
      <c r="D10" s="104"/>
      <c r="E10" s="105"/>
      <c r="F10" s="103"/>
      <c r="G10" s="103">
        <v>0</v>
      </c>
    </row>
    <row r="11" spans="1:7" x14ac:dyDescent="0.25">
      <c r="A11" s="2"/>
      <c r="B11" s="262" t="s">
        <v>279</v>
      </c>
      <c r="C11" s="262"/>
      <c r="D11" s="262"/>
      <c r="E11" s="281"/>
      <c r="F11" s="265"/>
      <c r="G11" s="265"/>
    </row>
    <row r="12" spans="1:7" ht="25.5" customHeight="1" x14ac:dyDescent="0.25">
      <c r="A12" s="2">
        <v>1</v>
      </c>
      <c r="B12" s="194" t="s">
        <v>280</v>
      </c>
      <c r="C12" s="195" t="s">
        <v>61</v>
      </c>
      <c r="D12" s="2" t="s">
        <v>139</v>
      </c>
      <c r="E12" s="2">
        <v>3</v>
      </c>
      <c r="F12" s="103">
        <v>145945.95000000001</v>
      </c>
      <c r="G12" s="32">
        <f>E12*F12</f>
        <v>437837.85</v>
      </c>
    </row>
    <row r="13" spans="1:7" ht="25.5" customHeight="1" x14ac:dyDescent="0.25">
      <c r="A13" s="2">
        <v>2</v>
      </c>
      <c r="B13" s="170" t="s">
        <v>136</v>
      </c>
      <c r="C13" s="195" t="s">
        <v>138</v>
      </c>
      <c r="D13" s="2" t="s">
        <v>139</v>
      </c>
      <c r="E13" s="2">
        <v>1</v>
      </c>
      <c r="F13" s="103">
        <v>4887.58</v>
      </c>
      <c r="G13" s="32">
        <f>E13*F13</f>
        <v>4887.58</v>
      </c>
    </row>
    <row r="14" spans="1:7" x14ac:dyDescent="0.25">
      <c r="A14" s="2">
        <v>3</v>
      </c>
      <c r="B14" s="170" t="s">
        <v>136</v>
      </c>
      <c r="C14" s="195" t="s">
        <v>140</v>
      </c>
      <c r="D14" s="2" t="s">
        <v>139</v>
      </c>
      <c r="E14" s="2">
        <v>1</v>
      </c>
      <c r="F14" s="103">
        <v>4046.87</v>
      </c>
      <c r="G14" s="32">
        <f>E14*F14</f>
        <v>4046.87</v>
      </c>
    </row>
    <row r="15" spans="1:7" ht="25.5" customHeight="1" x14ac:dyDescent="0.25">
      <c r="A15" s="2"/>
      <c r="B15" s="195"/>
      <c r="C15" s="195" t="s">
        <v>281</v>
      </c>
      <c r="D15" s="8"/>
      <c r="E15" s="47"/>
      <c r="F15" s="103"/>
      <c r="G15" s="32">
        <f>SUM(G12:G14)</f>
        <v>446772.3</v>
      </c>
    </row>
    <row r="16" spans="1:7" ht="19.5" customHeight="1" x14ac:dyDescent="0.25">
      <c r="A16" s="2"/>
      <c r="B16" s="8"/>
      <c r="C16" s="8" t="s">
        <v>282</v>
      </c>
      <c r="D16" s="8"/>
      <c r="E16" s="47"/>
      <c r="F16" s="103"/>
      <c r="G16" s="32">
        <f>G10+G15</f>
        <v>446772.3</v>
      </c>
    </row>
    <row r="17" spans="1:7" x14ac:dyDescent="0.25">
      <c r="A17" s="30"/>
      <c r="B17" s="106"/>
      <c r="C17" s="30"/>
      <c r="D17" s="30"/>
      <c r="E17" s="30"/>
      <c r="F17" s="30"/>
      <c r="G17" s="30"/>
    </row>
    <row r="18" spans="1:7" x14ac:dyDescent="0.25">
      <c r="B18" s="4" t="s">
        <v>75</v>
      </c>
      <c r="C18" s="12"/>
    </row>
    <row r="19" spans="1:7" x14ac:dyDescent="0.25">
      <c r="B19" s="33" t="s">
        <v>76</v>
      </c>
      <c r="C19" s="12"/>
    </row>
    <row r="20" spans="1:7" x14ac:dyDescent="0.25">
      <c r="B20" s="4"/>
      <c r="C20" s="12"/>
    </row>
    <row r="21" spans="1:7" x14ac:dyDescent="0.25">
      <c r="B21" s="4" t="s">
        <v>77</v>
      </c>
      <c r="C21" s="12"/>
    </row>
    <row r="22" spans="1:7" x14ac:dyDescent="0.25">
      <c r="B22" s="33" t="s">
        <v>78</v>
      </c>
      <c r="C22" s="1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283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30" t="s">
        <v>284</v>
      </c>
      <c r="B3" s="230"/>
      <c r="C3" s="230"/>
      <c r="D3" s="230"/>
    </row>
    <row r="4" spans="1:5" ht="24.75" customHeight="1" x14ac:dyDescent="0.25">
      <c r="A4" s="143"/>
      <c r="B4" s="143"/>
      <c r="C4" s="143"/>
      <c r="D4" s="143"/>
    </row>
    <row r="5" spans="1:5" ht="54.75" customHeight="1" x14ac:dyDescent="0.25">
      <c r="A5" s="233" t="s">
        <v>244</v>
      </c>
      <c r="B5" s="233"/>
      <c r="C5" s="233"/>
      <c r="D5" s="217" t="str">
        <f>'Прил.5 Расчет СМР и ОБ'!D6</f>
        <v>Элементы ПС без устройства фундаментов. Цифровой ТН на три фазы 6-15 кВ.</v>
      </c>
    </row>
    <row r="6" spans="1:5" ht="19.899999999999999" customHeight="1" x14ac:dyDescent="0.25">
      <c r="A6" s="233" t="s">
        <v>50</v>
      </c>
      <c r="B6" s="233"/>
      <c r="C6" s="233"/>
      <c r="D6" s="217"/>
    </row>
    <row r="7" spans="1:5" x14ac:dyDescent="0.25">
      <c r="A7" s="4"/>
      <c r="B7" s="4"/>
      <c r="C7" s="4"/>
      <c r="D7" s="4"/>
    </row>
    <row r="8" spans="1:5" ht="14.45" customHeight="1" x14ac:dyDescent="0.25">
      <c r="A8" s="245" t="s">
        <v>5</v>
      </c>
      <c r="B8" s="245" t="s">
        <v>6</v>
      </c>
      <c r="C8" s="245" t="s">
        <v>285</v>
      </c>
      <c r="D8" s="245" t="s">
        <v>286</v>
      </c>
    </row>
    <row r="9" spans="1:5" ht="15" customHeight="1" x14ac:dyDescent="0.25">
      <c r="A9" s="245"/>
      <c r="B9" s="245"/>
      <c r="C9" s="245"/>
      <c r="D9" s="245"/>
    </row>
    <row r="10" spans="1:5" x14ac:dyDescent="0.25">
      <c r="A10" s="218">
        <v>1</v>
      </c>
      <c r="B10" s="218">
        <v>2</v>
      </c>
      <c r="C10" s="218">
        <v>3</v>
      </c>
      <c r="D10" s="218">
        <v>4</v>
      </c>
    </row>
    <row r="11" spans="1:5" ht="41.45" customHeight="1" x14ac:dyDescent="0.25">
      <c r="A11" s="218" t="s">
        <v>287</v>
      </c>
      <c r="B11" s="218" t="s">
        <v>288</v>
      </c>
      <c r="C11" s="219" t="str">
        <f>D5</f>
        <v>Элементы ПС без устройства фундаментов. Цифровой ТН на три фазы 6-15 кВ.</v>
      </c>
      <c r="D11" s="220">
        <f>'Прил.4 РМ'!C41/1000</f>
        <v>4926.4363700000004</v>
      </c>
      <c r="E11" s="142"/>
    </row>
    <row r="12" spans="1:5" x14ac:dyDescent="0.25">
      <c r="A12" s="30"/>
      <c r="B12" s="106"/>
      <c r="C12" s="30"/>
      <c r="D12" s="30"/>
    </row>
    <row r="13" spans="1:5" x14ac:dyDescent="0.25">
      <c r="B13" s="4" t="s">
        <v>75</v>
      </c>
      <c r="C13" s="12"/>
    </row>
    <row r="14" spans="1:5" x14ac:dyDescent="0.25">
      <c r="B14" s="33" t="s">
        <v>76</v>
      </c>
      <c r="C14" s="12"/>
    </row>
    <row r="15" spans="1:5" x14ac:dyDescent="0.25">
      <c r="B15" s="4"/>
      <c r="C15" s="12"/>
    </row>
    <row r="16" spans="1:5" x14ac:dyDescent="0.25">
      <c r="B16" s="4" t="s">
        <v>77</v>
      </c>
      <c r="C16" s="12"/>
    </row>
    <row r="17" spans="2:3" x14ac:dyDescent="0.25">
      <c r="B17" s="33" t="s">
        <v>78</v>
      </c>
      <c r="C17" s="1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16" zoomScale="60" zoomScaleNormal="85" workbookViewId="0">
      <selection activeCell="A26" sqref="A26:XFD30"/>
    </sheetView>
  </sheetViews>
  <sheetFormatPr defaultRowHeight="15" x14ac:dyDescent="0.25"/>
  <cols>
    <col min="1" max="1" width="9.140625" customWidth="1"/>
    <col min="2" max="2" width="40.7109375" customWidth="1"/>
    <col min="3" max="3" width="38.85546875" customWidth="1"/>
    <col min="4" max="4" width="32" customWidth="1"/>
    <col min="5" max="5" width="9.140625" customWidth="1"/>
  </cols>
  <sheetData>
    <row r="4" spans="2:5" ht="15.75" customHeight="1" x14ac:dyDescent="0.25">
      <c r="B4" s="238" t="s">
        <v>289</v>
      </c>
      <c r="C4" s="238"/>
      <c r="D4" s="238"/>
    </row>
    <row r="5" spans="2:5" ht="18.75" customHeight="1" x14ac:dyDescent="0.25">
      <c r="B5" s="137"/>
    </row>
    <row r="6" spans="2:5" ht="15.75" customHeight="1" x14ac:dyDescent="0.25">
      <c r="B6" s="243" t="s">
        <v>290</v>
      </c>
      <c r="C6" s="243"/>
      <c r="D6" s="243"/>
    </row>
    <row r="7" spans="2:5" x14ac:dyDescent="0.25">
      <c r="B7" s="283" t="s">
        <v>291</v>
      </c>
      <c r="C7" s="283"/>
      <c r="D7" s="283"/>
      <c r="E7" s="283"/>
    </row>
    <row r="8" spans="2:5" x14ac:dyDescent="0.25">
      <c r="B8" s="157"/>
      <c r="C8" s="157"/>
      <c r="D8" s="157"/>
      <c r="E8" s="157"/>
    </row>
    <row r="9" spans="2:5" ht="47.25" customHeight="1" x14ac:dyDescent="0.25">
      <c r="B9" s="117" t="s">
        <v>292</v>
      </c>
      <c r="C9" s="117" t="s">
        <v>293</v>
      </c>
      <c r="D9" s="117" t="s">
        <v>294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31.5" customHeight="1" x14ac:dyDescent="0.25">
      <c r="B11" s="117" t="s">
        <v>295</v>
      </c>
      <c r="C11" s="117" t="s">
        <v>296</v>
      </c>
      <c r="D11" s="117">
        <v>44.29</v>
      </c>
    </row>
    <row r="12" spans="2:5" ht="31.5" customHeight="1" x14ac:dyDescent="0.25">
      <c r="B12" s="117" t="s">
        <v>297</v>
      </c>
      <c r="C12" s="117" t="s">
        <v>296</v>
      </c>
      <c r="D12" s="117">
        <v>13.47</v>
      </c>
    </row>
    <row r="13" spans="2:5" ht="31.5" customHeight="1" x14ac:dyDescent="0.25">
      <c r="B13" s="117" t="s">
        <v>298</v>
      </c>
      <c r="C13" s="117" t="s">
        <v>296</v>
      </c>
      <c r="D13" s="117">
        <v>8.0399999999999991</v>
      </c>
    </row>
    <row r="14" spans="2:5" ht="31.5" customHeight="1" x14ac:dyDescent="0.25">
      <c r="B14" s="117" t="s">
        <v>299</v>
      </c>
      <c r="C14" s="117" t="s">
        <v>300</v>
      </c>
      <c r="D14" s="117">
        <v>6.26</v>
      </c>
    </row>
    <row r="15" spans="2:5" ht="89.25" customHeight="1" x14ac:dyDescent="0.25">
      <c r="B15" s="117" t="s">
        <v>301</v>
      </c>
      <c r="C15" s="117" t="s">
        <v>302</v>
      </c>
      <c r="D15" s="138">
        <v>2.5000000000000001E-2</v>
      </c>
    </row>
    <row r="16" spans="2:5" ht="78.75" customHeight="1" x14ac:dyDescent="0.25">
      <c r="B16" s="117" t="s">
        <v>303</v>
      </c>
      <c r="C16" s="117" t="s">
        <v>304</v>
      </c>
      <c r="D16" s="138">
        <v>2.1000000000000001E-2</v>
      </c>
    </row>
    <row r="17" spans="2:4" ht="15.75" customHeight="1" x14ac:dyDescent="0.25">
      <c r="B17" s="117" t="s">
        <v>305</v>
      </c>
      <c r="C17" s="117"/>
      <c r="D17" s="117" t="s">
        <v>306</v>
      </c>
    </row>
    <row r="18" spans="2:4" ht="31.5" customHeight="1" x14ac:dyDescent="0.25">
      <c r="B18" s="117" t="s">
        <v>219</v>
      </c>
      <c r="C18" s="117" t="s">
        <v>307</v>
      </c>
      <c r="D18" s="138">
        <v>2.1399999999999999E-2</v>
      </c>
    </row>
    <row r="19" spans="2:4" ht="31.5" customHeight="1" x14ac:dyDescent="0.25">
      <c r="B19" s="117" t="s">
        <v>241</v>
      </c>
      <c r="C19" s="117" t="s">
        <v>308</v>
      </c>
      <c r="D19" s="138">
        <v>2E-3</v>
      </c>
    </row>
    <row r="20" spans="2:4" ht="24" customHeight="1" x14ac:dyDescent="0.25">
      <c r="B20" s="117" t="s">
        <v>222</v>
      </c>
      <c r="C20" s="117" t="s">
        <v>309</v>
      </c>
      <c r="D20" s="138">
        <v>0.03</v>
      </c>
    </row>
    <row r="21" spans="2:4" ht="18.75" customHeight="1" x14ac:dyDescent="0.25">
      <c r="B21" s="116"/>
    </row>
    <row r="22" spans="2:4" ht="18.75" customHeight="1" x14ac:dyDescent="0.25">
      <c r="B22" s="116"/>
    </row>
    <row r="23" spans="2:4" ht="18.75" customHeight="1" x14ac:dyDescent="0.25">
      <c r="B23" s="116"/>
    </row>
    <row r="24" spans="2:4" ht="18.75" customHeight="1" x14ac:dyDescent="0.25">
      <c r="B24" s="116"/>
    </row>
    <row r="27" spans="2:4" x14ac:dyDescent="0.25">
      <c r="B27" s="4" t="s">
        <v>75</v>
      </c>
      <c r="C27" s="12"/>
    </row>
    <row r="28" spans="2:4" x14ac:dyDescent="0.25">
      <c r="B28" s="33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77</v>
      </c>
      <c r="C30" s="12"/>
    </row>
    <row r="31" spans="2:4" x14ac:dyDescent="0.25">
      <c r="B31" s="33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43" t="s">
        <v>310</v>
      </c>
      <c r="B2" s="243"/>
      <c r="C2" s="243"/>
      <c r="D2" s="243"/>
      <c r="E2" s="243"/>
      <c r="F2" s="243"/>
    </row>
    <row r="4" spans="1:7" ht="18" customHeight="1" x14ac:dyDescent="0.25">
      <c r="A4" s="124" t="s">
        <v>311</v>
      </c>
      <c r="B4" s="125"/>
      <c r="C4" s="125"/>
      <c r="D4" s="125"/>
      <c r="E4" s="125"/>
      <c r="F4" s="125"/>
      <c r="G4" s="125"/>
    </row>
    <row r="5" spans="1:7" ht="15.75" customHeight="1" x14ac:dyDescent="0.25">
      <c r="A5" s="126" t="s">
        <v>13</v>
      </c>
      <c r="B5" s="126" t="s">
        <v>312</v>
      </c>
      <c r="C5" s="126" t="s">
        <v>313</v>
      </c>
      <c r="D5" s="126" t="s">
        <v>314</v>
      </c>
      <c r="E5" s="126" t="s">
        <v>315</v>
      </c>
      <c r="F5" s="126" t="s">
        <v>316</v>
      </c>
      <c r="G5" s="125"/>
    </row>
    <row r="6" spans="1:7" ht="15.75" customHeight="1" x14ac:dyDescent="0.25">
      <c r="A6" s="126">
        <v>1</v>
      </c>
      <c r="B6" s="126">
        <v>2</v>
      </c>
      <c r="C6" s="126">
        <v>3</v>
      </c>
      <c r="D6" s="126">
        <v>4</v>
      </c>
      <c r="E6" s="126">
        <v>5</v>
      </c>
      <c r="F6" s="126">
        <v>6</v>
      </c>
      <c r="G6" s="125"/>
    </row>
    <row r="7" spans="1:7" ht="110.25" customHeight="1" x14ac:dyDescent="0.25">
      <c r="A7" s="127" t="s">
        <v>317</v>
      </c>
      <c r="B7" s="128" t="s">
        <v>318</v>
      </c>
      <c r="C7" s="117" t="s">
        <v>319</v>
      </c>
      <c r="D7" s="117" t="s">
        <v>320</v>
      </c>
      <c r="E7" s="129">
        <v>47872.94</v>
      </c>
      <c r="F7" s="128" t="s">
        <v>321</v>
      </c>
      <c r="G7" s="125"/>
    </row>
    <row r="8" spans="1:7" ht="31.5" customHeight="1" x14ac:dyDescent="0.25">
      <c r="A8" s="127" t="s">
        <v>322</v>
      </c>
      <c r="B8" s="128" t="s">
        <v>323</v>
      </c>
      <c r="C8" s="117" t="s">
        <v>324</v>
      </c>
      <c r="D8" s="117" t="s">
        <v>325</v>
      </c>
      <c r="E8" s="129">
        <f>1973/12</f>
        <v>164.41666666667001</v>
      </c>
      <c r="F8" s="128" t="s">
        <v>326</v>
      </c>
      <c r="G8" s="130"/>
    </row>
    <row r="9" spans="1:7" ht="15.75" customHeight="1" x14ac:dyDescent="0.25">
      <c r="A9" s="127" t="s">
        <v>327</v>
      </c>
      <c r="B9" s="128" t="s">
        <v>328</v>
      </c>
      <c r="C9" s="117" t="s">
        <v>329</v>
      </c>
      <c r="D9" s="117" t="s">
        <v>320</v>
      </c>
      <c r="E9" s="129">
        <v>1</v>
      </c>
      <c r="F9" s="128"/>
      <c r="G9" s="130"/>
    </row>
    <row r="10" spans="1:7" ht="15.75" customHeight="1" x14ac:dyDescent="0.25">
      <c r="A10" s="127" t="s">
        <v>330</v>
      </c>
      <c r="B10" s="128" t="s">
        <v>331</v>
      </c>
      <c r="C10" s="117"/>
      <c r="D10" s="117"/>
      <c r="E10" s="131">
        <v>4</v>
      </c>
      <c r="F10" s="128" t="s">
        <v>332</v>
      </c>
      <c r="G10" s="130"/>
    </row>
    <row r="11" spans="1:7" ht="78.75" customHeight="1" x14ac:dyDescent="0.25">
      <c r="A11" s="127" t="s">
        <v>333</v>
      </c>
      <c r="B11" s="128" t="s">
        <v>334</v>
      </c>
      <c r="C11" s="117" t="s">
        <v>335</v>
      </c>
      <c r="D11" s="117" t="s">
        <v>320</v>
      </c>
      <c r="E11" s="132">
        <v>1.34</v>
      </c>
      <c r="F11" s="128" t="s">
        <v>336</v>
      </c>
      <c r="G11" s="125"/>
    </row>
    <row r="12" spans="1:7" ht="78.75" customHeight="1" x14ac:dyDescent="0.25">
      <c r="A12" s="127" t="s">
        <v>337</v>
      </c>
      <c r="B12" s="118" t="s">
        <v>338</v>
      </c>
      <c r="C12" s="117" t="s">
        <v>339</v>
      </c>
      <c r="D12" s="117" t="s">
        <v>320</v>
      </c>
      <c r="E12" s="133">
        <v>1.139</v>
      </c>
      <c r="F12" s="134" t="s">
        <v>340</v>
      </c>
      <c r="G12" s="130" t="s">
        <v>341</v>
      </c>
    </row>
    <row r="13" spans="1:7" ht="63" customHeight="1" x14ac:dyDescent="0.25">
      <c r="A13" s="127" t="s">
        <v>342</v>
      </c>
      <c r="B13" s="135" t="s">
        <v>343</v>
      </c>
      <c r="C13" s="117" t="s">
        <v>344</v>
      </c>
      <c r="D13" s="117" t="s">
        <v>345</v>
      </c>
      <c r="E13" s="136">
        <f>((E7*E9/E8)*E11)*E12</f>
        <v>444.39870291576</v>
      </c>
      <c r="F13" s="128" t="s">
        <v>346</v>
      </c>
      <c r="G13" s="125"/>
    </row>
    <row r="14" spans="1:7" ht="15.75" customHeight="1" x14ac:dyDescent="0.25">
      <c r="A14" s="125"/>
      <c r="B14" s="121" t="s">
        <v>109</v>
      </c>
      <c r="C14" s="125"/>
      <c r="D14" s="125"/>
      <c r="E14" s="125"/>
      <c r="F14" s="125"/>
    </row>
    <row r="15" spans="1:7" ht="110.25" customHeight="1" x14ac:dyDescent="0.25">
      <c r="A15" s="127" t="s">
        <v>317</v>
      </c>
      <c r="B15" s="128" t="s">
        <v>318</v>
      </c>
      <c r="C15" s="117" t="s">
        <v>319</v>
      </c>
      <c r="D15" s="117" t="s">
        <v>320</v>
      </c>
      <c r="E15" s="129">
        <v>47872.94</v>
      </c>
      <c r="F15" s="128" t="s">
        <v>321</v>
      </c>
    </row>
    <row r="16" spans="1:7" ht="31.5" customHeight="1" x14ac:dyDescent="0.25">
      <c r="A16" s="127" t="s">
        <v>322</v>
      </c>
      <c r="B16" s="128" t="s">
        <v>323</v>
      </c>
      <c r="C16" s="117" t="s">
        <v>324</v>
      </c>
      <c r="D16" s="117" t="s">
        <v>325</v>
      </c>
      <c r="E16" s="129">
        <f>1973/12</f>
        <v>164.41666666667001</v>
      </c>
      <c r="F16" s="128" t="s">
        <v>326</v>
      </c>
    </row>
    <row r="17" spans="1:6" ht="15.75" customHeight="1" x14ac:dyDescent="0.25">
      <c r="A17" s="127" t="s">
        <v>327</v>
      </c>
      <c r="B17" s="128" t="s">
        <v>328</v>
      </c>
      <c r="C17" s="117" t="s">
        <v>329</v>
      </c>
      <c r="D17" s="117" t="s">
        <v>320</v>
      </c>
      <c r="E17" s="129">
        <v>1</v>
      </c>
      <c r="F17" s="128"/>
    </row>
    <row r="18" spans="1:6" ht="15.75" customHeight="1" x14ac:dyDescent="0.25">
      <c r="A18" s="127" t="s">
        <v>330</v>
      </c>
      <c r="B18" s="128" t="s">
        <v>331</v>
      </c>
      <c r="C18" s="117"/>
      <c r="D18" s="117"/>
      <c r="E18" s="131">
        <v>1</v>
      </c>
      <c r="F18" s="128" t="s">
        <v>332</v>
      </c>
    </row>
    <row r="19" spans="1:6" ht="78.75" customHeight="1" x14ac:dyDescent="0.25">
      <c r="A19" s="127" t="s">
        <v>333</v>
      </c>
      <c r="B19" s="128" t="s">
        <v>334</v>
      </c>
      <c r="C19" s="117" t="s">
        <v>335</v>
      </c>
      <c r="D19" s="117" t="s">
        <v>320</v>
      </c>
      <c r="E19" s="132">
        <v>2.15</v>
      </c>
      <c r="F19" s="128" t="s">
        <v>347</v>
      </c>
    </row>
    <row r="20" spans="1:6" ht="78.75" customHeight="1" x14ac:dyDescent="0.25">
      <c r="A20" s="127" t="s">
        <v>337</v>
      </c>
      <c r="B20" s="118" t="s">
        <v>338</v>
      </c>
      <c r="C20" s="117" t="s">
        <v>339</v>
      </c>
      <c r="D20" s="117" t="s">
        <v>320</v>
      </c>
      <c r="E20" s="133">
        <v>1.139</v>
      </c>
      <c r="F20" s="134" t="s">
        <v>340</v>
      </c>
    </row>
    <row r="21" spans="1:6" ht="63" customHeight="1" x14ac:dyDescent="0.25">
      <c r="A21" s="127" t="s">
        <v>342</v>
      </c>
      <c r="B21" s="135" t="s">
        <v>348</v>
      </c>
      <c r="C21" s="117" t="s">
        <v>344</v>
      </c>
      <c r="D21" s="117" t="s">
        <v>345</v>
      </c>
      <c r="E21" s="136">
        <f>((E15*E17/E16)*E19)*E20</f>
        <v>713.02776960364997</v>
      </c>
      <c r="F21" s="128" t="s">
        <v>346</v>
      </c>
    </row>
    <row r="22" spans="1:6" ht="15.75" customHeight="1" x14ac:dyDescent="0.25">
      <c r="A22" s="125"/>
      <c r="B22" s="121" t="s">
        <v>113</v>
      </c>
      <c r="C22" s="125"/>
      <c r="D22" s="125"/>
      <c r="E22" s="125"/>
      <c r="F22" s="125"/>
    </row>
    <row r="23" spans="1:6" ht="110.25" customHeight="1" x14ac:dyDescent="0.25">
      <c r="A23" s="127" t="s">
        <v>317</v>
      </c>
      <c r="B23" s="128" t="s">
        <v>318</v>
      </c>
      <c r="C23" s="117" t="s">
        <v>319</v>
      </c>
      <c r="D23" s="117" t="s">
        <v>320</v>
      </c>
      <c r="E23" s="129">
        <v>47872.94</v>
      </c>
      <c r="F23" s="128" t="s">
        <v>321</v>
      </c>
    </row>
    <row r="24" spans="1:6" ht="31.5" customHeight="1" x14ac:dyDescent="0.25">
      <c r="A24" s="127" t="s">
        <v>322</v>
      </c>
      <c r="B24" s="128" t="s">
        <v>323</v>
      </c>
      <c r="C24" s="117" t="s">
        <v>324</v>
      </c>
      <c r="D24" s="117" t="s">
        <v>325</v>
      </c>
      <c r="E24" s="129">
        <f>1973/12</f>
        <v>164.41666666667001</v>
      </c>
      <c r="F24" s="128" t="s">
        <v>326</v>
      </c>
    </row>
    <row r="25" spans="1:6" ht="15.75" customHeight="1" x14ac:dyDescent="0.25">
      <c r="A25" s="127" t="s">
        <v>327</v>
      </c>
      <c r="B25" s="128" t="s">
        <v>328</v>
      </c>
      <c r="C25" s="117" t="s">
        <v>329</v>
      </c>
      <c r="D25" s="117" t="s">
        <v>320</v>
      </c>
      <c r="E25" s="129">
        <v>1</v>
      </c>
      <c r="F25" s="128"/>
    </row>
    <row r="26" spans="1:6" ht="15.75" customHeight="1" x14ac:dyDescent="0.25">
      <c r="A26" s="127" t="s">
        <v>330</v>
      </c>
      <c r="B26" s="128" t="s">
        <v>331</v>
      </c>
      <c r="C26" s="117"/>
      <c r="D26" s="117"/>
      <c r="E26" s="131">
        <v>1</v>
      </c>
      <c r="F26" s="128" t="s">
        <v>332</v>
      </c>
    </row>
    <row r="27" spans="1:6" ht="78.75" customHeight="1" x14ac:dyDescent="0.25">
      <c r="A27" s="127" t="s">
        <v>333</v>
      </c>
      <c r="B27" s="128" t="s">
        <v>334</v>
      </c>
      <c r="C27" s="117" t="s">
        <v>335</v>
      </c>
      <c r="D27" s="117" t="s">
        <v>320</v>
      </c>
      <c r="E27" s="132">
        <v>1.96</v>
      </c>
      <c r="F27" s="128" t="s">
        <v>347</v>
      </c>
    </row>
    <row r="28" spans="1:6" ht="78.75" customHeight="1" x14ac:dyDescent="0.25">
      <c r="A28" s="127" t="s">
        <v>337</v>
      </c>
      <c r="B28" s="118" t="s">
        <v>338</v>
      </c>
      <c r="C28" s="117" t="s">
        <v>339</v>
      </c>
      <c r="D28" s="117" t="s">
        <v>320</v>
      </c>
      <c r="E28" s="133">
        <v>1.139</v>
      </c>
      <c r="F28" s="134" t="s">
        <v>340</v>
      </c>
    </row>
    <row r="29" spans="1:6" ht="63" customHeight="1" x14ac:dyDescent="0.25">
      <c r="A29" s="127" t="s">
        <v>342</v>
      </c>
      <c r="B29" s="135" t="s">
        <v>348</v>
      </c>
      <c r="C29" s="117" t="s">
        <v>344</v>
      </c>
      <c r="D29" s="117" t="s">
        <v>345</v>
      </c>
      <c r="E29" s="136">
        <f>((E23*E25/E24)*E27)*E28</f>
        <v>650.01601322007002</v>
      </c>
      <c r="F29" s="128" t="s">
        <v>346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G17" sqref="G1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4" t="s">
        <v>349</v>
      </c>
      <c r="B2" s="284"/>
      <c r="C2" s="284"/>
      <c r="D2" s="284"/>
      <c r="E2" s="284"/>
      <c r="F2" s="284"/>
    </row>
    <row r="4" spans="1:7" ht="18" customHeight="1" x14ac:dyDescent="0.25">
      <c r="A4" s="159" t="s">
        <v>311</v>
      </c>
    </row>
    <row r="5" spans="1:7" x14ac:dyDescent="0.25">
      <c r="A5" s="58" t="s">
        <v>13</v>
      </c>
      <c r="B5" s="58" t="s">
        <v>312</v>
      </c>
      <c r="C5" s="58" t="s">
        <v>313</v>
      </c>
      <c r="D5" s="58" t="s">
        <v>314</v>
      </c>
      <c r="E5" s="58" t="s">
        <v>315</v>
      </c>
      <c r="F5" s="58" t="s">
        <v>316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0" t="s">
        <v>317</v>
      </c>
      <c r="B7" s="63" t="s">
        <v>318</v>
      </c>
      <c r="C7" s="54" t="s">
        <v>350</v>
      </c>
      <c r="D7" s="54" t="s">
        <v>320</v>
      </c>
      <c r="E7" s="61">
        <v>43361</v>
      </c>
      <c r="F7" s="63" t="s">
        <v>321</v>
      </c>
    </row>
    <row r="8" spans="1:7" ht="30" customHeight="1" x14ac:dyDescent="0.25">
      <c r="A8" s="160" t="s">
        <v>322</v>
      </c>
      <c r="B8" s="63" t="s">
        <v>323</v>
      </c>
      <c r="C8" s="54" t="s">
        <v>351</v>
      </c>
      <c r="D8" s="54" t="s">
        <v>325</v>
      </c>
      <c r="E8" s="61">
        <f>1973/12</f>
        <v>164.41666666667001</v>
      </c>
      <c r="F8" s="63" t="s">
        <v>326</v>
      </c>
      <c r="G8" s="161"/>
    </row>
    <row r="9" spans="1:7" x14ac:dyDescent="0.25">
      <c r="A9" s="160" t="s">
        <v>327</v>
      </c>
      <c r="B9" s="63" t="s">
        <v>328</v>
      </c>
      <c r="C9" s="54" t="s">
        <v>329</v>
      </c>
      <c r="D9" s="54" t="s">
        <v>320</v>
      </c>
      <c r="E9" s="61">
        <v>1</v>
      </c>
      <c r="F9" s="63"/>
      <c r="G9" s="162"/>
    </row>
    <row r="10" spans="1:7" x14ac:dyDescent="0.25">
      <c r="A10" s="160" t="s">
        <v>330</v>
      </c>
      <c r="B10" s="63" t="s">
        <v>331</v>
      </c>
      <c r="C10" s="54"/>
      <c r="D10" s="54"/>
      <c r="E10" s="163">
        <v>1</v>
      </c>
      <c r="F10" s="63" t="s">
        <v>332</v>
      </c>
      <c r="G10" s="162"/>
    </row>
    <row r="11" spans="1:7" ht="75" customHeight="1" x14ac:dyDescent="0.25">
      <c r="A11" s="160" t="s">
        <v>333</v>
      </c>
      <c r="B11" s="63" t="s">
        <v>334</v>
      </c>
      <c r="C11" s="54" t="s">
        <v>352</v>
      </c>
      <c r="D11" s="54" t="s">
        <v>320</v>
      </c>
      <c r="E11" s="164">
        <v>2.15</v>
      </c>
      <c r="F11" s="63" t="s">
        <v>347</v>
      </c>
    </row>
    <row r="12" spans="1:7" ht="75" customHeight="1" x14ac:dyDescent="0.25">
      <c r="A12" s="160" t="s">
        <v>337</v>
      </c>
      <c r="B12" s="165" t="s">
        <v>338</v>
      </c>
      <c r="C12" s="54" t="s">
        <v>353</v>
      </c>
      <c r="D12" s="54" t="s">
        <v>320</v>
      </c>
      <c r="E12" s="166">
        <v>1.139</v>
      </c>
      <c r="F12" s="167" t="s">
        <v>340</v>
      </c>
      <c r="G12" s="162" t="s">
        <v>341</v>
      </c>
    </row>
    <row r="13" spans="1:7" ht="60" customHeight="1" x14ac:dyDescent="0.25">
      <c r="A13" s="160" t="s">
        <v>342</v>
      </c>
      <c r="B13" s="168" t="s">
        <v>354</v>
      </c>
      <c r="C13" s="54" t="s">
        <v>355</v>
      </c>
      <c r="D13" s="54" t="s">
        <v>356</v>
      </c>
      <c r="E13" s="169">
        <f>((E7*E9/E8)*E11)*E12</f>
        <v>645.82616229093003</v>
      </c>
      <c r="F13" s="63" t="s">
        <v>346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12" sqref="E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4" t="s">
        <v>349</v>
      </c>
      <c r="B2" s="284"/>
      <c r="C2" s="284"/>
      <c r="D2" s="284"/>
      <c r="E2" s="284"/>
      <c r="F2" s="284"/>
    </row>
    <row r="4" spans="1:7" ht="18" customHeight="1" x14ac:dyDescent="0.25">
      <c r="A4" s="159" t="s">
        <v>311</v>
      </c>
    </row>
    <row r="5" spans="1:7" x14ac:dyDescent="0.25">
      <c r="A5" s="58" t="s">
        <v>13</v>
      </c>
      <c r="B5" s="58" t="s">
        <v>312</v>
      </c>
      <c r="C5" s="58" t="s">
        <v>313</v>
      </c>
      <c r="D5" s="58" t="s">
        <v>314</v>
      </c>
      <c r="E5" s="58" t="s">
        <v>315</v>
      </c>
      <c r="F5" s="58" t="s">
        <v>316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0" t="s">
        <v>317</v>
      </c>
      <c r="B7" s="63" t="s">
        <v>318</v>
      </c>
      <c r="C7" s="54" t="s">
        <v>350</v>
      </c>
      <c r="D7" s="54" t="s">
        <v>320</v>
      </c>
      <c r="E7" s="61">
        <v>43361</v>
      </c>
      <c r="F7" s="63" t="s">
        <v>321</v>
      </c>
    </row>
    <row r="8" spans="1:7" ht="30" customHeight="1" x14ac:dyDescent="0.25">
      <c r="A8" s="160" t="s">
        <v>322</v>
      </c>
      <c r="B8" s="63" t="s">
        <v>323</v>
      </c>
      <c r="C8" s="54" t="s">
        <v>351</v>
      </c>
      <c r="D8" s="54" t="s">
        <v>325</v>
      </c>
      <c r="E8" s="61">
        <f>1973/12</f>
        <v>164.41666666667001</v>
      </c>
      <c r="F8" s="63" t="s">
        <v>326</v>
      </c>
      <c r="G8" s="161"/>
    </row>
    <row r="9" spans="1:7" x14ac:dyDescent="0.25">
      <c r="A9" s="160" t="s">
        <v>327</v>
      </c>
      <c r="B9" s="63" t="s">
        <v>328</v>
      </c>
      <c r="C9" s="54" t="s">
        <v>329</v>
      </c>
      <c r="D9" s="54" t="s">
        <v>320</v>
      </c>
      <c r="E9" s="61">
        <v>1</v>
      </c>
      <c r="F9" s="63"/>
      <c r="G9" s="162"/>
    </row>
    <row r="10" spans="1:7" x14ac:dyDescent="0.25">
      <c r="A10" s="160" t="s">
        <v>330</v>
      </c>
      <c r="B10" s="63" t="s">
        <v>331</v>
      </c>
      <c r="C10" s="54"/>
      <c r="D10" s="54"/>
      <c r="E10" s="163">
        <v>1</v>
      </c>
      <c r="F10" s="63" t="s">
        <v>332</v>
      </c>
      <c r="G10" s="162"/>
    </row>
    <row r="11" spans="1:7" ht="75" customHeight="1" x14ac:dyDescent="0.25">
      <c r="A11" s="160" t="s">
        <v>333</v>
      </c>
      <c r="B11" s="63" t="s">
        <v>334</v>
      </c>
      <c r="C11" s="54" t="s">
        <v>352</v>
      </c>
      <c r="D11" s="54" t="s">
        <v>320</v>
      </c>
      <c r="E11" s="164">
        <v>1.96</v>
      </c>
      <c r="F11" s="63" t="s">
        <v>347</v>
      </c>
    </row>
    <row r="12" spans="1:7" ht="75" customHeight="1" x14ac:dyDescent="0.25">
      <c r="A12" s="160" t="s">
        <v>337</v>
      </c>
      <c r="B12" s="165" t="s">
        <v>338</v>
      </c>
      <c r="C12" s="54" t="s">
        <v>353</v>
      </c>
      <c r="D12" s="54" t="s">
        <v>320</v>
      </c>
      <c r="E12" s="166">
        <v>1.139</v>
      </c>
      <c r="F12" s="167" t="s">
        <v>340</v>
      </c>
      <c r="G12" s="162" t="s">
        <v>341</v>
      </c>
    </row>
    <row r="13" spans="1:7" ht="60" customHeight="1" x14ac:dyDescent="0.25">
      <c r="A13" s="160" t="s">
        <v>342</v>
      </c>
      <c r="B13" s="168" t="s">
        <v>354</v>
      </c>
      <c r="C13" s="54" t="s">
        <v>355</v>
      </c>
      <c r="D13" s="54" t="s">
        <v>356</v>
      </c>
      <c r="E13" s="169">
        <f>((E7*E9/E8)*E11)*E12</f>
        <v>588.75315260009995</v>
      </c>
      <c r="F13" s="63" t="s">
        <v>346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85" t="s">
        <v>357</v>
      </c>
      <c r="B1" s="285"/>
      <c r="C1" s="285"/>
      <c r="D1" s="285"/>
      <c r="E1" s="285"/>
      <c r="F1" s="285"/>
      <c r="G1" s="285"/>
      <c r="H1" s="285"/>
      <c r="I1" s="285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33" t="str">
        <f>'Прил. 3'!A6</f>
        <v>Наименование разрабатываемого показателя УНЦ - Элементы ПС без устройства фундаментов. Цифровой ТН на три фазы 6-15 кВ.</v>
      </c>
      <c r="B3" s="233"/>
      <c r="C3" s="233"/>
      <c r="D3" s="233"/>
      <c r="E3" s="233"/>
      <c r="F3" s="233"/>
      <c r="G3" s="233"/>
      <c r="H3" s="233"/>
      <c r="I3" s="233"/>
    </row>
    <row r="4" spans="1:13" s="4" customFormat="1" ht="15.75" customHeight="1" x14ac:dyDescent="0.2">
      <c r="A4" s="258"/>
      <c r="B4" s="258"/>
      <c r="C4" s="258"/>
      <c r="D4" s="258"/>
      <c r="E4" s="258"/>
      <c r="F4" s="258"/>
      <c r="G4" s="258"/>
      <c r="H4" s="258"/>
      <c r="I4" s="258"/>
    </row>
    <row r="5" spans="1:13" s="36" customFormat="1" ht="36.6" customHeight="1" x14ac:dyDescent="0.35">
      <c r="A5" s="286" t="s">
        <v>13</v>
      </c>
      <c r="B5" s="286" t="s">
        <v>358</v>
      </c>
      <c r="C5" s="286" t="s">
        <v>359</v>
      </c>
      <c r="D5" s="286" t="s">
        <v>360</v>
      </c>
      <c r="E5" s="282" t="s">
        <v>361</v>
      </c>
      <c r="F5" s="282"/>
      <c r="G5" s="282"/>
      <c r="H5" s="282"/>
      <c r="I5" s="282"/>
    </row>
    <row r="6" spans="1:13" s="30" customFormat="1" ht="31.5" customHeight="1" x14ac:dyDescent="0.2">
      <c r="A6" s="286"/>
      <c r="B6" s="286"/>
      <c r="C6" s="286"/>
      <c r="D6" s="286"/>
      <c r="E6" s="37" t="s">
        <v>86</v>
      </c>
      <c r="F6" s="37" t="s">
        <v>87</v>
      </c>
      <c r="G6" s="37" t="s">
        <v>43</v>
      </c>
      <c r="H6" s="37" t="s">
        <v>362</v>
      </c>
      <c r="I6" s="37" t="s">
        <v>363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214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364</v>
      </c>
      <c r="C9" s="8" t="s">
        <v>365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366</v>
      </c>
      <c r="C11" s="8" t="s">
        <v>303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367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368</v>
      </c>
      <c r="C12" s="8" t="s">
        <v>369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370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307</v>
      </c>
      <c r="C14" s="8" t="s">
        <v>371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372</v>
      </c>
      <c r="C16" s="8" t="s">
        <v>373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374</v>
      </c>
    </row>
    <row r="17" spans="1:10" s="30" customFormat="1" ht="81.75" customHeight="1" x14ac:dyDescent="0.2">
      <c r="A17" s="38">
        <v>7</v>
      </c>
      <c r="B17" s="8" t="s">
        <v>372</v>
      </c>
      <c r="C17" s="8" t="s">
        <v>375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376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377</v>
      </c>
      <c r="C20" s="8" t="s">
        <v>222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378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225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226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227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228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88" t="s">
        <v>379</v>
      </c>
      <c r="O2" s="288"/>
    </row>
    <row r="3" spans="1:16" x14ac:dyDescent="0.25">
      <c r="A3" s="284" t="s">
        <v>380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</row>
    <row r="5" spans="1:16" ht="37.5" customHeight="1" x14ac:dyDescent="0.25">
      <c r="A5" s="289" t="s">
        <v>381</v>
      </c>
      <c r="B5" s="292" t="s">
        <v>382</v>
      </c>
      <c r="C5" s="295" t="s">
        <v>383</v>
      </c>
      <c r="D5" s="298" t="s">
        <v>384</v>
      </c>
      <c r="E5" s="299"/>
      <c r="F5" s="299"/>
      <c r="G5" s="299"/>
      <c r="H5" s="299"/>
      <c r="I5" s="298" t="s">
        <v>385</v>
      </c>
      <c r="J5" s="299"/>
      <c r="K5" s="299"/>
      <c r="L5" s="299"/>
      <c r="M5" s="299"/>
      <c r="N5" s="299"/>
      <c r="O5" s="54" t="s">
        <v>386</v>
      </c>
    </row>
    <row r="6" spans="1:16" s="57" customFormat="1" ht="150" customHeight="1" x14ac:dyDescent="0.25">
      <c r="A6" s="290"/>
      <c r="B6" s="293"/>
      <c r="C6" s="296"/>
      <c r="D6" s="295" t="s">
        <v>387</v>
      </c>
      <c r="E6" s="300" t="s">
        <v>388</v>
      </c>
      <c r="F6" s="301"/>
      <c r="G6" s="302"/>
      <c r="H6" s="55" t="s">
        <v>389</v>
      </c>
      <c r="I6" s="303" t="s">
        <v>390</v>
      </c>
      <c r="J6" s="303" t="s">
        <v>387</v>
      </c>
      <c r="K6" s="304" t="s">
        <v>388</v>
      </c>
      <c r="L6" s="304"/>
      <c r="M6" s="304"/>
      <c r="N6" s="55" t="s">
        <v>389</v>
      </c>
      <c r="O6" s="56" t="s">
        <v>391</v>
      </c>
    </row>
    <row r="7" spans="1:16" s="57" customFormat="1" ht="30.75" customHeight="1" x14ac:dyDescent="0.25">
      <c r="A7" s="291"/>
      <c r="B7" s="294"/>
      <c r="C7" s="297"/>
      <c r="D7" s="297"/>
      <c r="E7" s="54" t="s">
        <v>86</v>
      </c>
      <c r="F7" s="54" t="s">
        <v>87</v>
      </c>
      <c r="G7" s="54" t="s">
        <v>43</v>
      </c>
      <c r="H7" s="58" t="s">
        <v>392</v>
      </c>
      <c r="I7" s="303"/>
      <c r="J7" s="303"/>
      <c r="K7" s="54" t="s">
        <v>86</v>
      </c>
      <c r="L7" s="54" t="s">
        <v>87</v>
      </c>
      <c r="M7" s="54" t="s">
        <v>43</v>
      </c>
      <c r="N7" s="58" t="s">
        <v>392</v>
      </c>
      <c r="O7" s="54" t="s">
        <v>393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89" t="s">
        <v>394</v>
      </c>
      <c r="C9" s="60" t="s">
        <v>395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91"/>
      <c r="C10" s="63" t="s">
        <v>396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89" t="s">
        <v>397</v>
      </c>
      <c r="C11" s="63" t="s">
        <v>398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91"/>
      <c r="C12" s="63" t="s">
        <v>399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89" t="s">
        <v>400</v>
      </c>
      <c r="C13" s="60" t="s">
        <v>401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91"/>
      <c r="C14" s="63" t="s">
        <v>402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403</v>
      </c>
      <c r="C15" s="63" t="s">
        <v>404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405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406</v>
      </c>
    </row>
    <row r="19" spans="1:15" ht="30.75" customHeight="1" x14ac:dyDescent="0.25">
      <c r="L19" s="75"/>
    </row>
    <row r="20" spans="1:15" ht="15" customHeight="1" outlineLevel="1" x14ac:dyDescent="0.25">
      <c r="G20" s="287" t="s">
        <v>407</v>
      </c>
      <c r="H20" s="287"/>
      <c r="I20" s="287"/>
      <c r="J20" s="287"/>
      <c r="K20" s="287"/>
      <c r="L20" s="287"/>
      <c r="M20" s="287"/>
      <c r="N20" s="287"/>
    </row>
    <row r="21" spans="1:15" ht="15.75" customHeight="1" outlineLevel="1" x14ac:dyDescent="0.25">
      <c r="G21" s="76"/>
      <c r="H21" s="76" t="s">
        <v>408</v>
      </c>
      <c r="I21" s="76" t="s">
        <v>409</v>
      </c>
      <c r="J21" s="76" t="s">
        <v>410</v>
      </c>
      <c r="K21" s="77" t="s">
        <v>411</v>
      </c>
      <c r="L21" s="76" t="s">
        <v>412</v>
      </c>
      <c r="M21" s="76" t="s">
        <v>413</v>
      </c>
      <c r="N21" s="76" t="s">
        <v>414</v>
      </c>
      <c r="O21" s="70"/>
    </row>
    <row r="22" spans="1:15" ht="15.75" customHeight="1" outlineLevel="1" x14ac:dyDescent="0.25">
      <c r="G22" s="306" t="s">
        <v>415</v>
      </c>
      <c r="H22" s="305">
        <v>6.09</v>
      </c>
      <c r="I22" s="307">
        <v>6.44</v>
      </c>
      <c r="J22" s="305">
        <v>5.77</v>
      </c>
      <c r="K22" s="307">
        <v>5.77</v>
      </c>
      <c r="L22" s="305">
        <v>5.23</v>
      </c>
      <c r="M22" s="305">
        <v>5.77</v>
      </c>
      <c r="N22" s="78">
        <v>6.29</v>
      </c>
      <c r="O22" t="s">
        <v>416</v>
      </c>
    </row>
    <row r="23" spans="1:15" ht="15.75" customHeight="1" outlineLevel="1" x14ac:dyDescent="0.25">
      <c r="G23" s="306"/>
      <c r="H23" s="305"/>
      <c r="I23" s="307"/>
      <c r="J23" s="305"/>
      <c r="K23" s="307"/>
      <c r="L23" s="305"/>
      <c r="M23" s="305"/>
      <c r="N23" s="78">
        <v>6.56</v>
      </c>
      <c r="O23" t="s">
        <v>417</v>
      </c>
    </row>
    <row r="24" spans="1:15" ht="15.75" customHeight="1" outlineLevel="1" x14ac:dyDescent="0.25">
      <c r="G24" s="79" t="s">
        <v>418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392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419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420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362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23" t="s">
        <v>421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</row>
    <row r="4" spans="1:18" ht="36.75" customHeight="1" x14ac:dyDescent="0.25">
      <c r="A4" s="289" t="s">
        <v>381</v>
      </c>
      <c r="B4" s="292" t="s">
        <v>382</v>
      </c>
      <c r="C4" s="295" t="s">
        <v>422</v>
      </c>
      <c r="D4" s="295" t="s">
        <v>423</v>
      </c>
      <c r="E4" s="298" t="s">
        <v>424</v>
      </c>
      <c r="F4" s="299"/>
      <c r="G4" s="299"/>
      <c r="H4" s="299"/>
      <c r="I4" s="299"/>
      <c r="J4" s="299"/>
      <c r="K4" s="299"/>
      <c r="L4" s="299"/>
      <c r="M4" s="299"/>
      <c r="N4" s="324" t="s">
        <v>425</v>
      </c>
      <c r="O4" s="325"/>
      <c r="P4" s="325"/>
      <c r="Q4" s="325"/>
      <c r="R4" s="326"/>
    </row>
    <row r="5" spans="1:18" ht="60" customHeight="1" x14ac:dyDescent="0.25">
      <c r="A5" s="290"/>
      <c r="B5" s="293"/>
      <c r="C5" s="296"/>
      <c r="D5" s="296"/>
      <c r="E5" s="303" t="s">
        <v>426</v>
      </c>
      <c r="F5" s="303" t="s">
        <v>427</v>
      </c>
      <c r="G5" s="300" t="s">
        <v>388</v>
      </c>
      <c r="H5" s="301"/>
      <c r="I5" s="301"/>
      <c r="J5" s="302"/>
      <c r="K5" s="303" t="s">
        <v>428</v>
      </c>
      <c r="L5" s="303"/>
      <c r="M5" s="303"/>
      <c r="N5" s="81" t="s">
        <v>429</v>
      </c>
      <c r="O5" s="81" t="s">
        <v>430</v>
      </c>
      <c r="P5" s="81" t="s">
        <v>431</v>
      </c>
      <c r="Q5" s="82" t="s">
        <v>432</v>
      </c>
      <c r="R5" s="81" t="s">
        <v>433</v>
      </c>
    </row>
    <row r="6" spans="1:18" ht="49.5" customHeight="1" x14ac:dyDescent="0.25">
      <c r="A6" s="291"/>
      <c r="B6" s="294"/>
      <c r="C6" s="297"/>
      <c r="D6" s="297"/>
      <c r="E6" s="303"/>
      <c r="F6" s="303"/>
      <c r="G6" s="54" t="s">
        <v>86</v>
      </c>
      <c r="H6" s="54" t="s">
        <v>87</v>
      </c>
      <c r="I6" s="54" t="s">
        <v>43</v>
      </c>
      <c r="J6" s="54" t="s">
        <v>362</v>
      </c>
      <c r="K6" s="54" t="s">
        <v>429</v>
      </c>
      <c r="L6" s="54" t="s">
        <v>430</v>
      </c>
      <c r="M6" s="54" t="s">
        <v>431</v>
      </c>
      <c r="N6" s="54" t="s">
        <v>434</v>
      </c>
      <c r="O6" s="54" t="s">
        <v>435</v>
      </c>
      <c r="P6" s="54" t="s">
        <v>436</v>
      </c>
      <c r="Q6" s="55" t="s">
        <v>437</v>
      </c>
      <c r="R6" s="54" t="s">
        <v>438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89">
        <v>1</v>
      </c>
      <c r="B9" s="289" t="s">
        <v>439</v>
      </c>
      <c r="C9" s="316" t="s">
        <v>395</v>
      </c>
      <c r="D9" s="60" t="s">
        <v>440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91"/>
      <c r="B10" s="290"/>
      <c r="C10" s="317"/>
      <c r="D10" s="60" t="s">
        <v>441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89">
        <v>2</v>
      </c>
      <c r="B11" s="290"/>
      <c r="C11" s="316" t="s">
        <v>442</v>
      </c>
      <c r="D11" s="60" t="s">
        <v>440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91"/>
      <c r="B12" s="291"/>
      <c r="C12" s="317"/>
      <c r="D12" s="60" t="s">
        <v>441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89">
        <v>3</v>
      </c>
      <c r="B13" s="289" t="s">
        <v>397</v>
      </c>
      <c r="C13" s="319" t="s">
        <v>398</v>
      </c>
      <c r="D13" s="60" t="s">
        <v>443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91"/>
      <c r="B14" s="290"/>
      <c r="C14" s="320"/>
      <c r="D14" s="60" t="s">
        <v>441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89">
        <v>4</v>
      </c>
      <c r="B15" s="290"/>
      <c r="C15" s="321" t="s">
        <v>399</v>
      </c>
      <c r="D15" s="63" t="s">
        <v>443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91"/>
      <c r="B16" s="291"/>
      <c r="C16" s="322"/>
      <c r="D16" s="63" t="s">
        <v>441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89">
        <v>5</v>
      </c>
      <c r="B17" s="304" t="s">
        <v>400</v>
      </c>
      <c r="C17" s="316" t="s">
        <v>444</v>
      </c>
      <c r="D17" s="60" t="s">
        <v>445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91"/>
      <c r="B18" s="304"/>
      <c r="C18" s="317"/>
      <c r="D18" s="60" t="s">
        <v>441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89">
        <v>6</v>
      </c>
      <c r="B19" s="304"/>
      <c r="C19" s="316" t="s">
        <v>402</v>
      </c>
      <c r="D19" s="63" t="s">
        <v>443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91"/>
      <c r="B20" s="304"/>
      <c r="C20" s="317"/>
      <c r="D20" s="63" t="s">
        <v>441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89">
        <v>7</v>
      </c>
      <c r="B21" s="289" t="s">
        <v>403</v>
      </c>
      <c r="C21" s="316" t="s">
        <v>404</v>
      </c>
      <c r="D21" s="63" t="s">
        <v>446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91"/>
      <c r="B22" s="291"/>
      <c r="C22" s="317"/>
      <c r="D22" s="86" t="s">
        <v>441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447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18" t="s">
        <v>448</v>
      </c>
      <c r="E26" s="318"/>
      <c r="F26" s="318"/>
      <c r="G26" s="318"/>
      <c r="H26" s="318"/>
      <c r="I26" s="318"/>
      <c r="J26" s="318"/>
      <c r="K26" s="318"/>
      <c r="L26" s="75"/>
      <c r="R26" s="93"/>
    </row>
    <row r="27" spans="1:18" outlineLevel="1" x14ac:dyDescent="0.25">
      <c r="D27" s="94"/>
      <c r="E27" s="94" t="s">
        <v>408</v>
      </c>
      <c r="F27" s="94" t="s">
        <v>409</v>
      </c>
      <c r="G27" s="94" t="s">
        <v>410</v>
      </c>
      <c r="H27" s="95" t="s">
        <v>411</v>
      </c>
      <c r="I27" s="95" t="s">
        <v>412</v>
      </c>
      <c r="J27" s="95" t="s">
        <v>413</v>
      </c>
      <c r="K27" s="66" t="s">
        <v>414</v>
      </c>
    </row>
    <row r="28" spans="1:18" outlineLevel="1" x14ac:dyDescent="0.25">
      <c r="D28" s="312" t="s">
        <v>415</v>
      </c>
      <c r="E28" s="310">
        <v>6.09</v>
      </c>
      <c r="F28" s="314">
        <v>6.63</v>
      </c>
      <c r="G28" s="310">
        <v>5.77</v>
      </c>
      <c r="H28" s="308">
        <v>5.77</v>
      </c>
      <c r="I28" s="308">
        <v>6.35</v>
      </c>
      <c r="J28" s="310">
        <v>5.77</v>
      </c>
      <c r="K28" s="96">
        <v>6.29</v>
      </c>
      <c r="L28" t="s">
        <v>416</v>
      </c>
    </row>
    <row r="29" spans="1:18" outlineLevel="1" x14ac:dyDescent="0.25">
      <c r="D29" s="313"/>
      <c r="E29" s="311"/>
      <c r="F29" s="315"/>
      <c r="G29" s="311"/>
      <c r="H29" s="309"/>
      <c r="I29" s="309"/>
      <c r="J29" s="311"/>
      <c r="K29" s="96">
        <v>6.56</v>
      </c>
      <c r="L29" t="s">
        <v>417</v>
      </c>
    </row>
    <row r="30" spans="1:18" outlineLevel="1" x14ac:dyDescent="0.25">
      <c r="D30" s="97" t="s">
        <v>418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12" t="s">
        <v>392</v>
      </c>
      <c r="E31" s="310">
        <v>11.37</v>
      </c>
      <c r="F31" s="314">
        <v>13.56</v>
      </c>
      <c r="G31" s="310">
        <v>15.91</v>
      </c>
      <c r="H31" s="308">
        <v>15.91</v>
      </c>
      <c r="I31" s="308">
        <v>14.03</v>
      </c>
      <c r="J31" s="310">
        <v>15.91</v>
      </c>
      <c r="K31" s="96">
        <v>8.2899999999999991</v>
      </c>
      <c r="L31" t="s">
        <v>416</v>
      </c>
    </row>
    <row r="32" spans="1:18" outlineLevel="1" x14ac:dyDescent="0.25">
      <c r="D32" s="313"/>
      <c r="E32" s="311"/>
      <c r="F32" s="315"/>
      <c r="G32" s="311"/>
      <c r="H32" s="309"/>
      <c r="I32" s="309"/>
      <c r="J32" s="311"/>
      <c r="K32" s="96">
        <v>11.84</v>
      </c>
      <c r="L32" t="s">
        <v>417</v>
      </c>
    </row>
    <row r="33" spans="4:12" ht="15" customHeight="1" outlineLevel="1" x14ac:dyDescent="0.25">
      <c r="D33" s="98" t="s">
        <v>419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449</v>
      </c>
    </row>
    <row r="34" spans="4:12" outlineLevel="1" x14ac:dyDescent="0.25">
      <c r="D34" s="98" t="s">
        <v>420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449</v>
      </c>
    </row>
    <row r="35" spans="4:12" outlineLevel="1" x14ac:dyDescent="0.25">
      <c r="D35" s="97" t="s">
        <v>362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0" t="s">
        <v>10</v>
      </c>
      <c r="B2" s="230"/>
      <c r="C2" s="230"/>
      <c r="D2" s="230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33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3"/>
    </row>
    <row r="5" spans="1:4" x14ac:dyDescent="0.25">
      <c r="A5" s="5"/>
      <c r="B5" s="1"/>
      <c r="C5" s="1"/>
    </row>
    <row r="6" spans="1:4" x14ac:dyDescent="0.25">
      <c r="A6" s="230" t="s">
        <v>12</v>
      </c>
      <c r="B6" s="230"/>
      <c r="C6" s="230"/>
      <c r="D6" s="230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726.77248062999001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446.77229999999997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726.77248062999001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4" t="s">
        <v>5</v>
      </c>
      <c r="B15" s="235" t="s">
        <v>15</v>
      </c>
      <c r="C15" s="235"/>
      <c r="D15" s="235"/>
    </row>
    <row r="16" spans="1:4" x14ac:dyDescent="0.25">
      <c r="A16" s="234"/>
      <c r="B16" s="234" t="s">
        <v>17</v>
      </c>
      <c r="C16" s="235" t="s">
        <v>28</v>
      </c>
      <c r="D16" s="235"/>
    </row>
    <row r="17" spans="1:4" ht="39" customHeight="1" x14ac:dyDescent="0.25">
      <c r="A17" s="234"/>
      <c r="B17" s="234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726.77248062999001</v>
      </c>
      <c r="C18" s="3">
        <f>C11</f>
        <v>0</v>
      </c>
      <c r="D18" s="3">
        <f>C12</f>
        <v>446.77229999999997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6" t="s">
        <v>29</v>
      </c>
      <c r="B2" s="236"/>
      <c r="C2" s="236"/>
      <c r="D2" s="236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19" zoomScaleNormal="70" workbookViewId="0">
      <selection activeCell="A26" sqref="A26:XFD30"/>
    </sheetView>
  </sheetViews>
  <sheetFormatPr defaultRowHeight="15" x14ac:dyDescent="0.25"/>
  <cols>
    <col min="3" max="3" width="36.85546875" customWidth="1"/>
    <col min="4" max="4" width="43.85546875" style="157" customWidth="1"/>
  </cols>
  <sheetData>
    <row r="3" spans="2:4" ht="15.75" customHeight="1" x14ac:dyDescent="0.25">
      <c r="B3" s="238" t="s">
        <v>45</v>
      </c>
      <c r="C3" s="238"/>
      <c r="D3" s="238"/>
    </row>
    <row r="4" spans="2:4" ht="18.75" customHeight="1" x14ac:dyDescent="0.25">
      <c r="B4" s="239" t="s">
        <v>46</v>
      </c>
      <c r="C4" s="239"/>
      <c r="D4" s="239"/>
    </row>
    <row r="5" spans="2:4" ht="84" customHeight="1" x14ac:dyDescent="0.25">
      <c r="B5" s="240" t="s">
        <v>47</v>
      </c>
      <c r="C5" s="240"/>
      <c r="D5" s="240"/>
    </row>
    <row r="6" spans="2:4" ht="18.75" customHeight="1" x14ac:dyDescent="0.25">
      <c r="B6" s="200"/>
      <c r="C6" s="200"/>
      <c r="D6" s="200"/>
    </row>
    <row r="7" spans="2:4" ht="42" customHeight="1" x14ac:dyDescent="0.25">
      <c r="B7" s="237" t="s">
        <v>48</v>
      </c>
      <c r="C7" s="237"/>
      <c r="D7" s="237"/>
    </row>
    <row r="8" spans="2:4" ht="31.5" customHeight="1" x14ac:dyDescent="0.25">
      <c r="B8" s="237" t="s">
        <v>49</v>
      </c>
      <c r="C8" s="237"/>
      <c r="D8" s="237"/>
    </row>
    <row r="9" spans="2:4" ht="15.75" customHeight="1" x14ac:dyDescent="0.25">
      <c r="B9" s="237" t="s">
        <v>50</v>
      </c>
      <c r="C9" s="237"/>
      <c r="D9" s="237"/>
    </row>
    <row r="10" spans="2:4" ht="18.75" customHeight="1" x14ac:dyDescent="0.25">
      <c r="B10" s="201"/>
      <c r="C10" s="202"/>
      <c r="D10" s="214"/>
    </row>
    <row r="11" spans="2:4" ht="15.75" customHeight="1" x14ac:dyDescent="0.25">
      <c r="B11" s="203" t="s">
        <v>33</v>
      </c>
      <c r="C11" s="203" t="s">
        <v>51</v>
      </c>
      <c r="D11" s="203" t="s">
        <v>52</v>
      </c>
    </row>
    <row r="12" spans="2:4" ht="63" customHeight="1" x14ac:dyDescent="0.25">
      <c r="B12" s="203">
        <v>1</v>
      </c>
      <c r="C12" s="204" t="s">
        <v>53</v>
      </c>
      <c r="D12" s="203" t="s">
        <v>54</v>
      </c>
    </row>
    <row r="13" spans="2:4" ht="31.5" customHeight="1" x14ac:dyDescent="0.25">
      <c r="B13" s="117">
        <v>2</v>
      </c>
      <c r="C13" s="118" t="s">
        <v>55</v>
      </c>
      <c r="D13" s="117" t="s">
        <v>56</v>
      </c>
    </row>
    <row r="14" spans="2:4" ht="15.75" customHeight="1" x14ac:dyDescent="0.25">
      <c r="B14" s="117">
        <v>3</v>
      </c>
      <c r="C14" s="118" t="s">
        <v>57</v>
      </c>
      <c r="D14" s="117" t="s">
        <v>58</v>
      </c>
    </row>
    <row r="15" spans="2:4" ht="15.75" customHeight="1" x14ac:dyDescent="0.25">
      <c r="B15" s="117">
        <v>4</v>
      </c>
      <c r="C15" s="118" t="s">
        <v>59</v>
      </c>
      <c r="D15" s="117">
        <v>1</v>
      </c>
    </row>
    <row r="16" spans="2:4" ht="107.25" customHeight="1" x14ac:dyDescent="0.25">
      <c r="B16" s="117">
        <v>5</v>
      </c>
      <c r="C16" s="119" t="s">
        <v>60</v>
      </c>
      <c r="D16" s="117" t="s">
        <v>61</v>
      </c>
    </row>
    <row r="17" spans="2:4" ht="95.25" customHeight="1" x14ac:dyDescent="0.25">
      <c r="B17" s="117">
        <v>6</v>
      </c>
      <c r="C17" s="119" t="s">
        <v>62</v>
      </c>
      <c r="D17" s="215">
        <f>SUM(D18:D21)</f>
        <v>287.82865310401002</v>
      </c>
    </row>
    <row r="18" spans="2:4" ht="15.75" customHeight="1" x14ac:dyDescent="0.25">
      <c r="B18" s="120" t="s">
        <v>63</v>
      </c>
      <c r="C18" s="118" t="s">
        <v>64</v>
      </c>
      <c r="D18" s="215">
        <f>'Прил.2 Расч стоим'!F13+'Прил.2 Расч стоим'!G13</f>
        <v>59.217650800000001</v>
      </c>
    </row>
    <row r="19" spans="2:4" ht="15.75" customHeight="1" x14ac:dyDescent="0.25">
      <c r="B19" s="120" t="s">
        <v>65</v>
      </c>
      <c r="C19" s="118" t="s">
        <v>66</v>
      </c>
      <c r="D19" s="215">
        <f>'Прил.2 Расч стоим'!H13</f>
        <v>225.009444</v>
      </c>
    </row>
    <row r="20" spans="2:4" ht="15.75" customHeight="1" x14ac:dyDescent="0.25">
      <c r="B20" s="120" t="s">
        <v>67</v>
      </c>
      <c r="C20" s="118" t="s">
        <v>68</v>
      </c>
      <c r="D20" s="215"/>
    </row>
    <row r="21" spans="2:4" ht="31.5" customHeight="1" x14ac:dyDescent="0.25">
      <c r="B21" s="120" t="s">
        <v>69</v>
      </c>
      <c r="C21" s="118" t="s">
        <v>70</v>
      </c>
      <c r="D21" s="215">
        <f>D18*3.9%+(D18*3.9%+D18)*2.1%</f>
        <v>3.6015583040051999</v>
      </c>
    </row>
    <row r="22" spans="2:4" ht="15.75" customHeight="1" x14ac:dyDescent="0.25">
      <c r="B22" s="117">
        <v>7</v>
      </c>
      <c r="C22" s="118" t="s">
        <v>71</v>
      </c>
      <c r="D22" s="120" t="s">
        <v>72</v>
      </c>
    </row>
    <row r="23" spans="2:4" ht="110.25" customHeight="1" x14ac:dyDescent="0.25">
      <c r="B23" s="117">
        <v>8</v>
      </c>
      <c r="C23" s="119" t="s">
        <v>73</v>
      </c>
      <c r="D23" s="215">
        <f>D17</f>
        <v>287.82865310401002</v>
      </c>
    </row>
    <row r="24" spans="2:4" ht="61.5" customHeight="1" x14ac:dyDescent="0.25">
      <c r="B24" s="117">
        <v>9</v>
      </c>
      <c r="C24" s="119" t="s">
        <v>74</v>
      </c>
      <c r="D24" s="215">
        <f>D23/1</f>
        <v>287.82865310401002</v>
      </c>
    </row>
    <row r="25" spans="2:4" ht="37.5" customHeight="1" x14ac:dyDescent="0.25">
      <c r="B25" s="121"/>
      <c r="C25" s="122"/>
      <c r="D25" s="216"/>
    </row>
    <row r="26" spans="2:4" x14ac:dyDescent="0.25">
      <c r="B26" s="4" t="s">
        <v>75</v>
      </c>
      <c r="C26" s="12"/>
      <c r="D26"/>
    </row>
    <row r="27" spans="2:4" x14ac:dyDescent="0.25">
      <c r="B27" s="33" t="s">
        <v>76</v>
      </c>
      <c r="C27" s="12"/>
      <c r="D27"/>
    </row>
    <row r="28" spans="2:4" x14ac:dyDescent="0.25">
      <c r="B28" s="4"/>
      <c r="C28" s="12"/>
      <c r="D28"/>
    </row>
    <row r="29" spans="2:4" x14ac:dyDescent="0.25">
      <c r="B29" s="4" t="s">
        <v>77</v>
      </c>
      <c r="C29" s="12"/>
      <c r="D29"/>
    </row>
    <row r="30" spans="2:4" x14ac:dyDescent="0.25">
      <c r="B30" s="33" t="s">
        <v>78</v>
      </c>
      <c r="C30" s="12"/>
      <c r="D30"/>
    </row>
    <row r="31" spans="2:4" ht="15.75" customHeight="1" x14ac:dyDescent="0.25">
      <c r="B31" s="122"/>
      <c r="C31" s="122"/>
      <c r="D31" s="216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76" orientation="portrait" cellComments="atEnd" r:id="rId1"/>
  <colBreaks count="1" manualBreakCount="1">
    <brk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38" t="s">
        <v>79</v>
      </c>
      <c r="C3" s="238"/>
      <c r="D3" s="238"/>
      <c r="E3" s="238"/>
      <c r="F3" s="238"/>
      <c r="G3" s="238"/>
      <c r="H3" s="238"/>
      <c r="I3" s="238"/>
      <c r="J3" s="238"/>
      <c r="K3" s="238"/>
    </row>
    <row r="4" spans="2:11" ht="15.75" customHeight="1" x14ac:dyDescent="0.25">
      <c r="B4" s="243" t="s">
        <v>80</v>
      </c>
      <c r="C4" s="243"/>
      <c r="D4" s="243"/>
      <c r="E4" s="243"/>
      <c r="F4" s="243"/>
      <c r="G4" s="243"/>
      <c r="H4" s="243"/>
      <c r="I4" s="243"/>
      <c r="J4" s="243"/>
      <c r="K4" s="243"/>
    </row>
    <row r="5" spans="2:11" ht="15.75" customHeight="1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</row>
    <row r="6" spans="2:11" ht="15.75" customHeight="1" x14ac:dyDescent="0.25">
      <c r="B6" s="244" t="s">
        <v>48</v>
      </c>
      <c r="C6" s="244"/>
      <c r="D6" s="244"/>
      <c r="E6" s="244"/>
      <c r="F6" s="244"/>
      <c r="G6" s="244"/>
      <c r="H6" s="244"/>
      <c r="I6" s="244"/>
      <c r="J6" s="244"/>
      <c r="K6" s="244"/>
    </row>
    <row r="7" spans="2:11" ht="15.75" customHeight="1" x14ac:dyDescent="0.25">
      <c r="B7" s="244" t="s">
        <v>50</v>
      </c>
      <c r="C7" s="244"/>
      <c r="D7" s="244"/>
      <c r="E7" s="244"/>
      <c r="F7" s="244"/>
      <c r="G7" s="244"/>
      <c r="H7" s="244"/>
      <c r="I7" s="244"/>
      <c r="J7" s="244"/>
      <c r="K7" s="244"/>
    </row>
    <row r="8" spans="2:11" ht="18.75" customHeight="1" x14ac:dyDescent="0.25">
      <c r="B8" s="116"/>
    </row>
    <row r="9" spans="2:11" ht="15.75" customHeight="1" x14ac:dyDescent="0.25">
      <c r="B9" s="245" t="s">
        <v>33</v>
      </c>
      <c r="C9" s="245" t="s">
        <v>81</v>
      </c>
      <c r="D9" s="245" t="s">
        <v>82</v>
      </c>
      <c r="E9" s="245"/>
      <c r="F9" s="245"/>
      <c r="G9" s="245"/>
      <c r="H9" s="245"/>
      <c r="I9" s="245"/>
      <c r="J9" s="245"/>
    </row>
    <row r="10" spans="2:11" ht="15.75" customHeight="1" x14ac:dyDescent="0.25">
      <c r="B10" s="245"/>
      <c r="C10" s="245"/>
      <c r="D10" s="245" t="s">
        <v>83</v>
      </c>
      <c r="E10" s="245" t="s">
        <v>84</v>
      </c>
      <c r="F10" s="245" t="s">
        <v>85</v>
      </c>
      <c r="G10" s="245"/>
      <c r="H10" s="245"/>
      <c r="I10" s="245"/>
      <c r="J10" s="245"/>
    </row>
    <row r="11" spans="2:11" ht="31.5" customHeight="1" x14ac:dyDescent="0.25">
      <c r="B11" s="245"/>
      <c r="C11" s="245"/>
      <c r="D11" s="245"/>
      <c r="E11" s="245"/>
      <c r="F11" s="117" t="s">
        <v>86</v>
      </c>
      <c r="G11" s="117" t="s">
        <v>87</v>
      </c>
      <c r="H11" s="117" t="s">
        <v>43</v>
      </c>
      <c r="I11" s="117" t="s">
        <v>88</v>
      </c>
      <c r="J11" s="117" t="s">
        <v>89</v>
      </c>
    </row>
    <row r="12" spans="2:11" ht="94.5" customHeight="1" x14ac:dyDescent="0.25">
      <c r="B12" s="221">
        <v>1</v>
      </c>
      <c r="C12" s="117" t="str">
        <f>'Прил.1 Сравнит табл'!D16</f>
        <v>Трансформатор напряжения цифровой 10 кВ, 2000 ВА</v>
      </c>
      <c r="D12" s="221" t="s">
        <v>90</v>
      </c>
      <c r="E12" s="128" t="s">
        <v>91</v>
      </c>
      <c r="F12" s="222"/>
      <c r="G12" s="222">
        <v>59.217650800000001</v>
      </c>
      <c r="H12" s="222">
        <v>225.009444</v>
      </c>
      <c r="I12" s="222"/>
      <c r="J12" s="222">
        <f>SUM(F12:I12)</f>
        <v>284.22709479999997</v>
      </c>
    </row>
    <row r="13" spans="2:11" ht="15.75" customHeight="1" x14ac:dyDescent="0.25">
      <c r="B13" s="241" t="s">
        <v>92</v>
      </c>
      <c r="C13" s="241"/>
      <c r="D13" s="241"/>
      <c r="E13" s="241"/>
      <c r="F13" s="223">
        <f>SUM(F12)</f>
        <v>0</v>
      </c>
      <c r="G13" s="223">
        <f>SUM(G12)</f>
        <v>59.217650800000001</v>
      </c>
      <c r="H13" s="223">
        <f>SUM(H12)</f>
        <v>225.009444</v>
      </c>
      <c r="I13" s="223"/>
      <c r="J13" s="223">
        <f>SUM(J12)</f>
        <v>284.22709479999997</v>
      </c>
    </row>
    <row r="14" spans="2:11" ht="15.75" customHeight="1" x14ac:dyDescent="0.25">
      <c r="B14" s="242" t="s">
        <v>93</v>
      </c>
      <c r="C14" s="242"/>
      <c r="D14" s="242"/>
      <c r="E14" s="242"/>
      <c r="F14" s="224">
        <f>F13</f>
        <v>0</v>
      </c>
      <c r="G14" s="224">
        <f>G13</f>
        <v>59.217650800000001</v>
      </c>
      <c r="H14" s="224">
        <f>H13</f>
        <v>225.009444</v>
      </c>
      <c r="I14" s="224">
        <f>'Прил.1 Сравнит табл'!D21</f>
        <v>3.6015583040051999</v>
      </c>
      <c r="J14" s="224">
        <f>J13+I14</f>
        <v>287.82865310401002</v>
      </c>
    </row>
    <row r="15" spans="2:11" ht="18.75" customHeight="1" x14ac:dyDescent="0.25">
      <c r="B15" s="116"/>
    </row>
    <row r="18" spans="2:3" x14ac:dyDescent="0.25">
      <c r="B18" s="4" t="s">
        <v>75</v>
      </c>
      <c r="C18" s="12"/>
    </row>
    <row r="19" spans="2:3" x14ac:dyDescent="0.25">
      <c r="B19" s="33" t="s">
        <v>76</v>
      </c>
      <c r="C19" s="12"/>
    </row>
    <row r="20" spans="2:3" x14ac:dyDescent="0.25">
      <c r="B20" s="4"/>
      <c r="C20" s="12"/>
    </row>
    <row r="21" spans="2:3" x14ac:dyDescent="0.25">
      <c r="B21" s="4" t="s">
        <v>77</v>
      </c>
      <c r="C21" s="12"/>
    </row>
    <row r="22" spans="2:3" x14ac:dyDescent="0.25">
      <c r="B22" s="33" t="s">
        <v>78</v>
      </c>
      <c r="C22" s="12"/>
    </row>
  </sheetData>
  <mergeCells count="12"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62"/>
  <sheetViews>
    <sheetView view="pageBreakPreview" topLeftCell="A43" zoomScale="85" workbookViewId="0">
      <selection activeCell="A56" sqref="A56:XFD56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49.85546875" customWidth="1"/>
    <col min="5" max="5" width="12.28515625" customWidth="1"/>
    <col min="6" max="6" width="19.85546875" customWidth="1"/>
    <col min="7" max="7" width="17.85546875" customWidth="1"/>
    <col min="8" max="8" width="19.42578125" style="156" customWidth="1"/>
  </cols>
  <sheetData>
    <row r="2" spans="1:10" ht="15.75" customHeight="1" x14ac:dyDescent="0.25">
      <c r="A2" s="238" t="s">
        <v>94</v>
      </c>
      <c r="B2" s="238"/>
      <c r="C2" s="238"/>
      <c r="D2" s="238"/>
      <c r="E2" s="238"/>
      <c r="F2" s="238"/>
      <c r="G2" s="238"/>
      <c r="H2" s="238"/>
    </row>
    <row r="3" spans="1:10" ht="18.75" customHeight="1" x14ac:dyDescent="0.25">
      <c r="A3" s="239" t="s">
        <v>95</v>
      </c>
      <c r="B3" s="239"/>
      <c r="C3" s="239"/>
      <c r="D3" s="239"/>
      <c r="E3" s="239"/>
      <c r="F3" s="239"/>
      <c r="G3" s="239"/>
      <c r="H3" s="239"/>
    </row>
    <row r="4" spans="1:10" x14ac:dyDescent="0.25">
      <c r="A4" s="202"/>
      <c r="B4" s="205"/>
      <c r="C4" s="255"/>
      <c r="D4" s="255"/>
      <c r="E4" s="255"/>
      <c r="F4" s="255"/>
      <c r="G4" s="255"/>
      <c r="H4" s="255"/>
    </row>
    <row r="5" spans="1:10" ht="15.75" customHeight="1" x14ac:dyDescent="0.25">
      <c r="A5" s="202"/>
      <c r="B5" s="202"/>
      <c r="C5" s="206"/>
      <c r="D5" s="206"/>
      <c r="E5" s="206"/>
      <c r="F5" s="206"/>
      <c r="G5" s="206"/>
      <c r="H5" s="207"/>
    </row>
    <row r="6" spans="1:10" ht="15" customHeight="1" x14ac:dyDescent="0.25">
      <c r="A6" s="256" t="s">
        <v>48</v>
      </c>
      <c r="B6" s="256"/>
      <c r="C6" s="256"/>
      <c r="D6" s="256"/>
      <c r="E6" s="256"/>
      <c r="F6" s="256"/>
      <c r="G6" s="256"/>
      <c r="H6" s="256"/>
    </row>
    <row r="7" spans="1:10" ht="14.25" customHeight="1" x14ac:dyDescent="0.25">
      <c r="A7" s="256"/>
      <c r="B7" s="256"/>
      <c r="C7" s="256"/>
      <c r="D7" s="256"/>
      <c r="E7" s="256"/>
      <c r="F7" s="256"/>
      <c r="G7" s="256"/>
      <c r="H7" s="256"/>
    </row>
    <row r="8" spans="1:10" ht="15.75" customHeight="1" x14ac:dyDescent="0.25">
      <c r="A8" s="202"/>
      <c r="B8" s="202"/>
      <c r="C8" s="208"/>
      <c r="D8" s="209"/>
      <c r="E8" s="210"/>
      <c r="F8" s="211"/>
      <c r="G8" s="212"/>
      <c r="H8" s="213"/>
    </row>
    <row r="9" spans="1:10" ht="38.25" customHeight="1" x14ac:dyDescent="0.25">
      <c r="A9" s="253" t="s">
        <v>96</v>
      </c>
      <c r="B9" s="253" t="s">
        <v>97</v>
      </c>
      <c r="C9" s="253" t="s">
        <v>98</v>
      </c>
      <c r="D9" s="253" t="s">
        <v>99</v>
      </c>
      <c r="E9" s="253" t="s">
        <v>100</v>
      </c>
      <c r="F9" s="253" t="s">
        <v>101</v>
      </c>
      <c r="G9" s="253" t="s">
        <v>102</v>
      </c>
      <c r="H9" s="253"/>
    </row>
    <row r="10" spans="1:10" ht="15.75" customHeight="1" x14ac:dyDescent="0.25">
      <c r="A10" s="253"/>
      <c r="B10" s="253"/>
      <c r="C10" s="253"/>
      <c r="D10" s="253"/>
      <c r="E10" s="253"/>
      <c r="F10" s="253"/>
      <c r="G10" s="203" t="s">
        <v>103</v>
      </c>
      <c r="H10" s="203" t="s">
        <v>104</v>
      </c>
    </row>
    <row r="11" spans="1:10" ht="15.75" customHeight="1" x14ac:dyDescent="0.25">
      <c r="A11" s="117">
        <v>1</v>
      </c>
      <c r="B11" s="149"/>
      <c r="C11" s="117">
        <v>2</v>
      </c>
      <c r="D11" s="117" t="s">
        <v>105</v>
      </c>
      <c r="E11" s="117">
        <v>4</v>
      </c>
      <c r="F11" s="117">
        <v>5</v>
      </c>
      <c r="G11" s="149">
        <v>6</v>
      </c>
      <c r="H11" s="149">
        <v>7</v>
      </c>
    </row>
    <row r="12" spans="1:10" ht="15" customHeight="1" x14ac:dyDescent="0.25">
      <c r="A12" s="254" t="s">
        <v>106</v>
      </c>
      <c r="B12" s="248"/>
      <c r="C12" s="248"/>
      <c r="D12" s="249"/>
      <c r="E12" s="150"/>
      <c r="F12" s="227">
        <f>SUM(F13:F15)</f>
        <v>125.59280665280701</v>
      </c>
      <c r="G12" s="228"/>
      <c r="H12" s="229">
        <f>SUM(H13:H15)</f>
        <v>1684.8799999999999</v>
      </c>
    </row>
    <row r="13" spans="1:10" x14ac:dyDescent="0.25">
      <c r="A13" s="170" t="s">
        <v>107</v>
      </c>
      <c r="B13" s="170"/>
      <c r="C13" s="177" t="s">
        <v>108</v>
      </c>
      <c r="D13" s="178" t="s">
        <v>109</v>
      </c>
      <c r="E13" s="7" t="s">
        <v>110</v>
      </c>
      <c r="F13" s="225">
        <v>46.1</v>
      </c>
      <c r="G13" s="179">
        <v>15.49</v>
      </c>
      <c r="H13" s="32">
        <f>ROUND(F13*G13,2)</f>
        <v>714.09</v>
      </c>
      <c r="I13" s="152"/>
      <c r="J13" s="152"/>
    </row>
    <row r="14" spans="1:10" x14ac:dyDescent="0.25">
      <c r="A14" s="170" t="s">
        <v>111</v>
      </c>
      <c r="B14" s="170"/>
      <c r="C14" s="177" t="s">
        <v>112</v>
      </c>
      <c r="D14" s="178" t="s">
        <v>113</v>
      </c>
      <c r="E14" s="7" t="s">
        <v>110</v>
      </c>
      <c r="F14" s="225">
        <v>46.1</v>
      </c>
      <c r="G14" s="179">
        <v>14.09</v>
      </c>
      <c r="H14" s="32">
        <f>ROUND(F14*G14,2)</f>
        <v>649.54999999999995</v>
      </c>
      <c r="I14" s="152"/>
      <c r="J14" s="152"/>
    </row>
    <row r="15" spans="1:10" x14ac:dyDescent="0.25">
      <c r="A15" s="170" t="s">
        <v>114</v>
      </c>
      <c r="B15" s="170"/>
      <c r="C15" s="177" t="s">
        <v>115</v>
      </c>
      <c r="D15" s="178" t="s">
        <v>116</v>
      </c>
      <c r="E15" s="7" t="s">
        <v>110</v>
      </c>
      <c r="F15" s="225">
        <v>33.392806652807003</v>
      </c>
      <c r="G15" s="179">
        <v>9.6199999999999992</v>
      </c>
      <c r="H15" s="32">
        <f>ROUND(F15*G15,2)</f>
        <v>321.24</v>
      </c>
      <c r="I15" s="152"/>
      <c r="J15" s="152"/>
    </row>
    <row r="16" spans="1:10" x14ac:dyDescent="0.25">
      <c r="A16" s="246" t="s">
        <v>117</v>
      </c>
      <c r="B16" s="247"/>
      <c r="C16" s="248"/>
      <c r="D16" s="249"/>
      <c r="E16" s="153"/>
      <c r="F16" s="225">
        <v>0</v>
      </c>
      <c r="G16" s="151"/>
      <c r="H16" s="173">
        <f>H17</f>
        <v>14.271839999999999</v>
      </c>
      <c r="J16" s="152"/>
    </row>
    <row r="17" spans="1:9" x14ac:dyDescent="0.25">
      <c r="A17" s="170">
        <f>A15+1</f>
        <v>4</v>
      </c>
      <c r="B17" s="172"/>
      <c r="C17" s="170">
        <v>2</v>
      </c>
      <c r="D17" s="8" t="s">
        <v>117</v>
      </c>
      <c r="E17" s="2" t="s">
        <v>110</v>
      </c>
      <c r="F17" s="225">
        <v>15.93036</v>
      </c>
      <c r="G17" s="47"/>
      <c r="H17" s="32">
        <v>14.271839999999999</v>
      </c>
    </row>
    <row r="18" spans="1:9" ht="15" customHeight="1" x14ac:dyDescent="0.25">
      <c r="A18" s="250" t="s">
        <v>118</v>
      </c>
      <c r="B18" s="250"/>
      <c r="C18" s="250"/>
      <c r="D18" s="250"/>
      <c r="E18" s="150"/>
      <c r="F18" s="225">
        <v>0</v>
      </c>
      <c r="G18" s="150"/>
      <c r="H18" s="174">
        <f>SUM(H19:H26)</f>
        <v>2127.5100000000002</v>
      </c>
      <c r="I18" s="152"/>
    </row>
    <row r="19" spans="1:9" ht="25.5" customHeight="1" x14ac:dyDescent="0.25">
      <c r="A19" s="2">
        <f>A17+1</f>
        <v>5</v>
      </c>
      <c r="B19" s="170"/>
      <c r="C19" s="170" t="s">
        <v>119</v>
      </c>
      <c r="D19" s="8" t="s">
        <v>120</v>
      </c>
      <c r="E19" s="2" t="s">
        <v>121</v>
      </c>
      <c r="F19" s="225">
        <v>9.6</v>
      </c>
      <c r="G19" s="103">
        <v>110.86</v>
      </c>
      <c r="H19" s="32">
        <f t="shared" ref="H19:H26" si="0">ROUND(F19*G19,2)</f>
        <v>1064.26</v>
      </c>
    </row>
    <row r="20" spans="1:9" x14ac:dyDescent="0.25">
      <c r="A20" s="2">
        <f t="shared" ref="A20:A26" si="1">A19+1</f>
        <v>6</v>
      </c>
      <c r="B20" s="170"/>
      <c r="C20" s="170" t="s">
        <v>122</v>
      </c>
      <c r="D20" s="8" t="s">
        <v>123</v>
      </c>
      <c r="E20" s="2" t="s">
        <v>121</v>
      </c>
      <c r="F20" s="225">
        <v>2.198</v>
      </c>
      <c r="G20" s="103">
        <v>287.99</v>
      </c>
      <c r="H20" s="32">
        <f t="shared" si="0"/>
        <v>633</v>
      </c>
    </row>
    <row r="21" spans="1:9" ht="25.5" customHeight="1" x14ac:dyDescent="0.25">
      <c r="A21" s="2">
        <f t="shared" si="1"/>
        <v>7</v>
      </c>
      <c r="B21" s="170"/>
      <c r="C21" s="170" t="s">
        <v>124</v>
      </c>
      <c r="D21" s="8" t="s">
        <v>125</v>
      </c>
      <c r="E21" s="2" t="s">
        <v>121</v>
      </c>
      <c r="F21" s="225">
        <v>2.198</v>
      </c>
      <c r="G21" s="103">
        <v>131.44</v>
      </c>
      <c r="H21" s="32">
        <f t="shared" si="0"/>
        <v>288.91000000000003</v>
      </c>
    </row>
    <row r="22" spans="1:9" ht="25.5" customHeight="1" x14ac:dyDescent="0.25">
      <c r="A22" s="2">
        <f t="shared" si="1"/>
        <v>8</v>
      </c>
      <c r="B22" s="170"/>
      <c r="C22" s="170" t="s">
        <v>126</v>
      </c>
      <c r="D22" s="8" t="s">
        <v>127</v>
      </c>
      <c r="E22" s="2" t="s">
        <v>121</v>
      </c>
      <c r="F22" s="225">
        <v>0.77600000000000002</v>
      </c>
      <c r="G22" s="103">
        <v>111.99</v>
      </c>
      <c r="H22" s="32">
        <f t="shared" si="0"/>
        <v>86.9</v>
      </c>
    </row>
    <row r="23" spans="1:9" x14ac:dyDescent="0.25">
      <c r="A23" s="2">
        <f t="shared" si="1"/>
        <v>9</v>
      </c>
      <c r="B23" s="170"/>
      <c r="C23" s="170" t="s">
        <v>128</v>
      </c>
      <c r="D23" s="8" t="s">
        <v>129</v>
      </c>
      <c r="E23" s="2" t="s">
        <v>121</v>
      </c>
      <c r="F23" s="225">
        <v>0.48</v>
      </c>
      <c r="G23" s="103">
        <v>65.709999999999994</v>
      </c>
      <c r="H23" s="32">
        <f t="shared" si="0"/>
        <v>31.54</v>
      </c>
    </row>
    <row r="24" spans="1:9" x14ac:dyDescent="0.25">
      <c r="A24" s="2">
        <f t="shared" si="1"/>
        <v>10</v>
      </c>
      <c r="B24" s="170"/>
      <c r="C24" s="170" t="s">
        <v>130</v>
      </c>
      <c r="D24" s="8" t="s">
        <v>131</v>
      </c>
      <c r="E24" s="2" t="s">
        <v>121</v>
      </c>
      <c r="F24" s="225">
        <v>0.372</v>
      </c>
      <c r="G24" s="103">
        <v>29.6</v>
      </c>
      <c r="H24" s="32">
        <f t="shared" si="0"/>
        <v>11.01</v>
      </c>
    </row>
    <row r="25" spans="1:9" ht="25.5" customHeight="1" x14ac:dyDescent="0.25">
      <c r="A25" s="2">
        <f t="shared" si="1"/>
        <v>11</v>
      </c>
      <c r="B25" s="170"/>
      <c r="C25" s="170" t="s">
        <v>132</v>
      </c>
      <c r="D25" s="8" t="s">
        <v>133</v>
      </c>
      <c r="E25" s="2" t="s">
        <v>121</v>
      </c>
      <c r="F25" s="225">
        <v>0.98</v>
      </c>
      <c r="G25" s="103">
        <v>8.1</v>
      </c>
      <c r="H25" s="32">
        <f t="shared" si="0"/>
        <v>7.94</v>
      </c>
    </row>
    <row r="26" spans="1:9" x14ac:dyDescent="0.25">
      <c r="A26" s="2">
        <f t="shared" si="1"/>
        <v>12</v>
      </c>
      <c r="B26" s="170"/>
      <c r="C26" s="170" t="s">
        <v>134</v>
      </c>
      <c r="D26" s="8" t="s">
        <v>135</v>
      </c>
      <c r="E26" s="2" t="s">
        <v>121</v>
      </c>
      <c r="F26" s="225">
        <v>4.3899999999999997</v>
      </c>
      <c r="G26" s="103">
        <v>0.9</v>
      </c>
      <c r="H26" s="32">
        <f t="shared" si="0"/>
        <v>3.95</v>
      </c>
    </row>
    <row r="27" spans="1:9" ht="15" customHeight="1" x14ac:dyDescent="0.25">
      <c r="A27" s="252" t="s">
        <v>43</v>
      </c>
      <c r="B27" s="252"/>
      <c r="C27" s="252"/>
      <c r="D27" s="252"/>
      <c r="E27" s="154"/>
      <c r="F27" s="225"/>
      <c r="G27" s="151"/>
      <c r="H27" s="176">
        <f>SUM(H28:H30)</f>
        <v>52572.3</v>
      </c>
    </row>
    <row r="28" spans="1:9" x14ac:dyDescent="0.25">
      <c r="A28" s="196">
        <f>A26+1</f>
        <v>13</v>
      </c>
      <c r="B28" s="197"/>
      <c r="C28" s="194" t="s">
        <v>136</v>
      </c>
      <c r="D28" s="8" t="s">
        <v>61</v>
      </c>
      <c r="E28" s="2" t="s">
        <v>137</v>
      </c>
      <c r="F28" s="226">
        <v>3</v>
      </c>
      <c r="G28" s="32">
        <v>14545.95</v>
      </c>
      <c r="H28" s="32">
        <f>ROUND(F28*G28,2)</f>
        <v>43637.85</v>
      </c>
    </row>
    <row r="29" spans="1:9" ht="15" customHeight="1" x14ac:dyDescent="0.25">
      <c r="A29" s="196">
        <f>A28+1</f>
        <v>14</v>
      </c>
      <c r="B29" s="198"/>
      <c r="C29" s="194" t="s">
        <v>136</v>
      </c>
      <c r="D29" s="199" t="s">
        <v>138</v>
      </c>
      <c r="E29" s="153" t="s">
        <v>139</v>
      </c>
      <c r="F29" s="226">
        <v>1</v>
      </c>
      <c r="G29" s="32">
        <v>4887.58</v>
      </c>
      <c r="H29" s="32">
        <f>ROUND(F29*G29,2)</f>
        <v>4887.58</v>
      </c>
    </row>
    <row r="30" spans="1:9" ht="15" customHeight="1" x14ac:dyDescent="0.25">
      <c r="A30" s="196">
        <f>A29+1</f>
        <v>15</v>
      </c>
      <c r="B30" s="198"/>
      <c r="C30" s="194" t="s">
        <v>136</v>
      </c>
      <c r="D30" s="199" t="s">
        <v>140</v>
      </c>
      <c r="E30" s="153" t="s">
        <v>139</v>
      </c>
      <c r="F30" s="226">
        <v>1</v>
      </c>
      <c r="G30" s="32">
        <v>4046.87</v>
      </c>
      <c r="H30" s="32">
        <f>ROUND(F30*G30,2)</f>
        <v>4046.87</v>
      </c>
    </row>
    <row r="31" spans="1:9" ht="15" customHeight="1" x14ac:dyDescent="0.25">
      <c r="A31" s="251" t="s">
        <v>141</v>
      </c>
      <c r="B31" s="251"/>
      <c r="C31" s="251"/>
      <c r="D31" s="251"/>
      <c r="E31" s="171"/>
      <c r="F31" s="225"/>
      <c r="G31" s="150"/>
      <c r="H31" s="174">
        <f>SUM(H32:H53)</f>
        <v>1264.1600000000001</v>
      </c>
    </row>
    <row r="32" spans="1:9" ht="25.5" customHeight="1" x14ac:dyDescent="0.25">
      <c r="A32" s="196">
        <f>A30+1</f>
        <v>16</v>
      </c>
      <c r="B32" s="197"/>
      <c r="C32" s="197" t="s">
        <v>142</v>
      </c>
      <c r="D32" s="195" t="s">
        <v>143</v>
      </c>
      <c r="E32" s="2" t="s">
        <v>144</v>
      </c>
      <c r="F32" s="225">
        <f>(0.007*3*1)/5</f>
        <v>4.2000000000000006E-3</v>
      </c>
      <c r="G32" s="103">
        <v>98440.41</v>
      </c>
      <c r="H32" s="32">
        <f t="shared" ref="H32:H53" si="2">ROUND(F32*G32,2)</f>
        <v>413.45</v>
      </c>
    </row>
    <row r="33" spans="1:8" x14ac:dyDescent="0.25">
      <c r="A33" s="196">
        <f t="shared" ref="A33:A53" si="3">A32+1</f>
        <v>17</v>
      </c>
      <c r="B33" s="197"/>
      <c r="C33" s="197" t="s">
        <v>145</v>
      </c>
      <c r="D33" s="195" t="s">
        <v>146</v>
      </c>
      <c r="E33" s="2" t="s">
        <v>144</v>
      </c>
      <c r="F33" s="225">
        <f>(0.014*3*1)/5</f>
        <v>8.4000000000000012E-3</v>
      </c>
      <c r="G33" s="103">
        <v>38348.22</v>
      </c>
      <c r="H33" s="32">
        <f t="shared" si="2"/>
        <v>322.13</v>
      </c>
    </row>
    <row r="34" spans="1:8" ht="25.5" customHeight="1" x14ac:dyDescent="0.25">
      <c r="A34" s="196">
        <f t="shared" si="3"/>
        <v>18</v>
      </c>
      <c r="B34" s="197"/>
      <c r="C34" s="197" t="s">
        <v>147</v>
      </c>
      <c r="D34" s="195" t="s">
        <v>148</v>
      </c>
      <c r="E34" s="2" t="s">
        <v>149</v>
      </c>
      <c r="F34" s="225">
        <f>(0.28*1)/5</f>
        <v>5.6000000000000008E-2</v>
      </c>
      <c r="G34" s="103">
        <v>1837.28</v>
      </c>
      <c r="H34" s="32">
        <f t="shared" si="2"/>
        <v>102.89</v>
      </c>
    </row>
    <row r="35" spans="1:8" ht="51" customHeight="1" x14ac:dyDescent="0.25">
      <c r="A35" s="2">
        <f t="shared" si="3"/>
        <v>19</v>
      </c>
      <c r="B35" s="170"/>
      <c r="C35" s="170" t="s">
        <v>150</v>
      </c>
      <c r="D35" s="8" t="s">
        <v>151</v>
      </c>
      <c r="E35" s="2" t="s">
        <v>152</v>
      </c>
      <c r="F35" s="225">
        <v>2.5661999999999998E-3</v>
      </c>
      <c r="G35" s="103">
        <v>32762.18</v>
      </c>
      <c r="H35" s="32">
        <f t="shared" si="2"/>
        <v>84.07</v>
      </c>
    </row>
    <row r="36" spans="1:8" ht="25.5" customHeight="1" x14ac:dyDescent="0.25">
      <c r="A36" s="2">
        <f t="shared" si="3"/>
        <v>20</v>
      </c>
      <c r="B36" s="170"/>
      <c r="C36" s="170" t="s">
        <v>153</v>
      </c>
      <c r="D36" s="8" t="s">
        <v>154</v>
      </c>
      <c r="E36" s="2" t="s">
        <v>155</v>
      </c>
      <c r="F36" s="225">
        <v>0.4</v>
      </c>
      <c r="G36" s="103">
        <v>194.2</v>
      </c>
      <c r="H36" s="32">
        <f t="shared" si="2"/>
        <v>77.680000000000007</v>
      </c>
    </row>
    <row r="37" spans="1:8" x14ac:dyDescent="0.25">
      <c r="A37" s="2">
        <f t="shared" si="3"/>
        <v>21</v>
      </c>
      <c r="B37" s="170"/>
      <c r="C37" s="170" t="s">
        <v>156</v>
      </c>
      <c r="D37" s="8" t="s">
        <v>157</v>
      </c>
      <c r="E37" s="2" t="s">
        <v>158</v>
      </c>
      <c r="F37" s="225">
        <v>2.4719999999999999E-2</v>
      </c>
      <c r="G37" s="103">
        <v>2695</v>
      </c>
      <c r="H37" s="32">
        <f t="shared" si="2"/>
        <v>66.62</v>
      </c>
    </row>
    <row r="38" spans="1:8" x14ac:dyDescent="0.25">
      <c r="A38" s="2">
        <f t="shared" si="3"/>
        <v>22</v>
      </c>
      <c r="B38" s="170"/>
      <c r="C38" s="170" t="s">
        <v>159</v>
      </c>
      <c r="D38" s="8" t="s">
        <v>160</v>
      </c>
      <c r="E38" s="2" t="s">
        <v>161</v>
      </c>
      <c r="F38" s="225">
        <v>0.8</v>
      </c>
      <c r="G38" s="103">
        <v>50</v>
      </c>
      <c r="H38" s="32">
        <f t="shared" si="2"/>
        <v>40</v>
      </c>
    </row>
    <row r="39" spans="1:8" ht="25.5" customHeight="1" x14ac:dyDescent="0.25">
      <c r="A39" s="2">
        <f t="shared" si="3"/>
        <v>23</v>
      </c>
      <c r="B39" s="170"/>
      <c r="C39" s="170" t="s">
        <v>162</v>
      </c>
      <c r="D39" s="8" t="s">
        <v>163</v>
      </c>
      <c r="E39" s="2" t="s">
        <v>164</v>
      </c>
      <c r="F39" s="225">
        <v>31.094799999999999</v>
      </c>
      <c r="G39" s="103">
        <v>1</v>
      </c>
      <c r="H39" s="32">
        <f t="shared" si="2"/>
        <v>31.09</v>
      </c>
    </row>
    <row r="40" spans="1:8" x14ac:dyDescent="0.25">
      <c r="A40" s="2">
        <f t="shared" si="3"/>
        <v>24</v>
      </c>
      <c r="B40" s="170"/>
      <c r="C40" s="170" t="s">
        <v>165</v>
      </c>
      <c r="D40" s="8" t="s">
        <v>166</v>
      </c>
      <c r="E40" s="2" t="s">
        <v>139</v>
      </c>
      <c r="F40" s="225">
        <v>0.4</v>
      </c>
      <c r="G40" s="103">
        <v>66.819999999999993</v>
      </c>
      <c r="H40" s="32">
        <f t="shared" si="2"/>
        <v>26.73</v>
      </c>
    </row>
    <row r="41" spans="1:8" x14ac:dyDescent="0.25">
      <c r="A41" s="2">
        <f t="shared" si="3"/>
        <v>25</v>
      </c>
      <c r="B41" s="170"/>
      <c r="C41" s="170" t="s">
        <v>167</v>
      </c>
      <c r="D41" s="8" t="s">
        <v>168</v>
      </c>
      <c r="E41" s="2" t="s">
        <v>139</v>
      </c>
      <c r="F41" s="225">
        <v>4</v>
      </c>
      <c r="G41" s="103">
        <v>6.29</v>
      </c>
      <c r="H41" s="32">
        <f t="shared" si="2"/>
        <v>25.16</v>
      </c>
    </row>
    <row r="42" spans="1:8" x14ac:dyDescent="0.25">
      <c r="A42" s="2">
        <f t="shared" si="3"/>
        <v>26</v>
      </c>
      <c r="B42" s="170"/>
      <c r="C42" s="170" t="s">
        <v>169</v>
      </c>
      <c r="D42" s="8" t="s">
        <v>170</v>
      </c>
      <c r="E42" s="2" t="s">
        <v>161</v>
      </c>
      <c r="F42" s="225">
        <v>2.3290000000000002</v>
      </c>
      <c r="G42" s="103">
        <v>9.0399999999999991</v>
      </c>
      <c r="H42" s="32">
        <f t="shared" si="2"/>
        <v>21.05</v>
      </c>
    </row>
    <row r="43" spans="1:8" x14ac:dyDescent="0.25">
      <c r="A43" s="2">
        <f t="shared" si="3"/>
        <v>27</v>
      </c>
      <c r="B43" s="170"/>
      <c r="C43" s="170" t="s">
        <v>171</v>
      </c>
      <c r="D43" s="8" t="s">
        <v>172</v>
      </c>
      <c r="E43" s="2" t="s">
        <v>149</v>
      </c>
      <c r="F43" s="225">
        <f>(0.8*1*1)/5</f>
        <v>0.16</v>
      </c>
      <c r="G43" s="103">
        <v>108.4</v>
      </c>
      <c r="H43" s="32">
        <f t="shared" si="2"/>
        <v>17.34</v>
      </c>
    </row>
    <row r="44" spans="1:8" x14ac:dyDescent="0.25">
      <c r="A44" s="2">
        <f t="shared" si="3"/>
        <v>28</v>
      </c>
      <c r="B44" s="170"/>
      <c r="C44" s="170" t="s">
        <v>173</v>
      </c>
      <c r="D44" s="8" t="s">
        <v>174</v>
      </c>
      <c r="E44" s="2" t="s">
        <v>155</v>
      </c>
      <c r="F44" s="225">
        <v>0.4</v>
      </c>
      <c r="G44" s="103">
        <v>29.4</v>
      </c>
      <c r="H44" s="32">
        <f t="shared" si="2"/>
        <v>11.76</v>
      </c>
    </row>
    <row r="45" spans="1:8" ht="25.5" customHeight="1" x14ac:dyDescent="0.25">
      <c r="A45" s="2">
        <f t="shared" si="3"/>
        <v>29</v>
      </c>
      <c r="B45" s="170"/>
      <c r="C45" s="170" t="s">
        <v>175</v>
      </c>
      <c r="D45" s="8" t="s">
        <v>176</v>
      </c>
      <c r="E45" s="2" t="s">
        <v>152</v>
      </c>
      <c r="F45" s="225">
        <v>2.0799999999999998E-3</v>
      </c>
      <c r="G45" s="103">
        <v>5000</v>
      </c>
      <c r="H45" s="32">
        <f t="shared" si="2"/>
        <v>10.4</v>
      </c>
    </row>
    <row r="46" spans="1:8" x14ac:dyDescent="0.25">
      <c r="A46" s="2">
        <f t="shared" si="3"/>
        <v>30</v>
      </c>
      <c r="B46" s="170"/>
      <c r="C46" s="170" t="s">
        <v>177</v>
      </c>
      <c r="D46" s="8" t="s">
        <v>178</v>
      </c>
      <c r="E46" s="2" t="s">
        <v>161</v>
      </c>
      <c r="F46" s="225">
        <v>0.32432</v>
      </c>
      <c r="G46" s="103">
        <v>10.57</v>
      </c>
      <c r="H46" s="32">
        <f t="shared" si="2"/>
        <v>3.43</v>
      </c>
    </row>
    <row r="47" spans="1:8" x14ac:dyDescent="0.25">
      <c r="A47" s="2">
        <f t="shared" si="3"/>
        <v>31</v>
      </c>
      <c r="B47" s="170"/>
      <c r="C47" s="170" t="s">
        <v>179</v>
      </c>
      <c r="D47" s="8" t="s">
        <v>180</v>
      </c>
      <c r="E47" s="2" t="s">
        <v>158</v>
      </c>
      <c r="F47" s="225">
        <v>2.1780000000000001E-2</v>
      </c>
      <c r="G47" s="103">
        <v>110</v>
      </c>
      <c r="H47" s="32">
        <f t="shared" si="2"/>
        <v>2.4</v>
      </c>
    </row>
    <row r="48" spans="1:8" ht="25.5" customHeight="1" x14ac:dyDescent="0.25">
      <c r="A48" s="2">
        <f t="shared" si="3"/>
        <v>32</v>
      </c>
      <c r="B48" s="170"/>
      <c r="C48" s="170" t="s">
        <v>181</v>
      </c>
      <c r="D48" s="8" t="s">
        <v>182</v>
      </c>
      <c r="E48" s="2" t="s">
        <v>152</v>
      </c>
      <c r="F48" s="225">
        <v>4.8999999999999998E-3</v>
      </c>
      <c r="G48" s="103">
        <v>480</v>
      </c>
      <c r="H48" s="32">
        <f t="shared" si="2"/>
        <v>2.35</v>
      </c>
    </row>
    <row r="49" spans="1:8" x14ac:dyDescent="0.25">
      <c r="A49" s="2">
        <f t="shared" si="3"/>
        <v>33</v>
      </c>
      <c r="B49" s="170"/>
      <c r="C49" s="170" t="s">
        <v>183</v>
      </c>
      <c r="D49" s="8" t="s">
        <v>184</v>
      </c>
      <c r="E49" s="2" t="s">
        <v>161</v>
      </c>
      <c r="F49" s="225">
        <v>7.9200000000000007E-2</v>
      </c>
      <c r="G49" s="103">
        <v>28.6</v>
      </c>
      <c r="H49" s="32">
        <f t="shared" si="2"/>
        <v>2.27</v>
      </c>
    </row>
    <row r="50" spans="1:8" ht="25.5" customHeight="1" x14ac:dyDescent="0.25">
      <c r="A50" s="2">
        <f t="shared" si="3"/>
        <v>34</v>
      </c>
      <c r="B50" s="170"/>
      <c r="C50" s="170" t="s">
        <v>185</v>
      </c>
      <c r="D50" s="8" t="s">
        <v>186</v>
      </c>
      <c r="E50" s="2" t="s">
        <v>152</v>
      </c>
      <c r="F50" s="225">
        <v>1.2E-4</v>
      </c>
      <c r="G50" s="103">
        <v>17500</v>
      </c>
      <c r="H50" s="32">
        <f t="shared" si="2"/>
        <v>2.1</v>
      </c>
    </row>
    <row r="51" spans="1:8" x14ac:dyDescent="0.25">
      <c r="A51" s="2">
        <f t="shared" si="3"/>
        <v>35</v>
      </c>
      <c r="B51" s="170"/>
      <c r="C51" s="170" t="s">
        <v>187</v>
      </c>
      <c r="D51" s="8" t="s">
        <v>188</v>
      </c>
      <c r="E51" s="2" t="s">
        <v>189</v>
      </c>
      <c r="F51" s="225">
        <v>1.14E-2</v>
      </c>
      <c r="G51" s="103">
        <v>79.099999999999994</v>
      </c>
      <c r="H51" s="32">
        <f t="shared" si="2"/>
        <v>0.9</v>
      </c>
    </row>
    <row r="52" spans="1:8" ht="25.5" customHeight="1" x14ac:dyDescent="0.25">
      <c r="A52" s="2">
        <f t="shared" si="3"/>
        <v>36</v>
      </c>
      <c r="B52" s="170"/>
      <c r="C52" s="170" t="s">
        <v>190</v>
      </c>
      <c r="D52" s="8" t="s">
        <v>191</v>
      </c>
      <c r="E52" s="2" t="s">
        <v>149</v>
      </c>
      <c r="F52" s="225">
        <v>4.0800000000000003E-3</v>
      </c>
      <c r="G52" s="103">
        <v>59.99</v>
      </c>
      <c r="H52" s="32">
        <f t="shared" si="2"/>
        <v>0.24</v>
      </c>
    </row>
    <row r="53" spans="1:8" x14ac:dyDescent="0.25">
      <c r="A53" s="2">
        <f t="shared" si="3"/>
        <v>37</v>
      </c>
      <c r="B53" s="170"/>
      <c r="C53" s="170" t="s">
        <v>192</v>
      </c>
      <c r="D53" s="8" t="s">
        <v>193</v>
      </c>
      <c r="E53" s="2" t="s">
        <v>152</v>
      </c>
      <c r="F53" s="225">
        <v>1.6399999999999999E-5</v>
      </c>
      <c r="G53" s="103">
        <v>6159.22</v>
      </c>
      <c r="H53" s="32">
        <f t="shared" si="2"/>
        <v>0.1</v>
      </c>
    </row>
    <row r="54" spans="1:8" x14ac:dyDescent="0.25">
      <c r="C54" s="147"/>
      <c r="D54" s="145"/>
      <c r="E54" s="146"/>
      <c r="F54" s="146"/>
      <c r="G54" s="148"/>
      <c r="H54" s="158"/>
    </row>
    <row r="55" spans="1:8" ht="25.5" customHeight="1" x14ac:dyDescent="0.25">
      <c r="B55" s="155"/>
      <c r="C55" s="257"/>
      <c r="D55" s="257"/>
      <c r="E55" s="257"/>
      <c r="F55" s="257"/>
      <c r="G55" s="257"/>
      <c r="H55" s="257"/>
    </row>
    <row r="58" spans="1:8" x14ac:dyDescent="0.25">
      <c r="B58" s="4" t="s">
        <v>75</v>
      </c>
      <c r="C58" s="12"/>
      <c r="H58"/>
    </row>
    <row r="59" spans="1:8" x14ac:dyDescent="0.25">
      <c r="B59" s="33" t="s">
        <v>76</v>
      </c>
      <c r="C59" s="12"/>
      <c r="H59"/>
    </row>
    <row r="60" spans="1:8" x14ac:dyDescent="0.25">
      <c r="B60" s="4"/>
      <c r="C60" s="12"/>
      <c r="H60"/>
    </row>
    <row r="61" spans="1:8" x14ac:dyDescent="0.25">
      <c r="B61" s="4" t="s">
        <v>77</v>
      </c>
      <c r="C61" s="12"/>
      <c r="H61"/>
    </row>
    <row r="62" spans="1:8" x14ac:dyDescent="0.25">
      <c r="B62" s="33" t="s">
        <v>78</v>
      </c>
      <c r="C62" s="12"/>
      <c r="H62"/>
    </row>
  </sheetData>
  <mergeCells count="17">
    <mergeCell ref="C55:H55"/>
    <mergeCell ref="A3:H3"/>
    <mergeCell ref="D9:D10"/>
    <mergeCell ref="C9:C10"/>
    <mergeCell ref="B9:B10"/>
    <mergeCell ref="G9:H9"/>
    <mergeCell ref="A2:H2"/>
    <mergeCell ref="A16:D16"/>
    <mergeCell ref="A18:D18"/>
    <mergeCell ref="A31:D31"/>
    <mergeCell ref="A27:D27"/>
    <mergeCell ref="A9:A10"/>
    <mergeCell ref="A12:D12"/>
    <mergeCell ref="E9:E10"/>
    <mergeCell ref="F9:F10"/>
    <mergeCell ref="C4:H4"/>
    <mergeCell ref="A6:H7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36" t="s">
        <v>194</v>
      </c>
      <c r="B1" s="236"/>
      <c r="C1" s="236"/>
      <c r="D1" s="236"/>
    </row>
    <row r="2" spans="1:10" x14ac:dyDescent="0.25">
      <c r="A2" s="258" t="str">
        <f>'4.1 Отдел 1'!A10</f>
        <v>И5-05-02</v>
      </c>
      <c r="B2" s="258"/>
      <c r="C2" s="258"/>
      <c r="D2" s="258"/>
    </row>
    <row r="3" spans="1:10" x14ac:dyDescent="0.25">
      <c r="A3" s="259"/>
      <c r="B3" s="259"/>
      <c r="C3" s="259"/>
      <c r="D3" s="259"/>
    </row>
    <row r="4" spans="1:10" ht="51.75" customHeight="1" x14ac:dyDescent="0.25">
      <c r="A4" s="233" t="str">
        <f>'Прил. 3'!A6</f>
        <v>Наименование разрабатываемого показателя УНЦ - Элементы ПС без устройства фундаментов. Цифровой ТН на три фазы 6-15 кВ.</v>
      </c>
      <c r="B4" s="233"/>
      <c r="C4" s="233"/>
      <c r="D4" s="233"/>
    </row>
    <row r="5" spans="1:10" ht="15" customHeight="1" x14ac:dyDescent="0.25">
      <c r="A5" s="233"/>
      <c r="B5" s="260"/>
      <c r="C5" s="260"/>
      <c r="D5" s="260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195</v>
      </c>
      <c r="B7" s="2" t="s">
        <v>102</v>
      </c>
      <c r="C7" s="2" t="s">
        <v>196</v>
      </c>
      <c r="D7" s="2" t="s">
        <v>197</v>
      </c>
    </row>
    <row r="8" spans="1:10" x14ac:dyDescent="0.25">
      <c r="A8" s="25" t="s">
        <v>198</v>
      </c>
      <c r="B8" s="26">
        <f>'Прил.5 Расчет СМР и ОБ'!G16</f>
        <v>1684.8498</v>
      </c>
      <c r="C8" s="27">
        <f t="shared" ref="C8:C15" si="0">B8/$B$21</f>
        <v>0.21708821311042001</v>
      </c>
      <c r="D8" s="27">
        <f t="shared" ref="D8:D15" si="1">B8/$B$35</f>
        <v>2.3182630670598998E-3</v>
      </c>
      <c r="I8" s="28"/>
      <c r="J8" s="28"/>
    </row>
    <row r="9" spans="1:10" x14ac:dyDescent="0.25">
      <c r="A9" s="25" t="s">
        <v>199</v>
      </c>
      <c r="B9" s="26">
        <f>'Прил.5 Расчет СМР и ОБ'!G24</f>
        <v>1986.17</v>
      </c>
      <c r="C9" s="27">
        <f t="shared" si="0"/>
        <v>0.25591248325727001</v>
      </c>
      <c r="D9" s="27">
        <f t="shared" si="1"/>
        <v>2.7328635204766001E-3</v>
      </c>
      <c r="I9" s="28"/>
      <c r="J9" s="28"/>
    </row>
    <row r="10" spans="1:10" x14ac:dyDescent="0.25">
      <c r="A10" s="25" t="s">
        <v>200</v>
      </c>
      <c r="B10" s="26">
        <f>'Прил.5 Расчет СМР и ОБ'!G30</f>
        <v>141.34</v>
      </c>
      <c r="C10" s="27">
        <f t="shared" si="0"/>
        <v>1.8211266096851E-2</v>
      </c>
      <c r="D10" s="27">
        <f t="shared" si="1"/>
        <v>1.9447626838798999E-4</v>
      </c>
      <c r="I10" s="28"/>
      <c r="J10" s="28"/>
    </row>
    <row r="11" spans="1:10" x14ac:dyDescent="0.25">
      <c r="A11" s="25" t="s">
        <v>201</v>
      </c>
      <c r="B11" s="26">
        <f>B9+B10</f>
        <v>2127.5100000000002</v>
      </c>
      <c r="C11" s="27">
        <f t="shared" si="0"/>
        <v>0.27412374935411998</v>
      </c>
      <c r="D11" s="27">
        <f t="shared" si="1"/>
        <v>2.9273397888646001E-3</v>
      </c>
      <c r="I11" s="28"/>
      <c r="J11" s="28"/>
    </row>
    <row r="12" spans="1:10" x14ac:dyDescent="0.25">
      <c r="A12" s="25" t="s">
        <v>202</v>
      </c>
      <c r="B12" s="26">
        <f>'Прил.5 Расчет СМР и ОБ'!G18</f>
        <v>14.271839999999999</v>
      </c>
      <c r="C12" s="27">
        <f t="shared" si="0"/>
        <v>1.8388869105114001E-3</v>
      </c>
      <c r="D12" s="27">
        <f t="shared" si="1"/>
        <v>1.9637287294682E-5</v>
      </c>
      <c r="I12" s="28"/>
      <c r="J12" s="28"/>
    </row>
    <row r="13" spans="1:10" x14ac:dyDescent="0.25">
      <c r="A13" s="25" t="s">
        <v>203</v>
      </c>
      <c r="B13" s="26">
        <f>'Прил.5 Расчет СМР и ОБ'!G50</f>
        <v>1106.8399999999999</v>
      </c>
      <c r="C13" s="27">
        <f t="shared" si="0"/>
        <v>0.14261325715747999</v>
      </c>
      <c r="D13" s="27">
        <f t="shared" si="1"/>
        <v>1.5229525463603E-3</v>
      </c>
      <c r="I13" s="28"/>
      <c r="J13" s="28"/>
    </row>
    <row r="14" spans="1:10" x14ac:dyDescent="0.25">
      <c r="A14" s="25" t="s">
        <v>204</v>
      </c>
      <c r="B14" s="26">
        <f>'Прил.5 Расчет СМР и ОБ'!G66</f>
        <v>157.32</v>
      </c>
      <c r="C14" s="27">
        <f t="shared" si="0"/>
        <v>2.0270244674944E-2</v>
      </c>
      <c r="D14" s="27">
        <f t="shared" si="1"/>
        <v>2.1646389233620001E-4</v>
      </c>
      <c r="I14" s="28"/>
      <c r="J14" s="28"/>
    </row>
    <row r="15" spans="1:10" x14ac:dyDescent="0.25">
      <c r="A15" s="25" t="s">
        <v>205</v>
      </c>
      <c r="B15" s="26">
        <f>B13+B14</f>
        <v>1264.1600000000001</v>
      </c>
      <c r="C15" s="27">
        <f t="shared" si="0"/>
        <v>0.16288350183243</v>
      </c>
      <c r="D15" s="27">
        <f t="shared" si="1"/>
        <v>1.7394164386965001E-3</v>
      </c>
      <c r="I15" s="28"/>
      <c r="J15" s="28"/>
    </row>
    <row r="16" spans="1:10" x14ac:dyDescent="0.25">
      <c r="A16" s="25" t="s">
        <v>206</v>
      </c>
      <c r="B16" s="26">
        <f>B8+B11+B15</f>
        <v>5076.5198</v>
      </c>
      <c r="C16" s="27"/>
      <c r="D16" s="27"/>
      <c r="I16" s="28"/>
      <c r="J16" s="28"/>
    </row>
    <row r="17" spans="1:10" x14ac:dyDescent="0.25">
      <c r="A17" s="25" t="s">
        <v>207</v>
      </c>
      <c r="B17" s="26">
        <f>'Прил.5 Расчет СМР и ОБ'!G70</f>
        <v>1138.4100000000001</v>
      </c>
      <c r="C17" s="27">
        <f>B17/$B$21</f>
        <v>0.14668096389780999</v>
      </c>
      <c r="D17" s="27">
        <f>B17/$B$35</f>
        <v>1.5663911751491E-3</v>
      </c>
      <c r="I17" s="28"/>
      <c r="J17" s="28"/>
    </row>
    <row r="18" spans="1:10" x14ac:dyDescent="0.25">
      <c r="A18" s="25" t="s">
        <v>208</v>
      </c>
      <c r="B18" s="29">
        <f>B17/(B8+B12)</f>
        <v>0.66999911789717004</v>
      </c>
      <c r="C18" s="27"/>
      <c r="D18" s="27"/>
      <c r="I18" s="28"/>
      <c r="J18" s="28"/>
    </row>
    <row r="19" spans="1:10" x14ac:dyDescent="0.25">
      <c r="A19" s="25" t="s">
        <v>209</v>
      </c>
      <c r="B19" s="26">
        <f>'Прил.5 Расчет СМР и ОБ'!G69</f>
        <v>1546.2</v>
      </c>
      <c r="C19" s="27">
        <f>B19/$B$21</f>
        <v>0.19922357180523001</v>
      </c>
      <c r="D19" s="27">
        <f>B19/$B$35</f>
        <v>2.1274883697573999E-3</v>
      </c>
      <c r="I19" s="28"/>
      <c r="J19" s="28"/>
    </row>
    <row r="20" spans="1:10" x14ac:dyDescent="0.25">
      <c r="A20" s="25" t="s">
        <v>210</v>
      </c>
      <c r="B20" s="29">
        <f>B19/(B8+B12)</f>
        <v>0.90999959249533002</v>
      </c>
      <c r="C20" s="27"/>
      <c r="D20" s="27"/>
      <c r="J20" s="28"/>
    </row>
    <row r="21" spans="1:10" x14ac:dyDescent="0.25">
      <c r="A21" s="25" t="s">
        <v>211</v>
      </c>
      <c r="B21" s="26">
        <f>B16+B17+B19</f>
        <v>7761.1297999999997</v>
      </c>
      <c r="C21" s="27">
        <f>B21/$B$21</f>
        <v>1</v>
      </c>
      <c r="D21" s="27">
        <f>B21/$B$35</f>
        <v>1.0678898839526999E-2</v>
      </c>
      <c r="J21" s="28"/>
    </row>
    <row r="22" spans="1:10" ht="26.45" customHeight="1" x14ac:dyDescent="0.25">
      <c r="A22" s="25" t="s">
        <v>212</v>
      </c>
      <c r="B22" s="26">
        <f>'Прил.6 Расчет ОБ'!G16</f>
        <v>446772.3</v>
      </c>
      <c r="C22" s="27"/>
      <c r="D22" s="27">
        <f>B22/$B$35</f>
        <v>0.61473475111871001</v>
      </c>
      <c r="J22" s="28"/>
    </row>
    <row r="23" spans="1:10" ht="26.45" customHeight="1" x14ac:dyDescent="0.25">
      <c r="A23" s="25" t="s">
        <v>213</v>
      </c>
      <c r="B23" s="26">
        <f>'Прил.6 Расчет ОБ'!G15</f>
        <v>446772.3</v>
      </c>
      <c r="C23" s="27"/>
      <c r="D23" s="27">
        <f>B23/$B$35</f>
        <v>0.61473475111871001</v>
      </c>
      <c r="J23" s="28"/>
    </row>
    <row r="24" spans="1:10" x14ac:dyDescent="0.25">
      <c r="A24" s="25" t="s">
        <v>214</v>
      </c>
      <c r="B24" s="26">
        <f>'Прил.5 Расчет СМР и ОБ'!G72</f>
        <v>697467.94449648994</v>
      </c>
      <c r="C24" s="27"/>
      <c r="D24" s="27">
        <f>B24/$B$35</f>
        <v>0.95967852813014998</v>
      </c>
      <c r="J24" s="28"/>
    </row>
    <row r="25" spans="1:10" ht="26.45" customHeight="1" x14ac:dyDescent="0.25">
      <c r="A25" s="25" t="s">
        <v>215</v>
      </c>
      <c r="B25" s="26"/>
      <c r="C25" s="27"/>
      <c r="D25" s="27"/>
      <c r="J25" s="28"/>
    </row>
    <row r="26" spans="1:10" x14ac:dyDescent="0.25">
      <c r="A26" s="25" t="s">
        <v>216</v>
      </c>
      <c r="B26" s="26">
        <f>'4.7 Прил.6 Расчет Прочие'!I9*1000</f>
        <v>278.41007999999999</v>
      </c>
      <c r="C26" s="27"/>
      <c r="D26" s="27">
        <f>B26/$B$35</f>
        <v>3.8307735559643999E-4</v>
      </c>
      <c r="J26" s="28"/>
    </row>
    <row r="27" spans="1:10" x14ac:dyDescent="0.25">
      <c r="A27" s="25" t="s">
        <v>217</v>
      </c>
      <c r="B27" s="26">
        <f>'4.7 Прил.6 Расчет Прочие'!I11*1000</f>
        <v>86.950678710000005</v>
      </c>
      <c r="C27" s="27"/>
      <c r="D27" s="27">
        <f>B27/$B$35</f>
        <v>1.1963947593974E-4</v>
      </c>
      <c r="J27" s="28"/>
    </row>
    <row r="28" spans="1:10" x14ac:dyDescent="0.25">
      <c r="A28" s="25" t="s">
        <v>218</v>
      </c>
      <c r="B28" s="26">
        <f>'4.7 Прил.6 Расчет Прочие'!I12*1000</f>
        <v>5470.4031199999999</v>
      </c>
      <c r="C28" s="27"/>
      <c r="D28" s="27">
        <f>B28/$B$35</f>
        <v>7.5269816425328996E-3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219</v>
      </c>
      <c r="B30" s="26">
        <f>'4.7 Прил.6 Расчет Прочие'!I14*1000</f>
        <v>2300.6417510043998</v>
      </c>
      <c r="C30" s="27"/>
      <c r="D30" s="27">
        <f>B30/$B$35</f>
        <v>3.1655598035442E-3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220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221</v>
      </c>
      <c r="B33" s="26">
        <f>B24+B26+B27+B28+B30+B32</f>
        <v>705604.35012620001</v>
      </c>
      <c r="C33" s="27"/>
      <c r="D33" s="27">
        <f>B33/$B$35</f>
        <v>0.97087378640777</v>
      </c>
      <c r="J33" s="28"/>
    </row>
    <row r="34" spans="1:10" x14ac:dyDescent="0.25">
      <c r="A34" s="25" t="s">
        <v>222</v>
      </c>
      <c r="B34" s="26">
        <f>B33*3%</f>
        <v>21168.130503786</v>
      </c>
      <c r="C34" s="27"/>
      <c r="D34" s="27">
        <f>B34/$B$35</f>
        <v>2.9126213592233E-2</v>
      </c>
      <c r="J34" s="28"/>
    </row>
    <row r="35" spans="1:10" x14ac:dyDescent="0.25">
      <c r="A35" s="25" t="s">
        <v>223</v>
      </c>
      <c r="B35" s="26">
        <f>B33+B34</f>
        <v>726772.48062998999</v>
      </c>
      <c r="C35" s="27"/>
      <c r="D35" s="27">
        <f>B35/$B$35</f>
        <v>1</v>
      </c>
      <c r="J35" s="28"/>
    </row>
    <row r="36" spans="1:10" x14ac:dyDescent="0.25">
      <c r="A36" s="25" t="s">
        <v>224</v>
      </c>
      <c r="B36" s="26">
        <f>B35</f>
        <v>726772.48062998999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225</v>
      </c>
      <c r="B38" s="30"/>
      <c r="C38" s="30"/>
      <c r="D38" s="30"/>
    </row>
    <row r="39" spans="1:10" x14ac:dyDescent="0.25">
      <c r="A39" s="31" t="s">
        <v>226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227</v>
      </c>
      <c r="B41" s="30"/>
      <c r="C41" s="30"/>
      <c r="D41" s="30"/>
    </row>
    <row r="42" spans="1:10" x14ac:dyDescent="0.25">
      <c r="A42" s="31" t="s">
        <v>228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1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229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0" t="s">
        <v>194</v>
      </c>
      <c r="C5" s="230"/>
      <c r="D5" s="230"/>
      <c r="E5" s="230"/>
    </row>
    <row r="6" spans="2:5" x14ac:dyDescent="0.25">
      <c r="B6" s="139"/>
      <c r="C6" s="4"/>
      <c r="D6" s="4"/>
      <c r="E6" s="4"/>
    </row>
    <row r="7" spans="2:5" ht="25.5" customHeight="1" x14ac:dyDescent="0.25">
      <c r="B7" s="260" t="s">
        <v>48</v>
      </c>
      <c r="C7" s="260"/>
      <c r="D7" s="260"/>
      <c r="E7" s="260"/>
    </row>
    <row r="8" spans="2:5" x14ac:dyDescent="0.25">
      <c r="B8" s="261" t="s">
        <v>50</v>
      </c>
      <c r="C8" s="261"/>
      <c r="D8" s="261"/>
      <c r="E8" s="261"/>
    </row>
    <row r="9" spans="2:5" x14ac:dyDescent="0.25">
      <c r="B9" s="139"/>
      <c r="C9" s="4"/>
      <c r="D9" s="4"/>
      <c r="E9" s="4"/>
    </row>
    <row r="10" spans="2:5" ht="51" customHeight="1" x14ac:dyDescent="0.25">
      <c r="B10" s="2" t="s">
        <v>195</v>
      </c>
      <c r="C10" s="2" t="s">
        <v>230</v>
      </c>
      <c r="D10" s="2" t="s">
        <v>231</v>
      </c>
      <c r="E10" s="2" t="s">
        <v>232</v>
      </c>
    </row>
    <row r="11" spans="2:5" x14ac:dyDescent="0.25">
      <c r="B11" s="25" t="s">
        <v>198</v>
      </c>
      <c r="C11" s="180">
        <f>'Прил.5 Расчет СМР и ОБ'!J16</f>
        <v>77674.789999999994</v>
      </c>
      <c r="D11" s="27">
        <f t="shared" ref="D11:D18" si="0">C11/$C$24</f>
        <v>0.32334704791984997</v>
      </c>
      <c r="E11" s="27">
        <f t="shared" ref="E11:E18" si="1">C11/$C$40</f>
        <v>1.5766932558595001E-2</v>
      </c>
    </row>
    <row r="12" spans="2:5" x14ac:dyDescent="0.25">
      <c r="B12" s="25" t="s">
        <v>199</v>
      </c>
      <c r="C12" s="180">
        <f>'Прил.5 Расчет СМР и ОБ'!J24</f>
        <v>26753.599999999999</v>
      </c>
      <c r="D12" s="27">
        <f t="shared" si="0"/>
        <v>0.11137072377316</v>
      </c>
      <c r="E12" s="27">
        <f t="shared" si="1"/>
        <v>5.4306192124836004E-3</v>
      </c>
    </row>
    <row r="13" spans="2:5" x14ac:dyDescent="0.25">
      <c r="B13" s="25" t="s">
        <v>200</v>
      </c>
      <c r="C13" s="180">
        <f>'Прил.5 Расчет СМР и ОБ'!J30</f>
        <v>1903.91</v>
      </c>
      <c r="D13" s="27">
        <f t="shared" si="0"/>
        <v>7.9256561621225997E-3</v>
      </c>
      <c r="E13" s="27">
        <f t="shared" si="1"/>
        <v>3.8646799775879002E-4</v>
      </c>
    </row>
    <row r="14" spans="2:5" x14ac:dyDescent="0.25">
      <c r="B14" s="25" t="s">
        <v>201</v>
      </c>
      <c r="C14" s="180">
        <f>C13+C12</f>
        <v>28657.51</v>
      </c>
      <c r="D14" s="27">
        <f t="shared" si="0"/>
        <v>0.11929637993529001</v>
      </c>
      <c r="E14" s="27">
        <f t="shared" si="1"/>
        <v>5.8170872102424002E-3</v>
      </c>
    </row>
    <row r="15" spans="2:5" x14ac:dyDescent="0.25">
      <c r="B15" s="25" t="s">
        <v>202</v>
      </c>
      <c r="C15" s="180">
        <f>'Прил.5 Расчет СМР и ОБ'!J18</f>
        <v>632.12</v>
      </c>
      <c r="D15" s="27">
        <f t="shared" si="0"/>
        <v>2.6314089285737999E-3</v>
      </c>
      <c r="E15" s="27">
        <f t="shared" si="1"/>
        <v>1.2831181660019999E-4</v>
      </c>
    </row>
    <row r="16" spans="2:5" x14ac:dyDescent="0.25">
      <c r="B16" s="25" t="s">
        <v>203</v>
      </c>
      <c r="C16" s="180">
        <f>'Прил.5 Расчет СМР и ОБ'!J50</f>
        <v>8898.99</v>
      </c>
      <c r="D16" s="27">
        <f t="shared" si="0"/>
        <v>3.7044994211998999E-2</v>
      </c>
      <c r="E16" s="27">
        <f t="shared" si="1"/>
        <v>1.8063746959549E-3</v>
      </c>
    </row>
    <row r="17" spans="2:7" x14ac:dyDescent="0.25">
      <c r="B17" s="25" t="s">
        <v>204</v>
      </c>
      <c r="C17" s="180">
        <f>'Прил.5 Расчет СМР и ОБ'!J66</f>
        <v>1264.9100000000001</v>
      </c>
      <c r="D17" s="27">
        <f t="shared" si="0"/>
        <v>5.2656069541262996E-3</v>
      </c>
      <c r="E17" s="27">
        <f t="shared" si="1"/>
        <v>2.5675963414503999E-4</v>
      </c>
      <c r="G17" s="140"/>
    </row>
    <row r="18" spans="2:7" x14ac:dyDescent="0.25">
      <c r="B18" s="25" t="s">
        <v>205</v>
      </c>
      <c r="C18" s="180">
        <f>C17+C16</f>
        <v>10163.9</v>
      </c>
      <c r="D18" s="27">
        <f t="shared" si="0"/>
        <v>4.2310601166125998E-2</v>
      </c>
      <c r="E18" s="27">
        <f t="shared" si="1"/>
        <v>2.0631343301000002E-3</v>
      </c>
    </row>
    <row r="19" spans="2:7" x14ac:dyDescent="0.25">
      <c r="B19" s="25" t="s">
        <v>206</v>
      </c>
      <c r="C19" s="180">
        <f>C18+C14+C11</f>
        <v>116496.2</v>
      </c>
      <c r="D19" s="27"/>
      <c r="E19" s="25"/>
    </row>
    <row r="20" spans="2:7" x14ac:dyDescent="0.25">
      <c r="B20" s="25" t="s">
        <v>207</v>
      </c>
      <c r="C20" s="180">
        <f>ROUND(C21*(C11+C15),2)</f>
        <v>52465.63</v>
      </c>
      <c r="D20" s="27">
        <f>C20/$C$24</f>
        <v>0.21840556733729</v>
      </c>
      <c r="E20" s="27">
        <f>C20/$C$40</f>
        <v>1.0649813792277E-2</v>
      </c>
    </row>
    <row r="21" spans="2:7" x14ac:dyDescent="0.25">
      <c r="B21" s="25" t="s">
        <v>208</v>
      </c>
      <c r="C21" s="29">
        <f>'Прил.5 Расчет СМР и ОБ'!D70</f>
        <v>0.67</v>
      </c>
      <c r="D21" s="27"/>
      <c r="E21" s="25"/>
    </row>
    <row r="22" spans="2:7" x14ac:dyDescent="0.25">
      <c r="B22" s="25" t="s">
        <v>209</v>
      </c>
      <c r="C22" s="180">
        <f>ROUND(C23*(C11+C15),2)</f>
        <v>71259.289999999994</v>
      </c>
      <c r="D22" s="27">
        <f>C22/$C$24</f>
        <v>0.29664040364145</v>
      </c>
      <c r="E22" s="27">
        <f>C22/$C$40</f>
        <v>1.4464672767102E-2</v>
      </c>
    </row>
    <row r="23" spans="2:7" x14ac:dyDescent="0.25">
      <c r="B23" s="25" t="s">
        <v>210</v>
      </c>
      <c r="C23" s="29">
        <f>'Прил.5 Расчет СМР и ОБ'!D69</f>
        <v>0.91</v>
      </c>
      <c r="D23" s="27"/>
      <c r="E23" s="25"/>
    </row>
    <row r="24" spans="2:7" x14ac:dyDescent="0.25">
      <c r="B24" s="25" t="s">
        <v>211</v>
      </c>
      <c r="C24" s="180">
        <f>C19+C20+C22</f>
        <v>240221.12</v>
      </c>
      <c r="D24" s="27">
        <f>C24/$C$24</f>
        <v>1</v>
      </c>
      <c r="E24" s="27">
        <f>C24/$C$40</f>
        <v>4.8761640658316001E-2</v>
      </c>
    </row>
    <row r="25" spans="2:7" ht="25.5" customHeight="1" x14ac:dyDescent="0.25">
      <c r="B25" s="25" t="s">
        <v>212</v>
      </c>
      <c r="C25" s="180">
        <f>'Прил.5 Расчет СМР и ОБ'!J39</f>
        <v>4317564.66</v>
      </c>
      <c r="D25" s="27"/>
      <c r="E25" s="27">
        <f>C25/$C$40</f>
        <v>0.87640727205820002</v>
      </c>
    </row>
    <row r="26" spans="2:7" ht="25.5" customHeight="1" x14ac:dyDescent="0.25">
      <c r="B26" s="25" t="s">
        <v>213</v>
      </c>
      <c r="C26" s="180">
        <f>C25</f>
        <v>4317564.66</v>
      </c>
      <c r="D26" s="27"/>
      <c r="E26" s="27">
        <f>C26/$C$40</f>
        <v>0.87640727205820002</v>
      </c>
    </row>
    <row r="27" spans="2:7" x14ac:dyDescent="0.25">
      <c r="B27" s="25" t="s">
        <v>214</v>
      </c>
      <c r="C27" s="26">
        <f>C24+C25</f>
        <v>4557785.78</v>
      </c>
      <c r="D27" s="27"/>
      <c r="E27" s="27">
        <f>C27/$C$40</f>
        <v>0.92516891271652002</v>
      </c>
    </row>
    <row r="28" spans="2:7" ht="33" customHeight="1" x14ac:dyDescent="0.25">
      <c r="B28" s="25" t="s">
        <v>215</v>
      </c>
      <c r="C28" s="25"/>
      <c r="D28" s="25"/>
      <c r="E28" s="25"/>
    </row>
    <row r="29" spans="2:7" ht="25.5" customHeight="1" x14ac:dyDescent="0.25">
      <c r="B29" s="25" t="s">
        <v>233</v>
      </c>
      <c r="C29" s="26">
        <f>ROUND(C24*2.5%,2)</f>
        <v>6005.53</v>
      </c>
      <c r="D29" s="25"/>
      <c r="E29" s="27">
        <f t="shared" ref="E29:E38" si="2">C29/$C$40</f>
        <v>1.2190414224309001E-3</v>
      </c>
    </row>
    <row r="30" spans="2:7" ht="38.25" customHeight="1" x14ac:dyDescent="0.25">
      <c r="B30" s="25" t="s">
        <v>234</v>
      </c>
      <c r="C30" s="26">
        <f>ROUND((C24+C29)*2.1%,2)</f>
        <v>5170.76</v>
      </c>
      <c r="D30" s="25"/>
      <c r="E30" s="27">
        <f t="shared" si="2"/>
        <v>1.0495943947409999E-3</v>
      </c>
    </row>
    <row r="31" spans="2:7" x14ac:dyDescent="0.25">
      <c r="B31" s="25" t="s">
        <v>235</v>
      </c>
      <c r="C31" s="26">
        <v>104623.95</v>
      </c>
      <c r="D31" s="25"/>
      <c r="E31" s="27">
        <f t="shared" si="2"/>
        <v>2.1237247807993E-2</v>
      </c>
    </row>
    <row r="32" spans="2:7" ht="25.5" customHeight="1" x14ac:dyDescent="0.25">
      <c r="B32" s="25" t="s">
        <v>236</v>
      </c>
      <c r="C32" s="26">
        <f>ROUND(C26*0%,2)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237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238</v>
      </c>
      <c r="C34" s="26">
        <f>ROUND(C28*0%,2)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239</v>
      </c>
      <c r="C35" s="26">
        <f>ROUND(C29*0%,2)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240</v>
      </c>
      <c r="C36" s="26">
        <f>ROUND((C27+C32+C33+C34+C35+C29+C31+C30)*2.14%,2)</f>
        <v>100014.74</v>
      </c>
      <c r="D36" s="25"/>
      <c r="E36" s="27">
        <f t="shared" si="2"/>
        <v>2.0301640473638999E-2</v>
      </c>
      <c r="L36" s="141"/>
    </row>
    <row r="37" spans="2:12" x14ac:dyDescent="0.25">
      <c r="B37" s="25" t="s">
        <v>241</v>
      </c>
      <c r="C37" s="26">
        <f>ROUND((C27+C32+C33+C34+C35+C29+C31+C30)*0.2%,2)</f>
        <v>9347.17</v>
      </c>
      <c r="D37" s="25"/>
      <c r="E37" s="27">
        <f t="shared" si="2"/>
        <v>1.8973491785909001E-3</v>
      </c>
      <c r="L37" s="141"/>
    </row>
    <row r="38" spans="2:12" ht="38.25" customHeight="1" x14ac:dyDescent="0.25">
      <c r="B38" s="25" t="s">
        <v>221</v>
      </c>
      <c r="C38" s="180">
        <f>C27+C32+C33+C34+C35+C29+C31+C30+C36+C37</f>
        <v>4782947.93</v>
      </c>
      <c r="D38" s="25"/>
      <c r="E38" s="27">
        <f t="shared" si="2"/>
        <v>0.97087378599391005</v>
      </c>
    </row>
    <row r="39" spans="2:12" ht="13.5" customHeight="1" x14ac:dyDescent="0.25">
      <c r="B39" s="25" t="s">
        <v>222</v>
      </c>
      <c r="C39" s="180">
        <f>ROUND(C38*3%,2)</f>
        <v>143488.44</v>
      </c>
      <c r="D39" s="25"/>
      <c r="E39" s="27">
        <f>C39/$C$38</f>
        <v>3.0000000439059999E-2</v>
      </c>
    </row>
    <row r="40" spans="2:12" x14ac:dyDescent="0.25">
      <c r="B40" s="25" t="s">
        <v>223</v>
      </c>
      <c r="C40" s="180">
        <f>C39+C38</f>
        <v>4926436.37</v>
      </c>
      <c r="D40" s="25"/>
      <c r="E40" s="27">
        <f>C40/$C$40</f>
        <v>1</v>
      </c>
    </row>
    <row r="41" spans="2:12" x14ac:dyDescent="0.25">
      <c r="B41" s="25" t="s">
        <v>224</v>
      </c>
      <c r="C41" s="180">
        <f>C40/'Прил.5 Расчет СМР и ОБ'!E73</f>
        <v>4926436.37</v>
      </c>
      <c r="D41" s="25"/>
      <c r="E41" s="25"/>
    </row>
    <row r="42" spans="2:12" x14ac:dyDescent="0.25">
      <c r="B42" s="142"/>
      <c r="C42" s="4"/>
      <c r="D42" s="4"/>
      <c r="E42" s="4"/>
    </row>
    <row r="43" spans="2:12" x14ac:dyDescent="0.25">
      <c r="B43" s="4" t="s">
        <v>75</v>
      </c>
      <c r="C43" s="12"/>
    </row>
    <row r="44" spans="2:12" x14ac:dyDescent="0.25">
      <c r="B44" s="33" t="s">
        <v>76</v>
      </c>
      <c r="C44" s="12"/>
    </row>
    <row r="45" spans="2:12" x14ac:dyDescent="0.25">
      <c r="B45" s="4"/>
      <c r="C45" s="12"/>
    </row>
    <row r="46" spans="2:12" x14ac:dyDescent="0.25">
      <c r="B46" s="4" t="s">
        <v>77</v>
      </c>
      <c r="C46" s="12"/>
    </row>
    <row r="47" spans="2:12" x14ac:dyDescent="0.25">
      <c r="B47" s="33" t="s">
        <v>78</v>
      </c>
      <c r="C47" s="12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tabSelected="1" view="pageBreakPreview" topLeftCell="A50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72" t="s">
        <v>242</v>
      </c>
      <c r="I2" s="272"/>
      <c r="J2" s="272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30" t="s">
        <v>243</v>
      </c>
      <c r="B4" s="230"/>
      <c r="C4" s="230"/>
      <c r="D4" s="230"/>
      <c r="E4" s="230"/>
      <c r="F4" s="230"/>
      <c r="G4" s="230"/>
      <c r="H4" s="230"/>
      <c r="I4" s="230"/>
      <c r="J4" s="230"/>
    </row>
    <row r="5" spans="1:14" s="4" customFormat="1" ht="12.75" customHeight="1" x14ac:dyDescent="0.2">
      <c r="A5" s="143"/>
      <c r="B5" s="143"/>
      <c r="C5" s="35"/>
      <c r="D5" s="143"/>
      <c r="E5" s="143"/>
      <c r="F5" s="143"/>
      <c r="G5" s="143"/>
      <c r="H5" s="143"/>
      <c r="I5" s="143"/>
      <c r="J5" s="143"/>
    </row>
    <row r="6" spans="1:14" s="4" customFormat="1" ht="12.75" customHeight="1" x14ac:dyDescent="0.2">
      <c r="A6" s="193" t="s">
        <v>244</v>
      </c>
      <c r="B6" s="193"/>
      <c r="C6" s="193"/>
      <c r="D6" s="193" t="s">
        <v>245</v>
      </c>
      <c r="E6" s="193"/>
      <c r="F6" s="193"/>
      <c r="G6" s="193"/>
      <c r="H6" s="193"/>
      <c r="I6" s="144"/>
      <c r="J6" s="144"/>
    </row>
    <row r="7" spans="1:14" s="4" customFormat="1" ht="12.75" customHeight="1" x14ac:dyDescent="0.2">
      <c r="A7" s="233" t="s">
        <v>246</v>
      </c>
      <c r="B7" s="260"/>
      <c r="C7" s="260"/>
      <c r="D7" s="260"/>
      <c r="E7" s="260"/>
      <c r="F7" s="260"/>
      <c r="G7" s="260"/>
      <c r="H7" s="260"/>
      <c r="I7" s="49"/>
      <c r="J7" s="49"/>
    </row>
    <row r="8" spans="1:14" s="4" customFormat="1" ht="13.5" customHeight="1" x14ac:dyDescent="0.2">
      <c r="A8" s="233"/>
      <c r="B8" s="260"/>
      <c r="C8" s="260"/>
      <c r="D8" s="260"/>
      <c r="E8" s="260"/>
      <c r="F8" s="260"/>
      <c r="G8" s="260"/>
      <c r="H8" s="260"/>
    </row>
    <row r="9" spans="1:14" ht="27" customHeight="1" x14ac:dyDescent="0.25">
      <c r="A9" s="263" t="s">
        <v>13</v>
      </c>
      <c r="B9" s="263" t="s">
        <v>98</v>
      </c>
      <c r="C9" s="263" t="s">
        <v>195</v>
      </c>
      <c r="D9" s="263" t="s">
        <v>100</v>
      </c>
      <c r="E9" s="275" t="s">
        <v>247</v>
      </c>
      <c r="F9" s="273" t="s">
        <v>102</v>
      </c>
      <c r="G9" s="274"/>
      <c r="H9" s="275" t="s">
        <v>248</v>
      </c>
      <c r="I9" s="273" t="s">
        <v>249</v>
      </c>
      <c r="J9" s="274"/>
      <c r="M9" s="12"/>
      <c r="N9" s="12"/>
    </row>
    <row r="10" spans="1:14" ht="28.5" customHeight="1" x14ac:dyDescent="0.25">
      <c r="A10" s="263"/>
      <c r="B10" s="263"/>
      <c r="C10" s="263"/>
      <c r="D10" s="263"/>
      <c r="E10" s="276"/>
      <c r="F10" s="2" t="s">
        <v>250</v>
      </c>
      <c r="G10" s="2" t="s">
        <v>104</v>
      </c>
      <c r="H10" s="276"/>
      <c r="I10" s="2" t="s">
        <v>250</v>
      </c>
      <c r="J10" s="2" t="s">
        <v>104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1">
        <v>9</v>
      </c>
      <c r="J11" s="181">
        <v>10</v>
      </c>
      <c r="M11" s="12"/>
      <c r="N11" s="12"/>
    </row>
    <row r="12" spans="1:14" x14ac:dyDescent="0.25">
      <c r="A12" s="2"/>
      <c r="B12" s="267" t="s">
        <v>251</v>
      </c>
      <c r="C12" s="262"/>
      <c r="D12" s="263"/>
      <c r="E12" s="264"/>
      <c r="F12" s="265"/>
      <c r="G12" s="265"/>
      <c r="H12" s="266"/>
      <c r="I12" s="184"/>
      <c r="J12" s="184"/>
    </row>
    <row r="13" spans="1:14" ht="25.5" customHeight="1" x14ac:dyDescent="0.25">
      <c r="A13" s="2">
        <v>1</v>
      </c>
      <c r="B13" s="170" t="s">
        <v>115</v>
      </c>
      <c r="C13" s="8" t="s">
        <v>252</v>
      </c>
      <c r="D13" s="2" t="s">
        <v>253</v>
      </c>
      <c r="E13" s="175">
        <v>33.39</v>
      </c>
      <c r="F13" s="32">
        <v>9.6199999999999992</v>
      </c>
      <c r="G13" s="32">
        <f>E13*F13</f>
        <v>321.21179999999998</v>
      </c>
      <c r="H13" s="185">
        <f>G13/G16</f>
        <v>0.19064714255241</v>
      </c>
      <c r="I13" s="32">
        <f>ФОТр.тек.!E13</f>
        <v>444.39870291576</v>
      </c>
      <c r="J13" s="32">
        <f>ROUND(I13*E13,2)</f>
        <v>14838.47</v>
      </c>
    </row>
    <row r="14" spans="1:14" x14ac:dyDescent="0.25">
      <c r="A14" s="2">
        <v>2</v>
      </c>
      <c r="B14" s="170" t="s">
        <v>108</v>
      </c>
      <c r="C14" s="8" t="s">
        <v>109</v>
      </c>
      <c r="D14" s="2" t="s">
        <v>253</v>
      </c>
      <c r="E14" s="175">
        <v>46.1</v>
      </c>
      <c r="F14" s="32">
        <v>15.49</v>
      </c>
      <c r="G14" s="32">
        <f>E14*F14</f>
        <v>714.08900000000006</v>
      </c>
      <c r="H14" s="185">
        <f>G14/G16</f>
        <v>0.42382947132735999</v>
      </c>
      <c r="I14" s="32">
        <f>ФОТр.тек.!E21</f>
        <v>713.02776960364997</v>
      </c>
      <c r="J14" s="32">
        <f>ROUND(I14*E14,2)</f>
        <v>32870.58</v>
      </c>
    </row>
    <row r="15" spans="1:14" x14ac:dyDescent="0.25">
      <c r="A15" s="2">
        <v>3</v>
      </c>
      <c r="B15" s="170" t="s">
        <v>112</v>
      </c>
      <c r="C15" s="8" t="s">
        <v>113</v>
      </c>
      <c r="D15" s="2" t="s">
        <v>253</v>
      </c>
      <c r="E15" s="175">
        <v>46.1</v>
      </c>
      <c r="F15" s="32">
        <v>14.09</v>
      </c>
      <c r="G15" s="32">
        <f>E15*F15</f>
        <v>649.54899999999998</v>
      </c>
      <c r="H15" s="185">
        <f>G15/G16</f>
        <v>0.38552338612023002</v>
      </c>
      <c r="I15" s="32">
        <f>ФОТр.тек.!E29</f>
        <v>650.01601322007002</v>
      </c>
      <c r="J15" s="32">
        <f>ROUND(I15*E15,2)</f>
        <v>29965.74</v>
      </c>
    </row>
    <row r="16" spans="1:14" s="12" customFormat="1" ht="25.5" customHeight="1" x14ac:dyDescent="0.2">
      <c r="A16" s="2"/>
      <c r="B16" s="2"/>
      <c r="C16" s="104" t="s">
        <v>254</v>
      </c>
      <c r="D16" s="2" t="s">
        <v>253</v>
      </c>
      <c r="E16" s="175">
        <f>SUM(E13:E15)</f>
        <v>125.59</v>
      </c>
      <c r="F16" s="32"/>
      <c r="G16" s="32">
        <f>SUM(G13:G15)</f>
        <v>1684.8498</v>
      </c>
      <c r="H16" s="183">
        <v>1</v>
      </c>
      <c r="I16" s="184"/>
      <c r="J16" s="32">
        <f>SUM(J13:J15)</f>
        <v>77674.789999999994</v>
      </c>
    </row>
    <row r="17" spans="1:10" s="12" customFormat="1" ht="14.25" customHeight="1" x14ac:dyDescent="0.2">
      <c r="A17" s="2"/>
      <c r="B17" s="262" t="s">
        <v>117</v>
      </c>
      <c r="C17" s="262"/>
      <c r="D17" s="263"/>
      <c r="E17" s="264"/>
      <c r="F17" s="265"/>
      <c r="G17" s="265"/>
      <c r="H17" s="266"/>
      <c r="I17" s="184"/>
      <c r="J17" s="184"/>
    </row>
    <row r="18" spans="1:10" s="12" customFormat="1" ht="14.25" customHeight="1" x14ac:dyDescent="0.2">
      <c r="A18" s="2">
        <v>4</v>
      </c>
      <c r="B18" s="2">
        <v>2</v>
      </c>
      <c r="C18" s="8" t="s">
        <v>117</v>
      </c>
      <c r="D18" s="2" t="s">
        <v>253</v>
      </c>
      <c r="E18" s="175">
        <v>15.93036</v>
      </c>
      <c r="F18" s="32">
        <f>G18/E18</f>
        <v>0.89588935843258</v>
      </c>
      <c r="G18" s="32">
        <v>14.271839999999999</v>
      </c>
      <c r="H18" s="183">
        <v>1</v>
      </c>
      <c r="I18" s="32">
        <f>ROUND(F18*'Прил. 10'!D11,2)</f>
        <v>39.68</v>
      </c>
      <c r="J18" s="32">
        <f>ROUND(I18*E18,2)</f>
        <v>632.12</v>
      </c>
    </row>
    <row r="19" spans="1:10" s="12" customFormat="1" ht="14.25" customHeight="1" x14ac:dyDescent="0.2">
      <c r="A19" s="2"/>
      <c r="B19" s="267" t="s">
        <v>118</v>
      </c>
      <c r="C19" s="262"/>
      <c r="D19" s="263"/>
      <c r="E19" s="264"/>
      <c r="F19" s="265"/>
      <c r="G19" s="265"/>
      <c r="H19" s="266"/>
      <c r="I19" s="184"/>
      <c r="J19" s="184"/>
    </row>
    <row r="20" spans="1:10" s="12" customFormat="1" ht="14.25" customHeight="1" x14ac:dyDescent="0.2">
      <c r="A20" s="2"/>
      <c r="B20" s="262" t="s">
        <v>255</v>
      </c>
      <c r="C20" s="262"/>
      <c r="D20" s="263"/>
      <c r="E20" s="264"/>
      <c r="F20" s="265"/>
      <c r="G20" s="265"/>
      <c r="H20" s="266"/>
      <c r="I20" s="184"/>
      <c r="J20" s="184"/>
    </row>
    <row r="21" spans="1:10" s="12" customFormat="1" ht="38.25" customHeight="1" x14ac:dyDescent="0.2">
      <c r="A21" s="2">
        <v>5</v>
      </c>
      <c r="B21" s="170" t="s">
        <v>119</v>
      </c>
      <c r="C21" s="8" t="s">
        <v>120</v>
      </c>
      <c r="D21" s="2" t="s">
        <v>121</v>
      </c>
      <c r="E21" s="175">
        <v>9.6</v>
      </c>
      <c r="F21" s="103">
        <v>110.86</v>
      </c>
      <c r="G21" s="32">
        <f>ROUND(E21*F21,2)</f>
        <v>1064.26</v>
      </c>
      <c r="H21" s="185">
        <f>G21/$G$31</f>
        <v>0.50023736668688001</v>
      </c>
      <c r="I21" s="32">
        <f>ROUND(F21*'Прил. 10'!$D$12,2)</f>
        <v>1493.28</v>
      </c>
      <c r="J21" s="32">
        <f>ROUND(I21*E21,2)</f>
        <v>14335.49</v>
      </c>
    </row>
    <row r="22" spans="1:10" s="12" customFormat="1" ht="25.5" customHeight="1" x14ac:dyDescent="0.2">
      <c r="A22" s="2">
        <v>6</v>
      </c>
      <c r="B22" s="170" t="s">
        <v>122</v>
      </c>
      <c r="C22" s="8" t="s">
        <v>123</v>
      </c>
      <c r="D22" s="2" t="s">
        <v>121</v>
      </c>
      <c r="E22" s="175">
        <v>2.198</v>
      </c>
      <c r="F22" s="103">
        <v>287.99</v>
      </c>
      <c r="G22" s="32">
        <f>ROUND(E22*F22,2)</f>
        <v>633</v>
      </c>
      <c r="H22" s="185">
        <f>G22/$G$31</f>
        <v>0.29753091642342</v>
      </c>
      <c r="I22" s="32">
        <f>ROUND(F22*'Прил. 10'!D12,2)</f>
        <v>3879.23</v>
      </c>
      <c r="J22" s="32">
        <f>ROUND(I22*E22,2)</f>
        <v>8526.5499999999993</v>
      </c>
    </row>
    <row r="23" spans="1:10" s="12" customFormat="1" ht="25.5" customHeight="1" x14ac:dyDescent="0.2">
      <c r="A23" s="2">
        <v>7</v>
      </c>
      <c r="B23" s="170" t="s">
        <v>124</v>
      </c>
      <c r="C23" s="8" t="s">
        <v>125</v>
      </c>
      <c r="D23" s="2" t="s">
        <v>121</v>
      </c>
      <c r="E23" s="175">
        <v>2.198</v>
      </c>
      <c r="F23" s="103">
        <v>131.44</v>
      </c>
      <c r="G23" s="32">
        <f>ROUND(E23*F23,2)</f>
        <v>288.91000000000003</v>
      </c>
      <c r="H23" s="185">
        <f>G23/$G$31</f>
        <v>0.13579724654642999</v>
      </c>
      <c r="I23" s="32">
        <f>ROUND(F23*'Прил. 10'!$D$12,2)</f>
        <v>1770.5</v>
      </c>
      <c r="J23" s="32">
        <f>ROUND(I23*E23,2)</f>
        <v>3891.56</v>
      </c>
    </row>
    <row r="24" spans="1:10" s="12" customFormat="1" ht="14.25" customHeight="1" x14ac:dyDescent="0.2">
      <c r="A24" s="2"/>
      <c r="B24" s="2"/>
      <c r="C24" s="8" t="s">
        <v>256</v>
      </c>
      <c r="D24" s="2"/>
      <c r="E24" s="175"/>
      <c r="F24" s="32"/>
      <c r="G24" s="32">
        <f>SUM(G21:G23)</f>
        <v>1986.17</v>
      </c>
      <c r="H24" s="183">
        <f>G24/G31</f>
        <v>0.93356552965673001</v>
      </c>
      <c r="I24" s="186"/>
      <c r="J24" s="32">
        <f>SUM(J21:J23)</f>
        <v>26753.599999999999</v>
      </c>
    </row>
    <row r="25" spans="1:10" s="12" customFormat="1" ht="25.5" hidden="1" customHeight="1" outlineLevel="1" x14ac:dyDescent="0.2">
      <c r="A25" s="2">
        <v>8</v>
      </c>
      <c r="B25" s="170" t="s">
        <v>126</v>
      </c>
      <c r="C25" s="8" t="s">
        <v>127</v>
      </c>
      <c r="D25" s="2" t="s">
        <v>121</v>
      </c>
      <c r="E25" s="175">
        <v>0.77600000000000002</v>
      </c>
      <c r="F25" s="103">
        <v>111.99</v>
      </c>
      <c r="G25" s="32">
        <f>ROUND(E25*F25,2)</f>
        <v>86.9</v>
      </c>
      <c r="H25" s="185">
        <f>G25/$G$31</f>
        <v>4.0845871464763997E-2</v>
      </c>
      <c r="I25" s="32">
        <f>ROUND(F25*'Прил. 10'!$D$12,2)</f>
        <v>1508.51</v>
      </c>
      <c r="J25" s="32">
        <f>ROUND(I25*E25,2)</f>
        <v>1170.5999999999999</v>
      </c>
    </row>
    <row r="26" spans="1:10" s="12" customFormat="1" ht="25.5" hidden="1" customHeight="1" outlineLevel="1" x14ac:dyDescent="0.2">
      <c r="A26" s="2">
        <v>9</v>
      </c>
      <c r="B26" s="170" t="s">
        <v>128</v>
      </c>
      <c r="C26" s="8" t="s">
        <v>129</v>
      </c>
      <c r="D26" s="2" t="s">
        <v>121</v>
      </c>
      <c r="E26" s="175">
        <v>0.48</v>
      </c>
      <c r="F26" s="103">
        <v>65.709999999999994</v>
      </c>
      <c r="G26" s="32">
        <f>ROUND(E26*F26,2)</f>
        <v>31.54</v>
      </c>
      <c r="H26" s="185">
        <f>G26/$G$31</f>
        <v>1.4824842186406E-2</v>
      </c>
      <c r="I26" s="32">
        <f>ROUND(F26*'Прил. 10'!$D$12,2)</f>
        <v>885.11</v>
      </c>
      <c r="J26" s="32">
        <f>ROUND(I26*E26,2)</f>
        <v>424.85</v>
      </c>
    </row>
    <row r="27" spans="1:10" s="12" customFormat="1" ht="25.5" hidden="1" customHeight="1" outlineLevel="1" x14ac:dyDescent="0.2">
      <c r="A27" s="2">
        <v>10</v>
      </c>
      <c r="B27" s="170" t="s">
        <v>130</v>
      </c>
      <c r="C27" s="8" t="s">
        <v>131</v>
      </c>
      <c r="D27" s="2" t="s">
        <v>121</v>
      </c>
      <c r="E27" s="175">
        <v>0.372</v>
      </c>
      <c r="F27" s="103">
        <v>29.6</v>
      </c>
      <c r="G27" s="32">
        <f>ROUND(E27*F27,2)</f>
        <v>11.01</v>
      </c>
      <c r="H27" s="185">
        <f>G27/$G$31</f>
        <v>5.1750638069855996E-3</v>
      </c>
      <c r="I27" s="32">
        <f>ROUND(F27*'Прил. 10'!$D$12,2)</f>
        <v>398.71</v>
      </c>
      <c r="J27" s="32">
        <f>ROUND(I27*E27,2)</f>
        <v>148.32</v>
      </c>
    </row>
    <row r="28" spans="1:10" s="12" customFormat="1" ht="25.5" hidden="1" customHeight="1" outlineLevel="1" x14ac:dyDescent="0.2">
      <c r="A28" s="2">
        <v>11</v>
      </c>
      <c r="B28" s="170" t="s">
        <v>132</v>
      </c>
      <c r="C28" s="8" t="s">
        <v>133</v>
      </c>
      <c r="D28" s="2" t="s">
        <v>121</v>
      </c>
      <c r="E28" s="175">
        <v>0.98</v>
      </c>
      <c r="F28" s="103">
        <v>8.1</v>
      </c>
      <c r="G28" s="32">
        <f>ROUND(E28*F28,2)</f>
        <v>7.94</v>
      </c>
      <c r="H28" s="185">
        <f>G28/$G$31</f>
        <v>3.7320623639842E-3</v>
      </c>
      <c r="I28" s="32">
        <f>ROUND(F28*'Прил. 10'!$D$12,2)</f>
        <v>109.11</v>
      </c>
      <c r="J28" s="32">
        <f>ROUND(I28*E28,2)</f>
        <v>106.93</v>
      </c>
    </row>
    <row r="29" spans="1:10" s="12" customFormat="1" ht="25.5" hidden="1" customHeight="1" outlineLevel="1" x14ac:dyDescent="0.2">
      <c r="A29" s="2">
        <v>12</v>
      </c>
      <c r="B29" s="170" t="s">
        <v>134</v>
      </c>
      <c r="C29" s="8" t="s">
        <v>135</v>
      </c>
      <c r="D29" s="2" t="s">
        <v>121</v>
      </c>
      <c r="E29" s="175">
        <v>4.3899999999999997</v>
      </c>
      <c r="F29" s="103">
        <v>0.9</v>
      </c>
      <c r="G29" s="32">
        <f>ROUND(E29*F29,2)</f>
        <v>3.95</v>
      </c>
      <c r="H29" s="185">
        <f>G29/$G$31</f>
        <v>1.8566305211256001E-3</v>
      </c>
      <c r="I29" s="32">
        <f>ROUND(F29*'Прил. 10'!$D$12,2)</f>
        <v>12.12</v>
      </c>
      <c r="J29" s="32">
        <f>ROUND(I29*E29,2)</f>
        <v>53.21</v>
      </c>
    </row>
    <row r="30" spans="1:10" s="12" customFormat="1" ht="14.25" customHeight="1" collapsed="1" x14ac:dyDescent="0.2">
      <c r="A30" s="2"/>
      <c r="B30" s="2"/>
      <c r="C30" s="8" t="s">
        <v>257</v>
      </c>
      <c r="D30" s="2"/>
      <c r="E30" s="182"/>
      <c r="F30" s="32"/>
      <c r="G30" s="186">
        <f>SUM(G25:G29)</f>
        <v>141.34</v>
      </c>
      <c r="H30" s="185">
        <f>G30/G31</f>
        <v>6.6434470343264995E-2</v>
      </c>
      <c r="I30" s="32"/>
      <c r="J30" s="32">
        <f>SUM(J25:J29)</f>
        <v>1903.91</v>
      </c>
    </row>
    <row r="31" spans="1:10" s="12" customFormat="1" ht="25.5" customHeight="1" x14ac:dyDescent="0.2">
      <c r="A31" s="2"/>
      <c r="B31" s="2"/>
      <c r="C31" s="104" t="s">
        <v>258</v>
      </c>
      <c r="D31" s="2"/>
      <c r="E31" s="182"/>
      <c r="F31" s="32"/>
      <c r="G31" s="32">
        <f>G30+G24</f>
        <v>2127.5100000000002</v>
      </c>
      <c r="H31" s="187">
        <v>1</v>
      </c>
      <c r="I31" s="188"/>
      <c r="J31" s="189">
        <f>J30+J24</f>
        <v>28657.51</v>
      </c>
    </row>
    <row r="32" spans="1:10" s="12" customFormat="1" ht="14.25" customHeight="1" x14ac:dyDescent="0.2">
      <c r="A32" s="2"/>
      <c r="B32" s="267" t="s">
        <v>43</v>
      </c>
      <c r="C32" s="267"/>
      <c r="D32" s="268"/>
      <c r="E32" s="269"/>
      <c r="F32" s="270"/>
      <c r="G32" s="270"/>
      <c r="H32" s="271"/>
      <c r="I32" s="184"/>
      <c r="J32" s="184"/>
    </row>
    <row r="33" spans="1:10" x14ac:dyDescent="0.25">
      <c r="A33" s="2"/>
      <c r="B33" s="262" t="s">
        <v>259</v>
      </c>
      <c r="C33" s="262"/>
      <c r="D33" s="263"/>
      <c r="E33" s="264"/>
      <c r="F33" s="265"/>
      <c r="G33" s="265"/>
      <c r="H33" s="266"/>
      <c r="I33" s="184"/>
      <c r="J33" s="184"/>
    </row>
    <row r="34" spans="1:10" ht="25.5" customHeight="1" x14ac:dyDescent="0.25">
      <c r="A34" s="2">
        <v>13</v>
      </c>
      <c r="B34" s="170" t="s">
        <v>260</v>
      </c>
      <c r="C34" s="8" t="s">
        <v>61</v>
      </c>
      <c r="D34" s="2" t="s">
        <v>139</v>
      </c>
      <c r="E34" s="226">
        <v>3</v>
      </c>
      <c r="F34" s="32">
        <f>I34/'Прил. 10'!$D$14</f>
        <v>226924.12140574999</v>
      </c>
      <c r="G34" s="32">
        <f>F34*E34</f>
        <v>680772.36421725003</v>
      </c>
      <c r="H34" s="183">
        <f t="shared" ref="H34:H39" si="0">G34/$G$39</f>
        <v>0.98704601681633997</v>
      </c>
      <c r="I34" s="32">
        <v>1420545</v>
      </c>
      <c r="J34" s="190">
        <f>ROUND(I34*E34,2)</f>
        <v>4261635</v>
      </c>
    </row>
    <row r="35" spans="1:10" x14ac:dyDescent="0.25">
      <c r="A35" s="2"/>
      <c r="B35" s="2"/>
      <c r="C35" s="8" t="s">
        <v>261</v>
      </c>
      <c r="D35" s="2"/>
      <c r="E35" s="226"/>
      <c r="F35" s="103"/>
      <c r="G35" s="32">
        <f>G34</f>
        <v>680772.36421725003</v>
      </c>
      <c r="H35" s="183">
        <f t="shared" si="0"/>
        <v>0.98704601681633997</v>
      </c>
      <c r="I35" s="186"/>
      <c r="J35" s="32">
        <f>J34</f>
        <v>4261635</v>
      </c>
    </row>
    <row r="36" spans="1:10" ht="25.5" customHeight="1" x14ac:dyDescent="0.25">
      <c r="A36" s="2">
        <v>14</v>
      </c>
      <c r="B36" s="170" t="s">
        <v>136</v>
      </c>
      <c r="C36" s="8" t="s">
        <v>138</v>
      </c>
      <c r="D36" s="2" t="s">
        <v>139</v>
      </c>
      <c r="E36" s="226">
        <v>1</v>
      </c>
      <c r="F36" s="32">
        <f>I36/'Прил. 10'!$D$14</f>
        <v>4887.5798722045001</v>
      </c>
      <c r="G36" s="32">
        <f>F36*E36</f>
        <v>4887.5798722045001</v>
      </c>
      <c r="H36" s="183">
        <f t="shared" si="0"/>
        <v>7.0864601712762997E-3</v>
      </c>
      <c r="I36" s="32">
        <v>30596.25</v>
      </c>
      <c r="J36" s="190">
        <f>ROUND(I36*E36,2)</f>
        <v>30596.25</v>
      </c>
    </row>
    <row r="37" spans="1:10" x14ac:dyDescent="0.25">
      <c r="A37" s="2">
        <v>15</v>
      </c>
      <c r="B37" s="170" t="s">
        <v>136</v>
      </c>
      <c r="C37" s="8" t="s">
        <v>140</v>
      </c>
      <c r="D37" s="2" t="s">
        <v>139</v>
      </c>
      <c r="E37" s="226">
        <v>1</v>
      </c>
      <c r="F37" s="32">
        <f>I37/'Прил. 10'!$D$14</f>
        <v>4046.8706070287999</v>
      </c>
      <c r="G37" s="32">
        <f>F37*E37</f>
        <v>4046.8706070287999</v>
      </c>
      <c r="H37" s="183">
        <f t="shared" si="0"/>
        <v>5.8675230123825996E-3</v>
      </c>
      <c r="I37" s="32">
        <v>25333.41</v>
      </c>
      <c r="J37" s="190">
        <f>ROUND(I37*E37,2)</f>
        <v>25333.41</v>
      </c>
    </row>
    <row r="38" spans="1:10" x14ac:dyDescent="0.25">
      <c r="A38" s="2"/>
      <c r="B38" s="2"/>
      <c r="C38" s="8" t="s">
        <v>262</v>
      </c>
      <c r="D38" s="2"/>
      <c r="E38" s="175"/>
      <c r="F38" s="103"/>
      <c r="G38" s="32">
        <f>SUM(G36:G37)</f>
        <v>8934.4504792332009</v>
      </c>
      <c r="H38" s="183">
        <f t="shared" si="0"/>
        <v>1.2953983183659E-2</v>
      </c>
      <c r="I38" s="186"/>
      <c r="J38" s="32">
        <f>SUM(J36:J37)</f>
        <v>55929.66</v>
      </c>
    </row>
    <row r="39" spans="1:10" x14ac:dyDescent="0.25">
      <c r="A39" s="2"/>
      <c r="B39" s="2"/>
      <c r="C39" s="104" t="s">
        <v>263</v>
      </c>
      <c r="D39" s="2"/>
      <c r="E39" s="182"/>
      <c r="F39" s="103"/>
      <c r="G39" s="32">
        <f>G35+G38</f>
        <v>689706.81469648995</v>
      </c>
      <c r="H39" s="183">
        <f t="shared" si="0"/>
        <v>1</v>
      </c>
      <c r="I39" s="186"/>
      <c r="J39" s="32">
        <f>J38+J35</f>
        <v>4317564.66</v>
      </c>
    </row>
    <row r="40" spans="1:10" ht="25.5" customHeight="1" x14ac:dyDescent="0.25">
      <c r="A40" s="2"/>
      <c r="B40" s="2"/>
      <c r="C40" s="8" t="s">
        <v>264</v>
      </c>
      <c r="D40" s="2"/>
      <c r="E40" s="191"/>
      <c r="F40" s="103"/>
      <c r="G40" s="32">
        <f>G39</f>
        <v>689706.81469648995</v>
      </c>
      <c r="H40" s="183"/>
      <c r="I40" s="186"/>
      <c r="J40" s="32">
        <f>J39</f>
        <v>4317564.66</v>
      </c>
    </row>
    <row r="41" spans="1:10" s="12" customFormat="1" ht="14.25" customHeight="1" x14ac:dyDescent="0.2">
      <c r="A41" s="2"/>
      <c r="B41" s="267" t="s">
        <v>141</v>
      </c>
      <c r="C41" s="267"/>
      <c r="D41" s="268"/>
      <c r="E41" s="269"/>
      <c r="F41" s="270"/>
      <c r="G41" s="270"/>
      <c r="H41" s="271"/>
      <c r="I41" s="184"/>
      <c r="J41" s="184"/>
    </row>
    <row r="42" spans="1:10" s="12" customFormat="1" ht="14.25" customHeight="1" x14ac:dyDescent="0.2">
      <c r="A42" s="2"/>
      <c r="B42" s="262" t="s">
        <v>265</v>
      </c>
      <c r="C42" s="262"/>
      <c r="D42" s="263"/>
      <c r="E42" s="264"/>
      <c r="F42" s="265"/>
      <c r="G42" s="265"/>
      <c r="H42" s="266"/>
      <c r="I42" s="184"/>
      <c r="J42" s="184"/>
    </row>
    <row r="43" spans="1:10" s="12" customFormat="1" ht="25.5" customHeight="1" x14ac:dyDescent="0.2">
      <c r="A43" s="2">
        <v>16</v>
      </c>
      <c r="B43" s="170" t="s">
        <v>142</v>
      </c>
      <c r="C43" s="8" t="s">
        <v>143</v>
      </c>
      <c r="D43" s="2" t="s">
        <v>144</v>
      </c>
      <c r="E43" s="175">
        <v>4.1999999999999997E-3</v>
      </c>
      <c r="F43" s="32">
        <v>98440.41</v>
      </c>
      <c r="G43" s="32">
        <f t="shared" ref="G43:G49" si="1">ROUND(E43*F43,2)</f>
        <v>413.45</v>
      </c>
      <c r="H43" s="185">
        <f t="shared" ref="H43:H65" si="2">G43/$G$67</f>
        <v>0.32705511960511002</v>
      </c>
      <c r="I43" s="32">
        <f>ROUND(F43*'Прил. 10'!$D$13,2)</f>
        <v>791460.9</v>
      </c>
      <c r="J43" s="32">
        <f t="shared" ref="J43:J49" si="3">ROUND(I43*E43,2)</f>
        <v>3324.14</v>
      </c>
    </row>
    <row r="44" spans="1:10" s="12" customFormat="1" ht="14.25" customHeight="1" x14ac:dyDescent="0.2">
      <c r="A44" s="2">
        <v>17</v>
      </c>
      <c r="B44" s="170" t="s">
        <v>145</v>
      </c>
      <c r="C44" s="8" t="s">
        <v>146</v>
      </c>
      <c r="D44" s="2" t="s">
        <v>144</v>
      </c>
      <c r="E44" s="175">
        <v>8.3999999999999995E-3</v>
      </c>
      <c r="F44" s="32">
        <v>38348.22</v>
      </c>
      <c r="G44" s="32">
        <f t="shared" si="1"/>
        <v>322.13</v>
      </c>
      <c r="H44" s="185">
        <f t="shared" si="2"/>
        <v>0.25481742817365</v>
      </c>
      <c r="I44" s="32">
        <f>ROUND(F44*'Прил. 10'!$D$13,2)</f>
        <v>308319.69</v>
      </c>
      <c r="J44" s="32">
        <f t="shared" si="3"/>
        <v>2589.89</v>
      </c>
    </row>
    <row r="45" spans="1:10" s="12" customFormat="1" ht="38.25" customHeight="1" x14ac:dyDescent="0.2">
      <c r="A45" s="2">
        <v>18</v>
      </c>
      <c r="B45" s="170" t="s">
        <v>147</v>
      </c>
      <c r="C45" s="8" t="s">
        <v>148</v>
      </c>
      <c r="D45" s="2" t="s">
        <v>149</v>
      </c>
      <c r="E45" s="175">
        <v>5.6000000000000001E-2</v>
      </c>
      <c r="F45" s="32">
        <v>1837.28</v>
      </c>
      <c r="G45" s="32">
        <f t="shared" si="1"/>
        <v>102.89</v>
      </c>
      <c r="H45" s="185">
        <f t="shared" si="2"/>
        <v>8.1390013922287993E-2</v>
      </c>
      <c r="I45" s="32">
        <f>ROUND(F45*'Прил. 10'!$D$13,2)</f>
        <v>14771.73</v>
      </c>
      <c r="J45" s="32">
        <f t="shared" si="3"/>
        <v>827.22</v>
      </c>
    </row>
    <row r="46" spans="1:10" s="12" customFormat="1" ht="63.75" customHeight="1" x14ac:dyDescent="0.2">
      <c r="A46" s="2">
        <v>19</v>
      </c>
      <c r="B46" s="170" t="s">
        <v>150</v>
      </c>
      <c r="C46" s="8" t="s">
        <v>151</v>
      </c>
      <c r="D46" s="2" t="s">
        <v>152</v>
      </c>
      <c r="E46" s="175">
        <v>2.5661999999999998E-3</v>
      </c>
      <c r="F46" s="32">
        <v>32762.18</v>
      </c>
      <c r="G46" s="32">
        <f t="shared" si="1"/>
        <v>84.07</v>
      </c>
      <c r="H46" s="185">
        <f t="shared" si="2"/>
        <v>6.6502657891405997E-2</v>
      </c>
      <c r="I46" s="32">
        <f>ROUND(F46*'Прил. 10'!$D$13,2)</f>
        <v>263407.93</v>
      </c>
      <c r="J46" s="32">
        <f t="shared" si="3"/>
        <v>675.96</v>
      </c>
    </row>
    <row r="47" spans="1:10" s="12" customFormat="1" ht="25.5" customHeight="1" x14ac:dyDescent="0.2">
      <c r="A47" s="2">
        <v>20</v>
      </c>
      <c r="B47" s="170" t="s">
        <v>153</v>
      </c>
      <c r="C47" s="8" t="s">
        <v>154</v>
      </c>
      <c r="D47" s="2" t="s">
        <v>155</v>
      </c>
      <c r="E47" s="175">
        <v>0.4</v>
      </c>
      <c r="F47" s="32">
        <v>194.2</v>
      </c>
      <c r="G47" s="32">
        <f t="shared" si="1"/>
        <v>77.680000000000007</v>
      </c>
      <c r="H47" s="185">
        <f t="shared" si="2"/>
        <v>6.1447917985065E-2</v>
      </c>
      <c r="I47" s="32">
        <f>ROUND(F47*'Прил. 10'!$D$13,2)</f>
        <v>1561.37</v>
      </c>
      <c r="J47" s="32">
        <f t="shared" si="3"/>
        <v>624.54999999999995</v>
      </c>
    </row>
    <row r="48" spans="1:10" s="12" customFormat="1" ht="25.5" customHeight="1" x14ac:dyDescent="0.2">
      <c r="A48" s="2">
        <v>21</v>
      </c>
      <c r="B48" s="170" t="s">
        <v>156</v>
      </c>
      <c r="C48" s="8" t="s">
        <v>157</v>
      </c>
      <c r="D48" s="2" t="s">
        <v>158</v>
      </c>
      <c r="E48" s="175">
        <v>2.4719999999999999E-2</v>
      </c>
      <c r="F48" s="32">
        <v>2695</v>
      </c>
      <c r="G48" s="32">
        <f t="shared" si="1"/>
        <v>66.62</v>
      </c>
      <c r="H48" s="185">
        <f t="shared" si="2"/>
        <v>5.2699025439817998E-2</v>
      </c>
      <c r="I48" s="32">
        <f>ROUND(F48*'Прил. 10'!$D$13,2)</f>
        <v>21667.8</v>
      </c>
      <c r="J48" s="32">
        <f t="shared" si="3"/>
        <v>535.63</v>
      </c>
    </row>
    <row r="49" spans="1:10" s="12" customFormat="1" ht="14.25" customHeight="1" x14ac:dyDescent="0.2">
      <c r="A49" s="2">
        <v>22</v>
      </c>
      <c r="B49" s="170" t="s">
        <v>159</v>
      </c>
      <c r="C49" s="8" t="s">
        <v>160</v>
      </c>
      <c r="D49" s="2" t="s">
        <v>161</v>
      </c>
      <c r="E49" s="175">
        <v>0.8</v>
      </c>
      <c r="F49" s="32">
        <v>50</v>
      </c>
      <c r="G49" s="32">
        <f t="shared" si="1"/>
        <v>40</v>
      </c>
      <c r="H49" s="185">
        <f t="shared" si="2"/>
        <v>3.1641564358941998E-2</v>
      </c>
      <c r="I49" s="32">
        <f>ROUND(F49*'Прил. 10'!$D$13,2)</f>
        <v>402</v>
      </c>
      <c r="J49" s="32">
        <f t="shared" si="3"/>
        <v>321.60000000000002</v>
      </c>
    </row>
    <row r="50" spans="1:10" s="12" customFormat="1" ht="14.25" customHeight="1" x14ac:dyDescent="0.2">
      <c r="A50" s="2"/>
      <c r="B50" s="170"/>
      <c r="C50" s="8" t="s">
        <v>266</v>
      </c>
      <c r="D50" s="2"/>
      <c r="E50" s="175"/>
      <c r="F50" s="32"/>
      <c r="G50" s="32">
        <f>SUM(G43:G49)</f>
        <v>1106.8399999999999</v>
      </c>
      <c r="H50" s="185">
        <f t="shared" si="2"/>
        <v>0.87555372737628001</v>
      </c>
      <c r="I50" s="32"/>
      <c r="J50" s="32">
        <f>SUM(J43:J49)</f>
        <v>8898.99</v>
      </c>
    </row>
    <row r="51" spans="1:10" s="12" customFormat="1" ht="25.5" hidden="1" customHeight="1" outlineLevel="1" x14ac:dyDescent="0.2">
      <c r="A51" s="2">
        <v>23</v>
      </c>
      <c r="B51" s="170" t="s">
        <v>162</v>
      </c>
      <c r="C51" s="8" t="s">
        <v>163</v>
      </c>
      <c r="D51" s="2" t="s">
        <v>164</v>
      </c>
      <c r="E51" s="175">
        <v>31.094799999999999</v>
      </c>
      <c r="F51" s="32">
        <v>1</v>
      </c>
      <c r="G51" s="32">
        <f t="shared" ref="G51:G65" si="4">ROUND(E51*F51,2)</f>
        <v>31.09</v>
      </c>
      <c r="H51" s="185">
        <f t="shared" si="2"/>
        <v>2.4593405897987999E-2</v>
      </c>
      <c r="I51" s="32">
        <f>ROUND(F51*'Прил. 10'!$D$13,2)</f>
        <v>8.0399999999999991</v>
      </c>
      <c r="J51" s="32">
        <f t="shared" ref="J51:J65" si="5">ROUND(I51*E51,2)</f>
        <v>250</v>
      </c>
    </row>
    <row r="52" spans="1:10" s="12" customFormat="1" ht="14.25" hidden="1" customHeight="1" outlineLevel="1" x14ac:dyDescent="0.2">
      <c r="A52" s="2">
        <v>24</v>
      </c>
      <c r="B52" s="170" t="s">
        <v>165</v>
      </c>
      <c r="C52" s="8" t="s">
        <v>166</v>
      </c>
      <c r="D52" s="2" t="s">
        <v>139</v>
      </c>
      <c r="E52" s="175">
        <v>0.4</v>
      </c>
      <c r="F52" s="32">
        <v>66.819999999999993</v>
      </c>
      <c r="G52" s="32">
        <f t="shared" si="4"/>
        <v>26.73</v>
      </c>
      <c r="H52" s="185">
        <f t="shared" si="2"/>
        <v>2.1144475382863001E-2</v>
      </c>
      <c r="I52" s="32">
        <f>ROUND(F52*'Прил. 10'!$D$13,2)</f>
        <v>537.23</v>
      </c>
      <c r="J52" s="32">
        <f t="shared" si="5"/>
        <v>214.89</v>
      </c>
    </row>
    <row r="53" spans="1:10" s="12" customFormat="1" ht="14.25" hidden="1" customHeight="1" outlineLevel="1" x14ac:dyDescent="0.2">
      <c r="A53" s="2">
        <v>25</v>
      </c>
      <c r="B53" s="170" t="s">
        <v>167</v>
      </c>
      <c r="C53" s="8" t="s">
        <v>168</v>
      </c>
      <c r="D53" s="2" t="s">
        <v>139</v>
      </c>
      <c r="E53" s="175">
        <v>4</v>
      </c>
      <c r="F53" s="32">
        <v>6.29</v>
      </c>
      <c r="G53" s="32">
        <f t="shared" si="4"/>
        <v>25.16</v>
      </c>
      <c r="H53" s="185">
        <f t="shared" si="2"/>
        <v>1.9902543981774001E-2</v>
      </c>
      <c r="I53" s="32">
        <f>ROUND(F53*'Прил. 10'!$D$13,2)</f>
        <v>50.57</v>
      </c>
      <c r="J53" s="32">
        <f t="shared" si="5"/>
        <v>202.28</v>
      </c>
    </row>
    <row r="54" spans="1:10" s="12" customFormat="1" ht="14.25" hidden="1" customHeight="1" outlineLevel="1" x14ac:dyDescent="0.2">
      <c r="A54" s="2">
        <v>26</v>
      </c>
      <c r="B54" s="170" t="s">
        <v>169</v>
      </c>
      <c r="C54" s="8" t="s">
        <v>170</v>
      </c>
      <c r="D54" s="2" t="s">
        <v>161</v>
      </c>
      <c r="E54" s="175">
        <v>2.3290000000000002</v>
      </c>
      <c r="F54" s="32">
        <v>9.0399999999999991</v>
      </c>
      <c r="G54" s="32">
        <f t="shared" si="4"/>
        <v>21.05</v>
      </c>
      <c r="H54" s="185">
        <f t="shared" si="2"/>
        <v>1.6651373243893E-2</v>
      </c>
      <c r="I54" s="32">
        <f>ROUND(F54*'Прил. 10'!$D$13,2)</f>
        <v>72.680000000000007</v>
      </c>
      <c r="J54" s="32">
        <f t="shared" si="5"/>
        <v>169.27</v>
      </c>
    </row>
    <row r="55" spans="1:10" s="12" customFormat="1" ht="25.5" hidden="1" customHeight="1" outlineLevel="1" x14ac:dyDescent="0.2">
      <c r="A55" s="2">
        <v>27</v>
      </c>
      <c r="B55" s="170" t="s">
        <v>171</v>
      </c>
      <c r="C55" s="8" t="s">
        <v>172</v>
      </c>
      <c r="D55" s="2" t="s">
        <v>149</v>
      </c>
      <c r="E55" s="175">
        <v>0.16</v>
      </c>
      <c r="F55" s="32">
        <v>108.4</v>
      </c>
      <c r="G55" s="32">
        <f t="shared" si="4"/>
        <v>17.34</v>
      </c>
      <c r="H55" s="185">
        <f t="shared" si="2"/>
        <v>1.3716618149601E-2</v>
      </c>
      <c r="I55" s="32">
        <f>ROUND(F55*'Прил. 10'!$D$13,2)</f>
        <v>871.54</v>
      </c>
      <c r="J55" s="32">
        <f t="shared" si="5"/>
        <v>139.44999999999999</v>
      </c>
    </row>
    <row r="56" spans="1:10" s="12" customFormat="1" ht="25.5" hidden="1" customHeight="1" outlineLevel="1" x14ac:dyDescent="0.2">
      <c r="A56" s="2">
        <v>28</v>
      </c>
      <c r="B56" s="170" t="s">
        <v>173</v>
      </c>
      <c r="C56" s="8" t="s">
        <v>174</v>
      </c>
      <c r="D56" s="2" t="s">
        <v>155</v>
      </c>
      <c r="E56" s="175">
        <v>0.4</v>
      </c>
      <c r="F56" s="32">
        <v>29.4</v>
      </c>
      <c r="G56" s="32">
        <f t="shared" si="4"/>
        <v>11.76</v>
      </c>
      <c r="H56" s="185">
        <f t="shared" si="2"/>
        <v>9.3026199215288999E-3</v>
      </c>
      <c r="I56" s="32">
        <f>ROUND(F56*'Прил. 10'!$D$13,2)</f>
        <v>236.38</v>
      </c>
      <c r="J56" s="32">
        <f t="shared" si="5"/>
        <v>94.55</v>
      </c>
    </row>
    <row r="57" spans="1:10" s="12" customFormat="1" ht="25.5" hidden="1" customHeight="1" outlineLevel="1" x14ac:dyDescent="0.2">
      <c r="A57" s="2">
        <v>29</v>
      </c>
      <c r="B57" s="170" t="s">
        <v>175</v>
      </c>
      <c r="C57" s="8" t="s">
        <v>176</v>
      </c>
      <c r="D57" s="2" t="s">
        <v>152</v>
      </c>
      <c r="E57" s="175">
        <v>2.0799999999999998E-3</v>
      </c>
      <c r="F57" s="32">
        <v>5000</v>
      </c>
      <c r="G57" s="32">
        <f t="shared" si="4"/>
        <v>10.4</v>
      </c>
      <c r="H57" s="185">
        <f t="shared" si="2"/>
        <v>8.2268067333249005E-3</v>
      </c>
      <c r="I57" s="32">
        <f>ROUND(F57*'Прил. 10'!$D$13,2)</f>
        <v>40200</v>
      </c>
      <c r="J57" s="32">
        <f t="shared" si="5"/>
        <v>83.62</v>
      </c>
    </row>
    <row r="58" spans="1:10" s="12" customFormat="1" ht="14.25" hidden="1" customHeight="1" outlineLevel="1" x14ac:dyDescent="0.2">
      <c r="A58" s="2">
        <v>30</v>
      </c>
      <c r="B58" s="170" t="s">
        <v>177</v>
      </c>
      <c r="C58" s="8" t="s">
        <v>178</v>
      </c>
      <c r="D58" s="2" t="s">
        <v>161</v>
      </c>
      <c r="E58" s="175">
        <v>0.32432</v>
      </c>
      <c r="F58" s="32">
        <v>10.57</v>
      </c>
      <c r="G58" s="32">
        <f t="shared" si="4"/>
        <v>3.43</v>
      </c>
      <c r="H58" s="185">
        <f t="shared" si="2"/>
        <v>2.7132641437793001E-3</v>
      </c>
      <c r="I58" s="32">
        <f>ROUND(F58*'Прил. 10'!$D$13,2)</f>
        <v>84.98</v>
      </c>
      <c r="J58" s="32">
        <f t="shared" si="5"/>
        <v>27.56</v>
      </c>
    </row>
    <row r="59" spans="1:10" s="12" customFormat="1" ht="14.25" hidden="1" customHeight="1" outlineLevel="1" x14ac:dyDescent="0.2">
      <c r="A59" s="2">
        <v>31</v>
      </c>
      <c r="B59" s="170" t="s">
        <v>179</v>
      </c>
      <c r="C59" s="8" t="s">
        <v>180</v>
      </c>
      <c r="D59" s="2" t="s">
        <v>158</v>
      </c>
      <c r="E59" s="175">
        <v>2.1780000000000001E-2</v>
      </c>
      <c r="F59" s="32">
        <v>110</v>
      </c>
      <c r="G59" s="32">
        <f t="shared" si="4"/>
        <v>2.4</v>
      </c>
      <c r="H59" s="185">
        <f t="shared" si="2"/>
        <v>1.8984938615364999E-3</v>
      </c>
      <c r="I59" s="32">
        <f>ROUND(F59*'Прил. 10'!$D$13,2)</f>
        <v>884.4</v>
      </c>
      <c r="J59" s="32">
        <f t="shared" si="5"/>
        <v>19.260000000000002</v>
      </c>
    </row>
    <row r="60" spans="1:10" s="12" customFormat="1" ht="25.5" hidden="1" customHeight="1" outlineLevel="1" x14ac:dyDescent="0.2">
      <c r="A60" s="2">
        <v>32</v>
      </c>
      <c r="B60" s="170" t="s">
        <v>181</v>
      </c>
      <c r="C60" s="8" t="s">
        <v>182</v>
      </c>
      <c r="D60" s="2" t="s">
        <v>152</v>
      </c>
      <c r="E60" s="175">
        <v>4.8999999999999998E-3</v>
      </c>
      <c r="F60" s="32">
        <v>480</v>
      </c>
      <c r="G60" s="32">
        <f t="shared" si="4"/>
        <v>2.35</v>
      </c>
      <c r="H60" s="185">
        <f t="shared" si="2"/>
        <v>1.8589419060878001E-3</v>
      </c>
      <c r="I60" s="32">
        <f>ROUND(F60*'Прил. 10'!$D$13,2)</f>
        <v>3859.2</v>
      </c>
      <c r="J60" s="32">
        <f t="shared" si="5"/>
        <v>18.91</v>
      </c>
    </row>
    <row r="61" spans="1:10" s="12" customFormat="1" ht="14.25" hidden="1" customHeight="1" outlineLevel="1" x14ac:dyDescent="0.2">
      <c r="A61" s="2">
        <v>33</v>
      </c>
      <c r="B61" s="170" t="s">
        <v>183</v>
      </c>
      <c r="C61" s="8" t="s">
        <v>184</v>
      </c>
      <c r="D61" s="2" t="s">
        <v>161</v>
      </c>
      <c r="E61" s="175">
        <v>7.9200000000000007E-2</v>
      </c>
      <c r="F61" s="32">
        <v>28.6</v>
      </c>
      <c r="G61" s="32">
        <f t="shared" si="4"/>
        <v>2.27</v>
      </c>
      <c r="H61" s="185">
        <f t="shared" si="2"/>
        <v>1.7956587773700001E-3</v>
      </c>
      <c r="I61" s="32">
        <f>ROUND(F61*'Прил. 10'!$D$13,2)</f>
        <v>229.94</v>
      </c>
      <c r="J61" s="32">
        <f t="shared" si="5"/>
        <v>18.21</v>
      </c>
    </row>
    <row r="62" spans="1:10" s="12" customFormat="1" ht="25.5" hidden="1" customHeight="1" outlineLevel="1" x14ac:dyDescent="0.2">
      <c r="A62" s="2">
        <v>34</v>
      </c>
      <c r="B62" s="170" t="s">
        <v>185</v>
      </c>
      <c r="C62" s="8" t="s">
        <v>186</v>
      </c>
      <c r="D62" s="2" t="s">
        <v>152</v>
      </c>
      <c r="E62" s="175">
        <v>1.2E-4</v>
      </c>
      <c r="F62" s="32">
        <v>17500</v>
      </c>
      <c r="G62" s="32">
        <f t="shared" si="4"/>
        <v>2.1</v>
      </c>
      <c r="H62" s="185">
        <f t="shared" si="2"/>
        <v>1.6611821288444999E-3</v>
      </c>
      <c r="I62" s="32">
        <f>ROUND(F62*'Прил. 10'!$D$13,2)</f>
        <v>140700</v>
      </c>
      <c r="J62" s="32">
        <f t="shared" si="5"/>
        <v>16.88</v>
      </c>
    </row>
    <row r="63" spans="1:10" s="12" customFormat="1" ht="14.25" hidden="1" customHeight="1" outlineLevel="1" x14ac:dyDescent="0.2">
      <c r="A63" s="2">
        <v>35</v>
      </c>
      <c r="B63" s="170" t="s">
        <v>187</v>
      </c>
      <c r="C63" s="8" t="s">
        <v>188</v>
      </c>
      <c r="D63" s="2" t="s">
        <v>189</v>
      </c>
      <c r="E63" s="175">
        <v>1.14E-2</v>
      </c>
      <c r="F63" s="32">
        <v>79.099999999999994</v>
      </c>
      <c r="G63" s="32">
        <f t="shared" si="4"/>
        <v>0.9</v>
      </c>
      <c r="H63" s="185">
        <f t="shared" si="2"/>
        <v>7.1193519807619002E-4</v>
      </c>
      <c r="I63" s="32">
        <f>ROUND(F63*'Прил. 10'!$D$13,2)</f>
        <v>635.96</v>
      </c>
      <c r="J63" s="32">
        <f t="shared" si="5"/>
        <v>7.25</v>
      </c>
    </row>
    <row r="64" spans="1:10" s="12" customFormat="1" ht="25.5" hidden="1" customHeight="1" outlineLevel="1" x14ac:dyDescent="0.2">
      <c r="A64" s="2">
        <v>36</v>
      </c>
      <c r="B64" s="170" t="s">
        <v>190</v>
      </c>
      <c r="C64" s="8" t="s">
        <v>191</v>
      </c>
      <c r="D64" s="2" t="s">
        <v>149</v>
      </c>
      <c r="E64" s="175">
        <v>4.0800000000000003E-3</v>
      </c>
      <c r="F64" s="32">
        <v>59.99</v>
      </c>
      <c r="G64" s="32">
        <f t="shared" si="4"/>
        <v>0.24</v>
      </c>
      <c r="H64" s="185">
        <f t="shared" si="2"/>
        <v>1.8984938615365001E-4</v>
      </c>
      <c r="I64" s="32">
        <f>ROUND(F64*'Прил. 10'!$D$13,2)</f>
        <v>482.32</v>
      </c>
      <c r="J64" s="32">
        <f t="shared" si="5"/>
        <v>1.97</v>
      </c>
    </row>
    <row r="65" spans="1:12" s="12" customFormat="1" ht="14.25" hidden="1" customHeight="1" outlineLevel="1" x14ac:dyDescent="0.2">
      <c r="A65" s="2">
        <v>37</v>
      </c>
      <c r="B65" s="170" t="s">
        <v>192</v>
      </c>
      <c r="C65" s="8" t="s">
        <v>193</v>
      </c>
      <c r="D65" s="2" t="s">
        <v>152</v>
      </c>
      <c r="E65" s="175">
        <v>1.6399999999999999E-5</v>
      </c>
      <c r="F65" s="32">
        <v>6159.22</v>
      </c>
      <c r="G65" s="32">
        <f t="shared" si="4"/>
        <v>0.1</v>
      </c>
      <c r="H65" s="185">
        <f t="shared" si="2"/>
        <v>7.9103910897354999E-5</v>
      </c>
      <c r="I65" s="32">
        <f>ROUND(F65*'Прил. 10'!$D$13,2)</f>
        <v>49520.13</v>
      </c>
      <c r="J65" s="32">
        <f t="shared" si="5"/>
        <v>0.81</v>
      </c>
    </row>
    <row r="66" spans="1:12" s="12" customFormat="1" ht="14.25" customHeight="1" collapsed="1" x14ac:dyDescent="0.2">
      <c r="A66" s="2"/>
      <c r="B66" s="2"/>
      <c r="C66" s="8" t="s">
        <v>267</v>
      </c>
      <c r="D66" s="2"/>
      <c r="E66" s="182"/>
      <c r="F66" s="103"/>
      <c r="G66" s="32">
        <f>SUM(G51:G65)</f>
        <v>157.32</v>
      </c>
      <c r="H66" s="183">
        <f>G66/G67</f>
        <v>0.12444627262372</v>
      </c>
      <c r="I66" s="32"/>
      <c r="J66" s="32">
        <f>SUM(J51:J65)</f>
        <v>1264.9100000000001</v>
      </c>
    </row>
    <row r="67" spans="1:12" s="12" customFormat="1" ht="14.25" customHeight="1" x14ac:dyDescent="0.2">
      <c r="A67" s="2"/>
      <c r="B67" s="2"/>
      <c r="C67" s="104" t="s">
        <v>268</v>
      </c>
      <c r="D67" s="2"/>
      <c r="E67" s="182"/>
      <c r="F67" s="103"/>
      <c r="G67" s="32">
        <f>G50+G66</f>
        <v>1264.1600000000001</v>
      </c>
      <c r="H67" s="183">
        <v>1</v>
      </c>
      <c r="I67" s="32"/>
      <c r="J67" s="32">
        <f>J50+J66</f>
        <v>10163.9</v>
      </c>
    </row>
    <row r="68" spans="1:12" s="12" customFormat="1" ht="14.25" customHeight="1" x14ac:dyDescent="0.2">
      <c r="A68" s="2"/>
      <c r="B68" s="2"/>
      <c r="C68" s="8" t="s">
        <v>269</v>
      </c>
      <c r="D68" s="2"/>
      <c r="E68" s="182"/>
      <c r="F68" s="103"/>
      <c r="G68" s="32">
        <f>G16+G31+G67</f>
        <v>5076.5198</v>
      </c>
      <c r="H68" s="183"/>
      <c r="I68" s="32"/>
      <c r="J68" s="32">
        <f>J16+J31+J67</f>
        <v>116496.2</v>
      </c>
    </row>
    <row r="69" spans="1:12" s="12" customFormat="1" ht="14.25" customHeight="1" x14ac:dyDescent="0.2">
      <c r="A69" s="2"/>
      <c r="B69" s="2"/>
      <c r="C69" s="8" t="s">
        <v>270</v>
      </c>
      <c r="D69" s="192">
        <v>0.91</v>
      </c>
      <c r="E69" s="182"/>
      <c r="F69" s="103"/>
      <c r="G69" s="32">
        <f>ROUND(D69*(G16+G18),2)</f>
        <v>1546.2</v>
      </c>
      <c r="H69" s="183"/>
      <c r="I69" s="32"/>
      <c r="J69" s="32">
        <f>ROUND(D69*(J16+J18),2)</f>
        <v>71259.289999999994</v>
      </c>
    </row>
    <row r="70" spans="1:12" s="12" customFormat="1" ht="14.25" customHeight="1" x14ac:dyDescent="0.2">
      <c r="A70" s="2"/>
      <c r="B70" s="2"/>
      <c r="C70" s="8" t="s">
        <v>271</v>
      </c>
      <c r="D70" s="192">
        <v>0.67</v>
      </c>
      <c r="E70" s="182"/>
      <c r="F70" s="103"/>
      <c r="G70" s="32">
        <f>ROUND(D70*(G16+G18),2)</f>
        <v>1138.4100000000001</v>
      </c>
      <c r="H70" s="183"/>
      <c r="I70" s="32"/>
      <c r="J70" s="32">
        <f>ROUND(D70*(J16+J18),2)</f>
        <v>52465.63</v>
      </c>
    </row>
    <row r="71" spans="1:12" s="12" customFormat="1" ht="14.25" customHeight="1" x14ac:dyDescent="0.2">
      <c r="A71" s="2"/>
      <c r="B71" s="2"/>
      <c r="C71" s="8" t="s">
        <v>272</v>
      </c>
      <c r="D71" s="2"/>
      <c r="E71" s="182"/>
      <c r="F71" s="103"/>
      <c r="G71" s="32">
        <f>G16+G31+G67+G69+G70</f>
        <v>7761.1297999999997</v>
      </c>
      <c r="H71" s="183"/>
      <c r="I71" s="32"/>
      <c r="J71" s="32">
        <f>J16+J31+J67+J69+J70</f>
        <v>240221.12</v>
      </c>
    </row>
    <row r="72" spans="1:12" s="12" customFormat="1" ht="14.25" customHeight="1" x14ac:dyDescent="0.2">
      <c r="A72" s="2"/>
      <c r="B72" s="2"/>
      <c r="C72" s="8" t="s">
        <v>273</v>
      </c>
      <c r="D72" s="2"/>
      <c r="E72" s="182"/>
      <c r="F72" s="103"/>
      <c r="G72" s="32">
        <f>G71+G39</f>
        <v>697467.94449648994</v>
      </c>
      <c r="H72" s="183"/>
      <c r="I72" s="32"/>
      <c r="J72" s="32">
        <f>J71+J39</f>
        <v>4557785.78</v>
      </c>
    </row>
    <row r="73" spans="1:12" s="12" customFormat="1" ht="14.25" customHeight="1" x14ac:dyDescent="0.2">
      <c r="A73" s="2"/>
      <c r="B73" s="2"/>
      <c r="C73" s="8" t="s">
        <v>224</v>
      </c>
      <c r="D73" s="2" t="s">
        <v>274</v>
      </c>
      <c r="E73" s="182">
        <v>1</v>
      </c>
      <c r="F73" s="103"/>
      <c r="G73" s="32">
        <f>G72/E73</f>
        <v>697467.94449648994</v>
      </c>
      <c r="H73" s="183"/>
      <c r="I73" s="32"/>
      <c r="J73" s="32">
        <f>J72/E73</f>
        <v>4557785.78</v>
      </c>
    </row>
    <row r="75" spans="1:12" x14ac:dyDescent="0.25">
      <c r="A75"/>
      <c r="B75" s="4" t="s">
        <v>75</v>
      </c>
      <c r="D75"/>
      <c r="E75"/>
      <c r="F75"/>
      <c r="G75"/>
      <c r="H75"/>
      <c r="I75"/>
      <c r="J75"/>
      <c r="K75"/>
      <c r="L75"/>
    </row>
    <row r="76" spans="1:12" x14ac:dyDescent="0.25">
      <c r="A76"/>
      <c r="B76" s="33" t="s">
        <v>76</v>
      </c>
      <c r="D76"/>
      <c r="E76"/>
      <c r="F76"/>
      <c r="G76"/>
      <c r="H76"/>
      <c r="I76"/>
      <c r="J76"/>
      <c r="K76"/>
      <c r="L76"/>
    </row>
    <row r="77" spans="1:12" x14ac:dyDescent="0.25">
      <c r="A77"/>
      <c r="B77" s="4"/>
      <c r="D77"/>
      <c r="E77"/>
      <c r="F77"/>
      <c r="G77"/>
      <c r="H77"/>
      <c r="I77"/>
      <c r="J77"/>
      <c r="K77"/>
      <c r="L77"/>
    </row>
    <row r="78" spans="1:12" x14ac:dyDescent="0.25">
      <c r="A78"/>
      <c r="B78" s="4" t="s">
        <v>77</v>
      </c>
      <c r="D78"/>
      <c r="E78"/>
      <c r="F78"/>
      <c r="G78"/>
      <c r="H78"/>
      <c r="I78"/>
      <c r="J78"/>
      <c r="K78"/>
      <c r="L78"/>
    </row>
    <row r="79" spans="1:12" x14ac:dyDescent="0.25">
      <c r="A79"/>
      <c r="B79" s="33" t="s">
        <v>78</v>
      </c>
      <c r="D79"/>
      <c r="E79"/>
      <c r="F79"/>
      <c r="G79"/>
      <c r="H79"/>
      <c r="I79"/>
      <c r="J79"/>
      <c r="K79"/>
      <c r="L79"/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B42:H42"/>
    <mergeCell ref="B12:H12"/>
    <mergeCell ref="B17:H17"/>
    <mergeCell ref="B19:H19"/>
    <mergeCell ref="B20:H20"/>
    <mergeCell ref="B33:H33"/>
    <mergeCell ref="B32:H32"/>
    <mergeCell ref="B41:H41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15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4.5 РМ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ФОТи1.тек.</vt:lpstr>
      <vt:lpstr>ФОТи2.тек.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'Прил.4 РМ'!Область_печати</vt:lpstr>
      <vt:lpstr>'Прил.5 Расчет СМР и ОБ'!Область_печати</vt:lpstr>
      <vt:lpstr>ФОТи1.тек.!Область_печати</vt:lpstr>
      <vt:lpstr>ФОТи2.тек.!Область_печати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2023-11-30T09:34:27Z</cp:lastPrinted>
  <dcterms:created xsi:type="dcterms:W3CDTF">2020-09-30T08:50:27Z</dcterms:created>
  <dcterms:modified xsi:type="dcterms:W3CDTF">2023-11-30T09:34:30Z</dcterms:modified>
  <cp:category/>
</cp:coreProperties>
</file>