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ФОТи1.тек." sheetId="14" state="hidden" r:id="rId14"/>
    <sheet name="ФОТи2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6">#REF!</definedName>
    <definedName name="_def2000г" localSheetId="17">#REF!</definedName>
    <definedName name="_def2000г" localSheetId="8">#REF!</definedName>
    <definedName name="_def2000г" localSheetId="10">#REF!</definedName>
    <definedName name="_def2000г" localSheetId="13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6">#REF!</definedName>
    <definedName name="_def2001г" localSheetId="17">#REF!</definedName>
    <definedName name="_def2001г" localSheetId="8">#REF!</definedName>
    <definedName name="_def2001г" localSheetId="10">#REF!</definedName>
    <definedName name="_def2001г" localSheetId="13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6">#REF!</definedName>
    <definedName name="_def2002г" localSheetId="17">#REF!</definedName>
    <definedName name="_def2002г" localSheetId="8">#REF!</definedName>
    <definedName name="_def2002г" localSheetId="10">#REF!</definedName>
    <definedName name="_def2002г" localSheetId="13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6">#REF!</definedName>
    <definedName name="_inf2000" localSheetId="17">#REF!</definedName>
    <definedName name="_inf2000" localSheetId="8">#REF!</definedName>
    <definedName name="_inf2000" localSheetId="10">#REF!</definedName>
    <definedName name="_inf2000" localSheetId="13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6">#REF!</definedName>
    <definedName name="_inf2001" localSheetId="17">#REF!</definedName>
    <definedName name="_inf2001" localSheetId="8">#REF!</definedName>
    <definedName name="_inf2001" localSheetId="10">#REF!</definedName>
    <definedName name="_inf2001" localSheetId="13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6">#REF!</definedName>
    <definedName name="_inf2002" localSheetId="17">#REF!</definedName>
    <definedName name="_inf2002" localSheetId="8">#REF!</definedName>
    <definedName name="_inf2002" localSheetId="10">#REF!</definedName>
    <definedName name="_inf2002" localSheetId="13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6">#REF!</definedName>
    <definedName name="_inf2003" localSheetId="17">#REF!</definedName>
    <definedName name="_inf2003" localSheetId="8">#REF!</definedName>
    <definedName name="_inf2003" localSheetId="10">#REF!</definedName>
    <definedName name="_inf2003" localSheetId="13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6">#REF!</definedName>
    <definedName name="_inf2004" localSheetId="17">#REF!</definedName>
    <definedName name="_inf2004" localSheetId="8">#REF!</definedName>
    <definedName name="_inf2004" localSheetId="10">#REF!</definedName>
    <definedName name="_inf2004" localSheetId="13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6">#REF!</definedName>
    <definedName name="_inf2005" localSheetId="17">#REF!</definedName>
    <definedName name="_inf2005" localSheetId="8">#REF!</definedName>
    <definedName name="_inf2005" localSheetId="10">#REF!</definedName>
    <definedName name="_inf2005" localSheetId="13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6">#REF!</definedName>
    <definedName name="_inf2006" localSheetId="17">#REF!</definedName>
    <definedName name="_inf2006" localSheetId="8">#REF!</definedName>
    <definedName name="_inf2006" localSheetId="10">#REF!</definedName>
    <definedName name="_inf2006" localSheetId="13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6">#REF!</definedName>
    <definedName name="_inf2007" localSheetId="17">#REF!</definedName>
    <definedName name="_inf2007" localSheetId="8">#REF!</definedName>
    <definedName name="_inf2007" localSheetId="10">#REF!</definedName>
    <definedName name="_inf2007" localSheetId="13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6">#REF!</definedName>
    <definedName name="_inf2008" localSheetId="17">#REF!</definedName>
    <definedName name="_inf2008" localSheetId="8">#REF!</definedName>
    <definedName name="_inf2008" localSheetId="10">#REF!</definedName>
    <definedName name="_inf2008" localSheetId="13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6">#REF!</definedName>
    <definedName name="_inf2009" localSheetId="17">#REF!</definedName>
    <definedName name="_inf2009" localSheetId="8">#REF!</definedName>
    <definedName name="_inf2009" localSheetId="10">#REF!</definedName>
    <definedName name="_inf2009" localSheetId="13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6">#REF!</definedName>
    <definedName name="_inf2010" localSheetId="17">#REF!</definedName>
    <definedName name="_inf2010" localSheetId="8">#REF!</definedName>
    <definedName name="_inf2010" localSheetId="10">#REF!</definedName>
    <definedName name="_inf2010" localSheetId="13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6">#REF!</definedName>
    <definedName name="_inf2011" localSheetId="17">#REF!</definedName>
    <definedName name="_inf2011" localSheetId="8">#REF!</definedName>
    <definedName name="_inf2011" localSheetId="10">#REF!</definedName>
    <definedName name="_inf2011" localSheetId="13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6">#REF!</definedName>
    <definedName name="_inf2012" localSheetId="17">#REF!</definedName>
    <definedName name="_inf2012" localSheetId="8">#REF!</definedName>
    <definedName name="_inf2012" localSheetId="10">#REF!</definedName>
    <definedName name="_inf2012" localSheetId="13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6">#REF!</definedName>
    <definedName name="_inf2013" localSheetId="17">#REF!</definedName>
    <definedName name="_inf2013" localSheetId="8">#REF!</definedName>
    <definedName name="_inf2013" localSheetId="10">#REF!</definedName>
    <definedName name="_inf2013" localSheetId="13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6">#REF!</definedName>
    <definedName name="_inf2014" localSheetId="17">#REF!</definedName>
    <definedName name="_inf2014" localSheetId="8">#REF!</definedName>
    <definedName name="_inf2014" localSheetId="10">#REF!</definedName>
    <definedName name="_inf2014" localSheetId="13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6">#REF!</definedName>
    <definedName name="_inf2015" localSheetId="17">#REF!</definedName>
    <definedName name="_inf2015" localSheetId="8">#REF!</definedName>
    <definedName name="_inf2015" localSheetId="10">#REF!</definedName>
    <definedName name="_inf2015" localSheetId="13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6">#REF!</definedName>
    <definedName name="a04t" localSheetId="17">#REF!</definedName>
    <definedName name="a04t" localSheetId="8">#REF!</definedName>
    <definedName name="a04t" localSheetId="10">#REF!</definedName>
    <definedName name="a04t" localSheetId="13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 localSheetId="13">#REF!</definedName>
    <definedName name="cvtnf" localSheetId="14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6">#REF!</definedName>
    <definedName name="DOLL" localSheetId="17">#REF!</definedName>
    <definedName name="DOLL" localSheetId="8">#REF!</definedName>
    <definedName name="DOLL" localSheetId="10">#REF!</definedName>
    <definedName name="DOLL" localSheetId="13">#REF!</definedName>
    <definedName name="DOLL" localSheetId="14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6">#REF!</definedName>
    <definedName name="Excel_BuiltIn_Print_Area_1" localSheetId="17">#REF!</definedName>
    <definedName name="Excel_BuiltIn_Print_Area_1" localSheetId="8">#REF!</definedName>
    <definedName name="Excel_BuiltIn_Print_Area_1" localSheetId="10">#REF!</definedName>
    <definedName name="Excel_BuiltIn_Print_Area_1" localSheetId="13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6">#REF!</definedName>
    <definedName name="Excel_BuiltIn_Print_Area_4" localSheetId="17">#REF!</definedName>
    <definedName name="Excel_BuiltIn_Print_Area_4" localSheetId="8">#REF!</definedName>
    <definedName name="Excel_BuiltIn_Print_Area_4" localSheetId="10">#REF!</definedName>
    <definedName name="Excel_BuiltIn_Print_Area_4" localSheetId="13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6">#REF!</definedName>
    <definedName name="Excel_BuiltIn_Print_Area_5" localSheetId="17">#REF!</definedName>
    <definedName name="Excel_BuiltIn_Print_Area_5" localSheetId="8">#REF!</definedName>
    <definedName name="Excel_BuiltIn_Print_Area_5" localSheetId="10">#REF!</definedName>
    <definedName name="Excel_BuiltIn_Print_Area_5" localSheetId="13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6">#REF!</definedName>
    <definedName name="ff" localSheetId="17">#REF!</definedName>
    <definedName name="ff" localSheetId="8">#REF!</definedName>
    <definedName name="ff" localSheetId="10">#REF!</definedName>
    <definedName name="ff" localSheetId="13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6">#REF!</definedName>
    <definedName name="gggg" localSheetId="17">#REF!</definedName>
    <definedName name="gggg" localSheetId="8">#REF!</definedName>
    <definedName name="gggg" localSheetId="10">#REF!</definedName>
    <definedName name="gggg" localSheetId="13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6">#REF!</definedName>
    <definedName name="Global.MNULL" localSheetId="17">#REF!</definedName>
    <definedName name="Global.MNULL" localSheetId="8">#REF!</definedName>
    <definedName name="Global.MNULL" localSheetId="10">#REF!</definedName>
    <definedName name="Global.MNULL" localSheetId="13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6">#REF!</definedName>
    <definedName name="Global.NULL" localSheetId="17">#REF!</definedName>
    <definedName name="Global.NULL" localSheetId="8">#REF!</definedName>
    <definedName name="Global.NULL" localSheetId="10">#REF!</definedName>
    <definedName name="Global.NULL" localSheetId="13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 localSheetId="13">#REF!</definedName>
    <definedName name="htvjyn" localSheetId="14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 localSheetId="13">#REF!</definedName>
    <definedName name="kk" localSheetId="14">#REF!</definedName>
    <definedName name="kk">#REF!</definedName>
    <definedName name="kl" localSheetId="10">#REF!</definedName>
    <definedName name="kl" localSheetId="13">#REF!</definedName>
    <definedName name="kl" localSheetId="14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3">IF(ФОТи1.тек.!n_3=1,ФОТи1.тек.!n_2,ФОТи1.тек.!n_3&amp;ФОТи1.тек.!n_1)</definedName>
    <definedName name="n0x" localSheetId="14">IF(ФОТи2.тек.!n_3=1,ФОТи2.тек.!n_2,ФОТи2.тек.!n_3&amp;ФОТи2.тек.!n_1)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3">IF(ФОТи1.тек.!n_3=1,ФОТи1.тек.!n_2,ФОТи1.тек.!n_3&amp;ФОТи1.тек.!n_5)</definedName>
    <definedName name="n1x" localSheetId="14">IF(ФОТи2.тек.!n_3=1,ФОТи2.тек.!n_2,ФОТи2.тек.!n_3&amp;ФОТи2.тек.!n_5)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7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 localSheetId="13">#REF!</definedName>
    <definedName name="rrrrrr" localSheetId="14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6">#REF!</definedName>
    <definedName name="time" localSheetId="17">#REF!</definedName>
    <definedName name="time" localSheetId="8">#REF!</definedName>
    <definedName name="time" localSheetId="10">#REF!</definedName>
    <definedName name="time" localSheetId="13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3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6">#REF!</definedName>
    <definedName name="а" localSheetId="17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6">#REF!</definedName>
    <definedName name="ааа" localSheetId="17">#REF!</definedName>
    <definedName name="ааа" localSheetId="8">#REF!</definedName>
    <definedName name="ааа" localSheetId="10">#REF!</definedName>
    <definedName name="ааа" localSheetId="13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6">#REF!</definedName>
    <definedName name="д" localSheetId="17">#REF!</definedName>
    <definedName name="д" localSheetId="8">#REF!</definedName>
    <definedName name="д" localSheetId="10">#REF!</definedName>
    <definedName name="д" localSheetId="13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6">#REF!</definedName>
    <definedName name="дд" localSheetId="17">#REF!</definedName>
    <definedName name="дд" localSheetId="8">#REF!</definedName>
    <definedName name="дд" localSheetId="10">#REF!</definedName>
    <definedName name="дд" localSheetId="13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6">#REF!</definedName>
    <definedName name="дддд" localSheetId="17">#REF!</definedName>
    <definedName name="дддд" localSheetId="8">#REF!</definedName>
    <definedName name="дддд" localSheetId="10">#REF!</definedName>
    <definedName name="дддд" localSheetId="13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6">#REF!</definedName>
    <definedName name="де" localSheetId="17">#REF!</definedName>
    <definedName name="де" localSheetId="8">#REF!</definedName>
    <definedName name="де" localSheetId="10">#REF!</definedName>
    <definedName name="де" localSheetId="13">#REF!</definedName>
    <definedName name="де" localSheetId="14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6">#REF!</definedName>
    <definedName name="дефл." localSheetId="17">#REF!</definedName>
    <definedName name="дефл." localSheetId="8">#REF!</definedName>
    <definedName name="дефл." localSheetId="10">#REF!</definedName>
    <definedName name="дефл." localSheetId="13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6">#REF!</definedName>
    <definedName name="до" localSheetId="17">#REF!</definedName>
    <definedName name="до" localSheetId="8">#REF!</definedName>
    <definedName name="до" localSheetId="10">#REF!</definedName>
    <definedName name="до" localSheetId="13">#REF!</definedName>
    <definedName name="до" localSheetId="14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6">#REF!</definedName>
    <definedName name="дол" localSheetId="17">#REF!</definedName>
    <definedName name="дол" localSheetId="8">#REF!</definedName>
    <definedName name="дол" localSheetId="10">#REF!</definedName>
    <definedName name="дол" localSheetId="13">#REF!</definedName>
    <definedName name="дол" localSheetId="14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6">#REF!</definedName>
    <definedName name="ДС" localSheetId="17">#REF!</definedName>
    <definedName name="ДС" localSheetId="8">#REF!</definedName>
    <definedName name="ДС" localSheetId="10">#REF!</definedName>
    <definedName name="ДС" localSheetId="13">#REF!</definedName>
    <definedName name="ДС" localSheetId="14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6">#REF!</definedName>
    <definedName name="ж" localSheetId="17">#REF!</definedName>
    <definedName name="ж" localSheetId="8">#REF!</definedName>
    <definedName name="ж" localSheetId="10">#REF!</definedName>
    <definedName name="ж" localSheetId="13">#REF!</definedName>
    <definedName name="ж" localSheetId="14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6">#REF!</definedName>
    <definedName name="зз" localSheetId="17">#REF!</definedName>
    <definedName name="зз" localSheetId="8">#REF!</definedName>
    <definedName name="зз" localSheetId="10">#REF!</definedName>
    <definedName name="зз" localSheetId="13">#REF!</definedName>
    <definedName name="зз" localSheetId="14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6">#REF!</definedName>
    <definedName name="иии" localSheetId="17">#REF!</definedName>
    <definedName name="иии" localSheetId="8">#REF!</definedName>
    <definedName name="иии" localSheetId="10">#REF!</definedName>
    <definedName name="иии" localSheetId="13">#REF!</definedName>
    <definedName name="иии" localSheetId="14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 localSheetId="13">#REF!</definedName>
    <definedName name="Ини" localSheetId="14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6">#REF!</definedName>
    <definedName name="кк" localSheetId="17">#REF!</definedName>
    <definedName name="кк" localSheetId="8">#REF!</definedName>
    <definedName name="кк" localSheetId="10">#REF!</definedName>
    <definedName name="кк" localSheetId="13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 localSheetId="13">#REF!</definedName>
    <definedName name="комплект" localSheetId="14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3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6">#REF!</definedName>
    <definedName name="лд" localSheetId="17">#REF!</definedName>
    <definedName name="лд" localSheetId="8">#REF!</definedName>
    <definedName name="лд" localSheetId="10">#REF!</definedName>
    <definedName name="лд" localSheetId="13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6">#REF!</definedName>
    <definedName name="лдд" localSheetId="17">#REF!</definedName>
    <definedName name="лдд" localSheetId="8">#REF!</definedName>
    <definedName name="лдд" localSheetId="10">#REF!</definedName>
    <definedName name="лдд" localSheetId="13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6">#REF!</definedName>
    <definedName name="лл" localSheetId="17">#REF!</definedName>
    <definedName name="лл" localSheetId="8">#REF!</definedName>
    <definedName name="лл" localSheetId="10">#REF!</definedName>
    <definedName name="лл" localSheetId="13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6">#REF!</definedName>
    <definedName name="ллл" localSheetId="17">#REF!</definedName>
    <definedName name="ллл" localSheetId="8">#REF!</definedName>
    <definedName name="ллл" localSheetId="10">#REF!</definedName>
    <definedName name="ллл" localSheetId="13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3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6">#REF!</definedName>
    <definedName name="Модель2" localSheetId="17">#REF!</definedName>
    <definedName name="Модель2" localSheetId="8">#REF!</definedName>
    <definedName name="Модель2" localSheetId="10">#REF!</definedName>
    <definedName name="Модель2" localSheetId="13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6">#REF!</definedName>
    <definedName name="нн" localSheetId="17">#REF!</definedName>
    <definedName name="нн" localSheetId="8">#REF!</definedName>
    <definedName name="нн" localSheetId="10">#REF!</definedName>
    <definedName name="нн" localSheetId="13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 localSheetId="13">#REF!</definedName>
    <definedName name="НормаАУП_на_УЕ" localSheetId="14">#REF!</definedName>
    <definedName name="НормаАУП_на_УЕ">#REF!</definedName>
    <definedName name="НормаПП_на_УЕ" localSheetId="10">#REF!</definedName>
    <definedName name="НормаПП_на_УЕ" localSheetId="13">#REF!</definedName>
    <definedName name="НормаПП_на_УЕ" localSheetId="14">#REF!</definedName>
    <definedName name="НормаПП_на_УЕ">#REF!</definedName>
    <definedName name="НормаРостаУЕ" localSheetId="10">#REF!</definedName>
    <definedName name="НормаРостаУЕ" localSheetId="13">#REF!</definedName>
    <definedName name="НормаРостаУЕ" localSheetId="14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5">граж</definedName>
    <definedName name="нр" localSheetId="17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3">граж</definedName>
    <definedName name="нр" localSheetId="14">граж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'Прил. 3'!$A$1:$H$82</definedName>
    <definedName name="_xlnm.Print_Area" localSheetId="7">'Прил.4 РМ'!$A$1:$E$48</definedName>
    <definedName name="_xlnm.Print_Area" localSheetId="8">'Прил.5 Расчет СМР и ОБ'!$A$1:$J$96</definedName>
    <definedName name="_xlnm.Print_Area" localSheetId="13">ФОТи1.тек.!$A$1:$F$13</definedName>
    <definedName name="_xlnm.Print_Area" localSheetId="14">ФОТи2.тек.!$A$1:$F$13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6">#REF!</definedName>
    <definedName name="ол" localSheetId="17">#REF!</definedName>
    <definedName name="ол" localSheetId="8">#REF!</definedName>
    <definedName name="ол" localSheetId="10">#REF!</definedName>
    <definedName name="ол" localSheetId="13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6">#REF!</definedName>
    <definedName name="ооо" localSheetId="17">#REF!</definedName>
    <definedName name="ооо" localSheetId="8">#REF!</definedName>
    <definedName name="ооо" localSheetId="10">#REF!</definedName>
    <definedName name="ооо" localSheetId="13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 localSheetId="13">#REF!</definedName>
    <definedName name="ОсвоениеИмущества" localSheetId="14">#REF!</definedName>
    <definedName name="ОсвоениеИмущества">#REF!</definedName>
    <definedName name="ОсвоениеИП" localSheetId="10">#REF!</definedName>
    <definedName name="ОсвоениеИП" localSheetId="13">#REF!</definedName>
    <definedName name="ОсвоениеИП" localSheetId="14">#REF!</definedName>
    <definedName name="ОсвоениеИП">#REF!</definedName>
    <definedName name="ОсвоениеНИОКР" localSheetId="10">#REF!</definedName>
    <definedName name="ОсвоениеНИОКР" localSheetId="13">#REF!</definedName>
    <definedName name="ОсвоениеНИОКР" localSheetId="14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 localSheetId="13">#REF!</definedName>
    <definedName name="ОтпускИзЕНЭС" localSheetId="14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 localSheetId="13">#REF!</definedName>
    <definedName name="ПотериНорма" localSheetId="14">#REF!</definedName>
    <definedName name="ПотериНорма">#REF!</definedName>
    <definedName name="ПотериФакт" localSheetId="10">#REF!</definedName>
    <definedName name="ПотериФакт" localSheetId="13">#REF!</definedName>
    <definedName name="ПотериФакт" localSheetId="14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6">#REF!</definedName>
    <definedName name="пп" localSheetId="17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6">#REF!</definedName>
    <definedName name="ппп" localSheetId="17">#REF!</definedName>
    <definedName name="ппп" localSheetId="8">#REF!</definedName>
    <definedName name="ппп" localSheetId="10">#REF!</definedName>
    <definedName name="ппп" localSheetId="13">#REF!</definedName>
    <definedName name="ппп" localSheetId="14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 localSheetId="13">#REF!</definedName>
    <definedName name="Расшифровка" localSheetId="14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3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 localSheetId="13">#REF!</definedName>
    <definedName name="СтавкаАмортизации" localSheetId="14">#REF!</definedName>
    <definedName name="СтавкаАмортизации">#REF!</definedName>
    <definedName name="СтавкаДепозитов" localSheetId="10">#REF!</definedName>
    <definedName name="СтавкаДепозитов" localSheetId="13">#REF!</definedName>
    <definedName name="СтавкаДепозитов" localSheetId="14">#REF!</definedName>
    <definedName name="СтавкаДепозитов">#REF!</definedName>
    <definedName name="СтавкаДивидендов" localSheetId="10">#REF!</definedName>
    <definedName name="СтавкаДивидендов" localSheetId="13">#REF!</definedName>
    <definedName name="СтавкаДивидендов" localSheetId="14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 localSheetId="13">#REF!</definedName>
    <definedName name="страх" localSheetId="14">#REF!</definedName>
    <definedName name="страх">#REF!</definedName>
    <definedName name="страхов" localSheetId="10">#REF!</definedName>
    <definedName name="страхов" localSheetId="13">#REF!</definedName>
    <definedName name="страхов" localSheetId="14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6">#REF!</definedName>
    <definedName name="ттт" localSheetId="17">#REF!</definedName>
    <definedName name="ттт" localSheetId="8">#REF!</definedName>
    <definedName name="ттт" localSheetId="10">#REF!</definedName>
    <definedName name="ттт" localSheetId="13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3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 localSheetId="13">#REF!</definedName>
    <definedName name="УслугиТОиР_ГС" localSheetId="14">#REF!</definedName>
    <definedName name="УслугиТОиР_ГС">#REF!</definedName>
    <definedName name="УслугиТОиР_ЭСС" localSheetId="10">#REF!</definedName>
    <definedName name="УслугиТОиР_ЭСС" localSheetId="13">#REF!</definedName>
    <definedName name="УслугиТОиР_ЭСС" localSheetId="14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6">#REF!</definedName>
    <definedName name="ффф" localSheetId="17">#REF!</definedName>
    <definedName name="ффф" localSheetId="8">#REF!</definedName>
    <definedName name="ффф" localSheetId="10">#REF!</definedName>
    <definedName name="ффф" localSheetId="13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6">#REF!</definedName>
    <definedName name="хх" localSheetId="17">#REF!</definedName>
    <definedName name="хх" localSheetId="8">#REF!</definedName>
    <definedName name="хх" localSheetId="10">#REF!</definedName>
    <definedName name="хх" localSheetId="13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6">#REF!</definedName>
    <definedName name="цц" localSheetId="17">#REF!</definedName>
    <definedName name="цц" localSheetId="8">#REF!</definedName>
    <definedName name="цц" localSheetId="10">#REF!</definedName>
    <definedName name="цц" localSheetId="13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6">#REF!</definedName>
    <definedName name="шш" localSheetId="17">#REF!</definedName>
    <definedName name="шш" localSheetId="8">#REF!</definedName>
    <definedName name="шш" localSheetId="10">#REF!</definedName>
    <definedName name="шш" localSheetId="13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6">#REF!</definedName>
    <definedName name="щщ" localSheetId="17">#REF!</definedName>
    <definedName name="щщ" localSheetId="8">#REF!</definedName>
    <definedName name="щщ" localSheetId="10">#REF!</definedName>
    <definedName name="щщ" localSheetId="13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6">#REF!</definedName>
    <definedName name="ььь" localSheetId="17">#REF!</definedName>
    <definedName name="ььь" localSheetId="8">#REF!</definedName>
    <definedName name="ььь" localSheetId="10">#REF!</definedName>
    <definedName name="ььь" localSheetId="13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6">#REF!</definedName>
    <definedName name="э" localSheetId="17">#REF!</definedName>
    <definedName name="э" localSheetId="8">#REF!</definedName>
    <definedName name="э" localSheetId="10">#REF!</definedName>
    <definedName name="э" localSheetId="13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5">граж</definedName>
    <definedName name="ЭКСПО" localSheetId="17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3">граж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5">граж</definedName>
    <definedName name="ЭКСПОФОРУМ" localSheetId="17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3">граж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6">#REF!</definedName>
    <definedName name="юююю" localSheetId="17">#REF!</definedName>
    <definedName name="юююю" localSheetId="8">#REF!</definedName>
    <definedName name="юююю" localSheetId="10">#REF!</definedName>
    <definedName name="юююю" localSheetId="13">#REF!</definedName>
    <definedName name="юююю" localSheetId="14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E13" i="14"/>
  <c r="E8" i="14"/>
  <c r="E29" i="13"/>
  <c r="E24" i="13"/>
  <c r="E21" i="13"/>
  <c r="E16" i="13"/>
  <c r="E13" i="13"/>
  <c r="E8" i="13"/>
  <c r="D11" i="11"/>
  <c r="C11" i="11"/>
  <c r="D5" i="11"/>
  <c r="G16" i="10"/>
  <c r="G15" i="10"/>
  <c r="G14" i="10"/>
  <c r="G13" i="10"/>
  <c r="G12" i="10"/>
  <c r="J90" i="9"/>
  <c r="G90" i="9"/>
  <c r="J89" i="9"/>
  <c r="G89" i="9"/>
  <c r="J88" i="9"/>
  <c r="G88" i="9"/>
  <c r="J87" i="9"/>
  <c r="G87" i="9"/>
  <c r="J86" i="9"/>
  <c r="G86" i="9"/>
  <c r="J85" i="9"/>
  <c r="G85" i="9"/>
  <c r="J84" i="9"/>
  <c r="G84" i="9"/>
  <c r="J83" i="9"/>
  <c r="H83" i="9"/>
  <c r="G83" i="9"/>
  <c r="J82" i="9"/>
  <c r="I82" i="9"/>
  <c r="H82" i="9"/>
  <c r="G82" i="9"/>
  <c r="J81" i="9"/>
  <c r="I81" i="9"/>
  <c r="H81" i="9"/>
  <c r="G81" i="9"/>
  <c r="J80" i="9"/>
  <c r="I80" i="9"/>
  <c r="H80" i="9"/>
  <c r="G80" i="9"/>
  <c r="J79" i="9"/>
  <c r="I79" i="9"/>
  <c r="H79" i="9"/>
  <c r="G79" i="9"/>
  <c r="J78" i="9"/>
  <c r="I78" i="9"/>
  <c r="H78" i="9"/>
  <c r="G78" i="9"/>
  <c r="J77" i="9"/>
  <c r="I77" i="9"/>
  <c r="H77" i="9"/>
  <c r="G77" i="9"/>
  <c r="J76" i="9"/>
  <c r="I76" i="9"/>
  <c r="H76" i="9"/>
  <c r="G76" i="9"/>
  <c r="J75" i="9"/>
  <c r="I75" i="9"/>
  <c r="H75" i="9"/>
  <c r="G75" i="9"/>
  <c r="J74" i="9"/>
  <c r="I74" i="9"/>
  <c r="H74" i="9"/>
  <c r="G74" i="9"/>
  <c r="J73" i="9"/>
  <c r="I73" i="9"/>
  <c r="H73" i="9"/>
  <c r="G73" i="9"/>
  <c r="J72" i="9"/>
  <c r="I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E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H54" i="9"/>
  <c r="G54" i="9"/>
  <c r="J53" i="9"/>
  <c r="I53" i="9"/>
  <c r="H53" i="9"/>
  <c r="G53" i="9"/>
  <c r="E53" i="9"/>
  <c r="J52" i="9"/>
  <c r="I52" i="9"/>
  <c r="H52" i="9"/>
  <c r="G52" i="9"/>
  <c r="J51" i="9"/>
  <c r="I51" i="9"/>
  <c r="H51" i="9"/>
  <c r="G51" i="9"/>
  <c r="J50" i="9"/>
  <c r="I50" i="9"/>
  <c r="H50" i="9"/>
  <c r="G50" i="9"/>
  <c r="E50" i="9"/>
  <c r="J49" i="9"/>
  <c r="I49" i="9"/>
  <c r="H49" i="9"/>
  <c r="G49" i="9"/>
  <c r="E49" i="9"/>
  <c r="J48" i="9"/>
  <c r="I48" i="9"/>
  <c r="H48" i="9"/>
  <c r="G48" i="9"/>
  <c r="J45" i="9"/>
  <c r="G45" i="9"/>
  <c r="J44" i="9"/>
  <c r="H44" i="9"/>
  <c r="G44" i="9"/>
  <c r="J43" i="9"/>
  <c r="H43" i="9"/>
  <c r="G43" i="9"/>
  <c r="J42" i="9"/>
  <c r="H42" i="9"/>
  <c r="G42" i="9"/>
  <c r="F42" i="9"/>
  <c r="J41" i="9"/>
  <c r="H41" i="9"/>
  <c r="G41" i="9"/>
  <c r="F41" i="9"/>
  <c r="J40" i="9"/>
  <c r="H40" i="9"/>
  <c r="G40" i="9"/>
  <c r="J39" i="9"/>
  <c r="H39" i="9"/>
  <c r="G39" i="9"/>
  <c r="F39" i="9"/>
  <c r="J36" i="9"/>
  <c r="G36" i="9"/>
  <c r="J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J16" i="9"/>
  <c r="G16" i="9"/>
  <c r="E16" i="9"/>
  <c r="J15" i="9"/>
  <c r="I15" i="9"/>
  <c r="H15" i="9"/>
  <c r="E15" i="9"/>
  <c r="J14" i="9"/>
  <c r="I14" i="9"/>
  <c r="H14" i="9"/>
  <c r="E14" i="9"/>
  <c r="J13" i="9"/>
  <c r="I13" i="9"/>
  <c r="H13" i="9"/>
  <c r="E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72" i="6"/>
  <c r="A72" i="6"/>
  <c r="H71" i="6"/>
  <c r="A71" i="6"/>
  <c r="H70" i="6"/>
  <c r="A70" i="6"/>
  <c r="H69" i="6"/>
  <c r="A69" i="6"/>
  <c r="H68" i="6"/>
  <c r="A68" i="6"/>
  <c r="H67" i="6"/>
  <c r="A67" i="6"/>
  <c r="H66" i="6"/>
  <c r="A66" i="6"/>
  <c r="H65" i="6"/>
  <c r="A65" i="6"/>
  <c r="H64" i="6"/>
  <c r="A64" i="6"/>
  <c r="H63" i="6"/>
  <c r="A63" i="6"/>
  <c r="H62" i="6"/>
  <c r="A62" i="6"/>
  <c r="H61" i="6"/>
  <c r="A61" i="6"/>
  <c r="H60" i="6"/>
  <c r="A60" i="6"/>
  <c r="H59" i="6"/>
  <c r="A59" i="6"/>
  <c r="H58" i="6"/>
  <c r="A58" i="6"/>
  <c r="H57" i="6"/>
  <c r="A57" i="6"/>
  <c r="H56" i="6"/>
  <c r="A56" i="6"/>
  <c r="H55" i="6"/>
  <c r="A55" i="6"/>
  <c r="H54" i="6"/>
  <c r="A54" i="6"/>
  <c r="H53" i="6"/>
  <c r="A53" i="6"/>
  <c r="H52" i="6"/>
  <c r="A52" i="6"/>
  <c r="H51" i="6"/>
  <c r="A51" i="6"/>
  <c r="H50" i="6"/>
  <c r="A50" i="6"/>
  <c r="H49" i="6"/>
  <c r="F49" i="6"/>
  <c r="A49" i="6"/>
  <c r="H48" i="6"/>
  <c r="A48" i="6"/>
  <c r="H47" i="6"/>
  <c r="A47" i="6"/>
  <c r="H46" i="6"/>
  <c r="A46" i="6"/>
  <c r="H45" i="6"/>
  <c r="A45" i="6"/>
  <c r="H44" i="6"/>
  <c r="F44" i="6"/>
  <c r="A44" i="6"/>
  <c r="H43" i="6"/>
  <c r="A43" i="6"/>
  <c r="H42" i="6"/>
  <c r="A42" i="6"/>
  <c r="H41" i="6"/>
  <c r="F41" i="6"/>
  <c r="A41" i="6"/>
  <c r="H40" i="6"/>
  <c r="F40" i="6"/>
  <c r="A40" i="6"/>
  <c r="H39" i="6"/>
  <c r="A39" i="6"/>
  <c r="H38" i="6"/>
  <c r="H37" i="6"/>
  <c r="A37" i="6"/>
  <c r="H36" i="6"/>
  <c r="A36" i="6"/>
  <c r="H35" i="6"/>
  <c r="A35" i="6"/>
  <c r="H34" i="6"/>
  <c r="H33" i="6"/>
  <c r="A33" i="6"/>
  <c r="H32" i="6"/>
  <c r="A32" i="6"/>
  <c r="H31" i="6"/>
  <c r="A31" i="6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19" i="6"/>
  <c r="H18" i="6"/>
  <c r="H17" i="6"/>
  <c r="H16" i="6"/>
  <c r="H15" i="6"/>
  <c r="H14" i="6"/>
  <c r="H13" i="6"/>
  <c r="H12" i="6"/>
  <c r="F12" i="6"/>
  <c r="J14" i="5"/>
  <c r="I14" i="5"/>
  <c r="H14" i="5"/>
  <c r="G14" i="5"/>
  <c r="F14" i="5"/>
  <c r="J13" i="5"/>
  <c r="H13" i="5"/>
  <c r="G13" i="5"/>
  <c r="F13" i="5"/>
  <c r="J12" i="5"/>
  <c r="C12" i="5"/>
  <c r="D24" i="4"/>
  <c r="D23" i="4"/>
  <c r="D21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<sst xmlns="http://schemas.openxmlformats.org/spreadsheetml/2006/main" count="1015" uniqueCount="499">
  <si>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</si>
  <si>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</si>
  <si>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</si>
  <si>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</si>
  <si>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</si>
  <si>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</si>
  <si>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</si>
  <si>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</si>
  <si>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</si>
  <si>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</si>
  <si>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</si>
  <si>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</si>
  <si>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</si>
  <si>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</si>
  <si>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</si>
  <si>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</si>
  <si>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</si>
  <si>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</si>
  <si>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</si>
  <si>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</si>
  <si>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</si>
  <si>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</si>
  <si>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</si>
  <si>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</si>
  <si>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</si>
  <si>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</si>
  <si>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</si>
  <si>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</si>
  <si>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</si>
  <si>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</si>
  <si>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</si>
  <si>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</si>
  <si>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</si>
  <si>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</si>
  <si>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</si>
  <si>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</si>
  <si>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</si>
  <si>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</si>
  <si>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</si>
  <si>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</si>
  <si>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</si>
  <si>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</si>
  <si>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</si>
  <si>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</si>
  <si>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</si>
  <si>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</si>
  <si>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</si>
  <si>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</si>
  <si>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Элементы ПС без устройства фундаментов. Цифровой ТТ на три фазы  110 кВ</t>
  </si>
  <si>
    <t>Сопоставимый уровень цен: 3 кв. 2015 г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</si>
  <si>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</si>
  <si>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</si>
  <si>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</si>
  <si>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</si>
  <si>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 xml:space="preserve">Строительство ПС 110 кВ имени Сморгунова с питающей двухцепной отпайки от ВЛ 110 кВ Левобережная-Центр С-217-С-218 </t>
  </si>
  <si>
    <t>Наименование субъекта Российской Федерации</t>
  </si>
  <si>
    <t>Красноярский край, Емельяновский район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</si>
  <si>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</si>
  <si>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</si>
  <si>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</si>
  <si>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</si>
  <si>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Трансформатор напряжения цифровой 110 кВ, 2000 ВА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</si>
  <si>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</si>
  <si>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</si>
  <si>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</si>
  <si>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</si>
  <si>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</si>
  <si>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</si>
  <si>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</si>
  <si>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</si>
  <si>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</si>
  <si>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</si>
  <si>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</si>
  <si>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</si>
  <si>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</si>
  <si>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</si>
  <si>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</si>
  <si>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</si>
  <si>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</si>
  <si>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</si>
  <si>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</si>
  <si>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</si>
  <si>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</si>
  <si>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</si>
  <si>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</si>
  <si>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2015 г, тыс. руб.</t>
  </si>
  <si>
    <t>Строительные работы</t>
  </si>
  <si>
    <t>Монтажные работы</t>
  </si>
  <si>
    <t>Прочее</t>
  </si>
  <si>
    <t>Всего</t>
  </si>
  <si>
    <t xml:space="preserve"> 02-07-01</t>
  </si>
  <si>
    <t>Электротехнические решения</t>
  </si>
  <si>
    <t>Всего по объекту:</t>
  </si>
  <si>
    <t>Всего по объекту в сопоставимом уровне цен 3 кв. 2015 г:</t>
  </si>
  <si>
    <t xml:space="preserve">Приложение № 3 </t>
  </si>
  <si>
    <t>Объектная ресурсная ведомость</t>
  </si>
  <si>
    <t>Наименование разрабатываемого показателя УНЦ - Элементы ПС без устройства фундаментов. Цифровой ТТ на три фазы 110 кВ.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</si>
  <si>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</si>
  <si>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</si>
  <si>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</si>
  <si>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</si>
  <si>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</si>
  <si>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</si>
  <si>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</si>
  <si>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</si>
  <si>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</si>
  <si>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</si>
  <si>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</si>
  <si>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</si>
  <si>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10-30-1</t>
  </si>
  <si>
    <t>Инженер I категории</t>
  </si>
  <si>
    <t>чел.час</t>
  </si>
  <si>
    <t>2</t>
  </si>
  <si>
    <t>10-30-2</t>
  </si>
  <si>
    <t>Инженер II категории</t>
  </si>
  <si>
    <t>3</t>
  </si>
  <si>
    <t>1-4-0</t>
  </si>
  <si>
    <t>Затраты труда рабочих (средний разряд работы 4,0)</t>
  </si>
  <si>
    <t>4</t>
  </si>
  <si>
    <t>1-3-8</t>
  </si>
  <si>
    <t>Затраты труда рабочих (средний разряд работы 3,8)</t>
  </si>
  <si>
    <t>5</t>
  </si>
  <si>
    <t>1-3-2</t>
  </si>
  <si>
    <t>Затраты труда рабочих (средний разряд работы 3,2)</t>
  </si>
  <si>
    <t>Затраты труда машинистов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</si>
  <si>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</si>
  <si>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</si>
  <si>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</si>
  <si>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маш.-ч</t>
  </si>
  <si>
    <t>91.10.01-002</t>
  </si>
  <si>
    <t>Агрегаты наполнительно-опрессовочные до 300 м3/ч</t>
  </si>
  <si>
    <t>91.06.03-058</t>
  </si>
  <si>
    <t>Лебедки электрические тяговым усилием 156,96 кН (16 т)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</si>
  <si>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</si>
  <si>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</si>
  <si>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</si>
  <si>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</si>
  <si>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</si>
  <si>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</si>
  <si>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</si>
  <si>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</si>
  <si>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</si>
  <si>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</si>
  <si>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</si>
  <si>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</si>
  <si>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</si>
  <si>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</si>
  <si>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</si>
  <si>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</si>
  <si>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</si>
  <si>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</si>
  <si>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</si>
  <si>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</si>
  <si>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</si>
  <si>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Трансформатор напряжения цифровой 110 кВ, 2000 ВА.</t>
  </si>
  <si>
    <t>шт.</t>
  </si>
  <si>
    <t>Шкаф зажимов трансформатора напряжения (ШЗН)</t>
  </si>
  <si>
    <t>Шкаф зажимов трансформатора напряжения для цепей АИИС КУЭ (ЯЗН-11)</t>
  </si>
  <si>
    <t>Материалы</t>
  </si>
  <si>
    <t>Выключатель модульный Sirco MV с_x000D_
вдимым разрывом,125А, 4 П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</si>
  <si>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</si>
  <si>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</si>
  <si>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</si>
  <si>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</si>
  <si>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</si>
  <si>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21.2.01.02-0098</t>
  </si>
  <si>
    <t>Провод неизолированный для воздушных линий электропередачи АС 400/51</t>
  </si>
  <si>
    <t>т</t>
  </si>
  <si>
    <t>20.1.01.02-0067</t>
  </si>
  <si>
    <t>Зажим аппаратный прессуемый: А4А-400-2</t>
  </si>
  <si>
    <t>100 шт.</t>
  </si>
  <si>
    <t>05.1.01.10-0131</t>
  </si>
  <si>
    <t>Лотки каналов и тоннелей железобетонные для прокладки коммуникаций</t>
  </si>
  <si>
    <t>м3</t>
  </si>
  <si>
    <t>62.1.04.05-0017</t>
  </si>
  <si>
    <t>Реле напряжения: РН-74 УХЛ4</t>
  </si>
  <si>
    <t>шт</t>
  </si>
  <si>
    <t>69.3.02.02-0007</t>
  </si>
  <si>
    <t>Терморегуляторы проходные с дистанционным датчиком, диапазон настройки 6-26 °C, никелированные (прим. Терморегулятор ТСТ-6011.R)</t>
  </si>
  <si>
    <t>01.7.17.11-0001</t>
  </si>
  <si>
    <t>Бумага шлифовальная</t>
  </si>
  <si>
    <t>кг</t>
  </si>
  <si>
    <t>999-9950</t>
  </si>
  <si>
    <t>Вспомогательные ненормируемые ресурсы (2% от Оплаты труда рабочих)</t>
  </si>
  <si>
    <t>руб</t>
  </si>
  <si>
    <t>02.2.05.04-1777</t>
  </si>
  <si>
    <t>Щебень М 800, фракция 20-40 мм, группа 2</t>
  </si>
  <si>
    <t>08.3.07.01-0076</t>
  </si>
  <si>
    <t>Сталь полосовая, марка стали: Ст3сп шириной 50-200 мм толщиной 4-5 мм</t>
  </si>
  <si>
    <t>01.7.15.03-0042</t>
  </si>
  <si>
    <t>Болты с гайками и шайбами строительные</t>
  </si>
  <si>
    <t>08.3.07.01-0043</t>
  </si>
  <si>
    <t>Сталь полосовая: 40х5 мм, марка Ст3сп</t>
  </si>
  <si>
    <t>07.2.07.04-0007</t>
  </si>
  <si>
    <t>Конструкции стальные индивидуальные: решетчатые сварные массой до 0,1 т</t>
  </si>
  <si>
    <t>14.4.02.09-0001</t>
  </si>
  <si>
    <t>Краска</t>
  </si>
  <si>
    <t>14.4.02.09-0301</t>
  </si>
  <si>
    <t>Краска "Цинол"</t>
  </si>
  <si>
    <t>25.2.01.01-0001</t>
  </si>
  <si>
    <t>Бирки-оконцеватели</t>
  </si>
  <si>
    <t>61.2.04.01-0002</t>
  </si>
  <si>
    <t>Арматура светосигнальная АМЕ с лампой накаливания КМ- 24В</t>
  </si>
  <si>
    <t>10 шт.</t>
  </si>
  <si>
    <t>01.3.01.06-0050</t>
  </si>
  <si>
    <t>Смазка универсальная тугоплавкая УТ (консталин жировой)</t>
  </si>
  <si>
    <t>01.7.11.07-0034</t>
  </si>
  <si>
    <t>Электроды диаметром: 4 мм Э42А</t>
  </si>
  <si>
    <t>01.7.20.08-0031</t>
  </si>
  <si>
    <t>Бязь суровая арт. 6804</t>
  </si>
  <si>
    <t>10 м2</t>
  </si>
  <si>
    <t>08.3.08.02-0091</t>
  </si>
  <si>
    <t>Сталь угловая, марки Ст3, перфорированная УП 35х35 мм</t>
  </si>
  <si>
    <t>м</t>
  </si>
  <si>
    <t>01.7.15.07-0014</t>
  </si>
  <si>
    <t>Дюбели распорные полипропиленовые</t>
  </si>
  <si>
    <t>20.1.02.23-0082</t>
  </si>
  <si>
    <t>Перемычки гибкие, тип ПГС-50</t>
  </si>
  <si>
    <t>08.3.05.02-0052</t>
  </si>
  <si>
    <t>Сталь листовая горячекатаная марки Ст3 толщиной: 2-6 мм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</si>
  <si>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</si>
  <si>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</si>
  <si>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</si>
  <si>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</si>
  <si>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14.4.03.17-0011</t>
  </si>
  <si>
    <t>Лак электроизоляционный 318</t>
  </si>
  <si>
    <t>01.7.20.04-0005</t>
  </si>
  <si>
    <t>Нитки швейные</t>
  </si>
  <si>
    <t>01.7.15.07-0007</t>
  </si>
  <si>
    <t>Дюбели пластмассовые диаметр 14 мм</t>
  </si>
  <si>
    <t>01.7.15.03-0031</t>
  </si>
  <si>
    <t>Болты с гайками и шайбами оцинкованные, диаметр: 6 мм</t>
  </si>
  <si>
    <t>01.7.15.14-0043</t>
  </si>
  <si>
    <t>Шуруп самонарезающий: (LN) 3,5/11 мм</t>
  </si>
  <si>
    <t>01.7.02.09-0002</t>
  </si>
  <si>
    <t>Шпагат бумажный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</si>
  <si>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</si>
  <si>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</si>
  <si>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</si>
  <si>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</si>
  <si>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</si>
  <si>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</si>
  <si>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</si>
  <si>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</si>
  <si>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</si>
  <si>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</si>
  <si>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</si>
  <si>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</si>
  <si>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</si>
  <si>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</si>
  <si>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</si>
  <si>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</si>
  <si>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</si>
  <si>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</si>
  <si>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</si>
  <si>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</si>
  <si>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</si>
  <si>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</si>
  <si>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</si>
  <si>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</si>
  <si>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</si>
  <si>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</si>
  <si>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</si>
  <si>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</si>
  <si>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</si>
  <si>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</si>
  <si>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</si>
  <si>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</si>
  <si>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</si>
  <si>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</si>
  <si>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</si>
  <si>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</si>
  <si>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</si>
  <si>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</si>
  <si>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</si>
  <si>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</si>
  <si>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</si>
  <si>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</si>
  <si>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</si>
  <si>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</si>
  <si>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</si>
  <si>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</si>
  <si>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</si>
  <si>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</si>
  <si>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</si>
  <si>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</si>
  <si>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 —</t>
  </si>
  <si>
    <t xml:space="preserve"> Элементы ПС без устройства фундаментов. Цифровой ТТ на три фазы  110 кВ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</si>
  <si>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</si>
  <si>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</si>
  <si>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</si>
  <si>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</si>
  <si>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</si>
  <si>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</si>
  <si>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</si>
  <si>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</si>
  <si>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</si>
  <si>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</si>
  <si>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Агрегаты наполнительно-опрессовочные: до 300 м3/ч</t>
  </si>
  <si>
    <t>маш.час</t>
  </si>
  <si>
    <t>Лебедки электрические тяговым усилием: 156,96 кН (16 т)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</si>
  <si>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</si>
  <si>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</si>
  <si>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</si>
  <si>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</si>
  <si>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БЦ.16_1.159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</si>
  <si>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</si>
  <si>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</si>
  <si>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</si>
  <si>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</si>
  <si>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</si>
  <si>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</si>
  <si>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</si>
  <si>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</si>
  <si>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</si>
  <si>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</si>
  <si>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</si>
  <si>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</si>
  <si>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</si>
  <si>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</si>
  <si>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</si>
  <si>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</si>
  <si>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</si>
  <si>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</si>
  <si>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</si>
  <si>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БЦ.16.1.159</t>
  </si>
  <si>
    <t>компл</t>
  </si>
  <si>
    <t>Шкаф зажимов трансформатора
напряжения (ШЗН)</t>
  </si>
  <si>
    <t>Шкаф зажимов трансформатора
напряжения для цепей АИИС КУЭ (ЯЗН-11)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</si>
  <si>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</si>
  <si>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</si>
  <si>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</si>
  <si>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</si>
  <si>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</si>
  <si>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</si>
  <si>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</si>
  <si>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И10-08-3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</si>
  <si>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</si>
  <si>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</si>
  <si>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</si>
  <si>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</si>
  <si>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</si>
  <si>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</si>
  <si>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</si>
  <si>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</si>
  <si>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</si>
  <si>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</si>
  <si>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</si>
  <si>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</si>
  <si>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</si>
  <si>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</si>
  <si>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</si>
  <si>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</si>
  <si>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</si>
  <si>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</si>
  <si>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</si>
  <si>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</si>
  <si>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</si>
  <si>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</si>
  <si>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</si>
  <si>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</si>
  <si>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</si>
  <si>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</si>
  <si>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</si>
  <si>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</si>
  <si>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</si>
  <si>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</si>
  <si>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</si>
  <si>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</si>
  <si>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</si>
  <si>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</si>
  <si>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</si>
  <si>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</si>
  <si>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</si>
  <si>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</si>
  <si>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</si>
  <si>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</si>
  <si>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</si>
  <si>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</si>
  <si>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</si>
  <si>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</si>
  <si>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</si>
  <si>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</si>
  <si>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</si>
  <si>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</si>
  <si>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</si>
  <si>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</si>
  <si>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</si>
  <si>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</si>
  <si>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</si>
  <si>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</si>
  <si>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</si>
  <si>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</si>
  <si>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</si>
  <si>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</si>
  <si>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</si>
  <si>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</si>
  <si>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</si>
  <si>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</si>
  <si>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r>
      <t>С</t>
    </r>
    <r>
      <rPr>
        <vertAlign val="subscript"/>
        <sz val="11"/>
        <color rgb="FF000000"/>
        <rFont val="Calibri"/>
      </rPr>
      <t>1ср</t>
    </r>
  </si>
  <si>
    <r>
      <t>t</t>
    </r>
    <r>
      <rPr>
        <vertAlign val="subscript"/>
        <sz val="11"/>
        <color rgb="FF000000"/>
        <rFont val="Calibri"/>
      </rPr>
      <t>ср</t>
    </r>
  </si>
  <si>
    <r>
      <t>К</t>
    </r>
    <r>
      <rPr>
        <vertAlign val="subscript"/>
        <sz val="11"/>
        <color rgb="FF000000"/>
        <rFont val="Calibri"/>
      </rPr>
      <t>Т</t>
    </r>
  </si>
  <si>
    <r>
      <t>К</t>
    </r>
    <r>
      <rPr>
        <vertAlign val="subscript"/>
        <sz val="11"/>
        <color rgb="FF000000"/>
        <rFont val="Calibri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</si>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</sst>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\ _₽"/>
    <numFmt numFmtId="170" formatCode="#,##0.0000"/>
  </numFmts>
  <fonts count="37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i/>
      <sz val="10"/>
      <color rgb="FF000000"/>
      <name val="Arial Cyr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Arial"/>
    </font>
    <font>
      <b/>
      <sz val="12"/>
      <color rgb="FF000000"/>
      <name val="Calibri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4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8" fontId="23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right" vertical="center" wrapText="1"/>
    </xf>
    <xf numFmtId="169" fontId="23" fillId="0" borderId="1" xfId="0" applyNumberFormat="1" applyFont="1" applyBorder="1" applyAlignment="1">
      <alignment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4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center" vertical="top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20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11" fillId="4" borderId="0" xfId="0" applyFont="1" applyFill="1" applyAlignment="1">
      <alignment vertical="top"/>
    </xf>
    <xf numFmtId="0" fontId="25" fillId="4" borderId="0" xfId="0" applyFont="1" applyFill="1" applyAlignment="1">
      <alignment horizontal="center" vertical="center"/>
    </xf>
    <xf numFmtId="2" fontId="25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right" vertical="top" wrapText="1"/>
    </xf>
    <xf numFmtId="2" fontId="1" fillId="4" borderId="0" xfId="0" applyNumberFormat="1" applyFont="1" applyFill="1" applyAlignment="1">
      <alignment horizontal="right" vertical="top" wrapText="1"/>
    </xf>
    <xf numFmtId="0" fontId="17" fillId="4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justify" vertical="center"/>
    </xf>
    <xf numFmtId="4" fontId="17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6" fillId="0" borderId="4" xfId="0" applyNumberFormat="1" applyFont="1" applyBorder="1" applyAlignment="1">
      <alignment vertical="center" wrapText="1"/>
    </xf>
    <xf numFmtId="4" fontId="2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justify" vertical="center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4" fontId="4" fillId="4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450851</xdr:colOff>
      <xdr:row>16</xdr:row>
      <xdr:rowOff>48185</xdr:rowOff>
    </xdr:from>
    <xdr:to>
      <xdr:col>2</xdr:col>
      <xdr:colOff>1354045</xdr:colOff>
      <xdr:row>18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1926" y="36962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343834</xdr:colOff>
      <xdr:row>78</xdr:row>
      <xdr:rowOff>57151</xdr:rowOff>
    </xdr:from>
    <xdr:to>
      <xdr:col>3</xdr:col>
      <xdr:colOff>158376</xdr:colOff>
      <xdr:row>81</xdr:row>
      <xdr:rowOff>41276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187" y="18726151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128682</xdr:colOff>
      <xdr:row>75</xdr:row>
      <xdr:rowOff>168648</xdr:rowOff>
    </xdr:from>
    <xdr:to>
      <xdr:col>2</xdr:col>
      <xdr:colOff>1028514</xdr:colOff>
      <xdr:row>77</xdr:row>
      <xdr:rowOff>133761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035" y="18266148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996017</xdr:colOff>
      <xdr:row>43</xdr:row>
      <xdr:rowOff>90768</xdr:rowOff>
    </xdr:from>
    <xdr:to>
      <xdr:col>1</xdr:col>
      <xdr:colOff>1934509</xdr:colOff>
      <xdr:row>46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242" y="118446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984251</xdr:colOff>
      <xdr:row>41</xdr:row>
      <xdr:rowOff>19610</xdr:rowOff>
    </xdr:from>
    <xdr:to>
      <xdr:col>1</xdr:col>
      <xdr:colOff>1887445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6" y="113924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957917</xdr:colOff>
      <xdr:row>92</xdr:row>
      <xdr:rowOff>33618</xdr:rowOff>
    </xdr:from>
    <xdr:to>
      <xdr:col>2</xdr:col>
      <xdr:colOff>391459</xdr:colOff>
      <xdr:row>95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917" y="2320794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965201</xdr:colOff>
      <xdr:row>89</xdr:row>
      <xdr:rowOff>172010</xdr:rowOff>
    </xdr:from>
    <xdr:to>
      <xdr:col>2</xdr:col>
      <xdr:colOff>363445</xdr:colOff>
      <xdr:row>91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1" y="2278436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1015067</xdr:colOff>
      <xdr:row>18</xdr:row>
      <xdr:rowOff>90768</xdr:rowOff>
    </xdr:from>
    <xdr:to>
      <xdr:col>2</xdr:col>
      <xdr:colOff>781984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067" y="48342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1031876</xdr:colOff>
      <xdr:row>16</xdr:row>
      <xdr:rowOff>29135</xdr:rowOff>
    </xdr:from>
    <xdr:to>
      <xdr:col>2</xdr:col>
      <xdr:colOff>763495</xdr:colOff>
      <xdr:row>17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876" y="4391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996017</xdr:colOff>
      <xdr:row>13</xdr:row>
      <xdr:rowOff>71718</xdr:rowOff>
    </xdr:from>
    <xdr:to>
      <xdr:col>1</xdr:col>
      <xdr:colOff>1934509</xdr:colOff>
      <xdr:row>16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8042" y="36816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927101</xdr:colOff>
      <xdr:row>11</xdr:row>
      <xdr:rowOff>10085</xdr:rowOff>
    </xdr:from>
    <xdr:to>
      <xdr:col>1</xdr:col>
      <xdr:colOff>1830295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126" y="32390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1117040</xdr:colOff>
      <xdr:row>27</xdr:row>
      <xdr:rowOff>101974</xdr:rowOff>
    </xdr:from>
    <xdr:to>
      <xdr:col>1</xdr:col>
      <xdr:colOff>2055532</xdr:colOff>
      <xdr:row>30</xdr:row>
      <xdr:rowOff>57524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58" y="906668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1058770</xdr:colOff>
      <xdr:row>24</xdr:row>
      <xdr:rowOff>123825</xdr:rowOff>
    </xdr:from>
    <xdr:to>
      <xdr:col>1</xdr:col>
      <xdr:colOff>1961964</xdr:colOff>
      <xdr:row>26</xdr:row>
      <xdr:rowOff>79413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88" y="8517031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0" t="s">
        <v>0</v>
      </c>
      <c r="B2" s="230"/>
      <c r="C2" s="230"/>
    </row>
    <row r="3" spans="1:3" x14ac:dyDescent="0.25">
      <c r="A3" s="1"/>
      <c r="B3" s="1"/>
      <c r="C3" s="1"/>
    </row>
    <row r="4" spans="1:3" x14ac:dyDescent="0.25">
      <c r="A4" s="231" t="s">
        <v>1</v>
      </c>
      <c r="B4" s="231"/>
      <c r="C4" s="23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2" t="s">
        <v>3</v>
      </c>
      <c r="C6" s="232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1352.8885276414001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77" t="s">
        <v>320</v>
      </c>
      <c r="B1" s="277"/>
      <c r="C1" s="277"/>
      <c r="D1" s="277"/>
      <c r="E1" s="277"/>
      <c r="F1" s="277"/>
      <c r="G1" s="277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0" t="s">
        <v>321</v>
      </c>
      <c r="B3" s="230"/>
      <c r="C3" s="230"/>
      <c r="D3" s="230"/>
      <c r="E3" s="230"/>
      <c r="F3" s="230"/>
      <c r="G3" s="230"/>
    </row>
    <row r="4" spans="1:7" ht="25.5" customHeight="1" x14ac:dyDescent="0.25">
      <c r="A4" s="233" t="s">
        <v>48</v>
      </c>
      <c r="B4" s="233"/>
      <c r="C4" s="233"/>
      <c r="D4" s="233"/>
      <c r="E4" s="233"/>
      <c r="F4" s="233"/>
      <c r="G4" s="233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3" t="s">
        <v>13</v>
      </c>
      <c r="B6" s="263" t="s">
        <v>99</v>
      </c>
      <c r="C6" s="263" t="s">
        <v>237</v>
      </c>
      <c r="D6" s="263" t="s">
        <v>101</v>
      </c>
      <c r="E6" s="275" t="s">
        <v>289</v>
      </c>
      <c r="F6" s="282" t="s">
        <v>103</v>
      </c>
      <c r="G6" s="282"/>
    </row>
    <row r="7" spans="1:7" x14ac:dyDescent="0.25">
      <c r="A7" s="263"/>
      <c r="B7" s="263"/>
      <c r="C7" s="263"/>
      <c r="D7" s="263"/>
      <c r="E7" s="276"/>
      <c r="F7" s="2" t="s">
        <v>292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78" t="s">
        <v>322</v>
      </c>
      <c r="C9" s="279"/>
      <c r="D9" s="279"/>
      <c r="E9" s="279"/>
      <c r="F9" s="279"/>
      <c r="G9" s="280"/>
    </row>
    <row r="10" spans="1:7" ht="27" customHeight="1" x14ac:dyDescent="0.25">
      <c r="A10" s="2"/>
      <c r="B10" s="104"/>
      <c r="C10" s="8" t="s">
        <v>323</v>
      </c>
      <c r="D10" s="104"/>
      <c r="E10" s="105"/>
      <c r="F10" s="103"/>
      <c r="G10" s="103">
        <v>0</v>
      </c>
    </row>
    <row r="11" spans="1:7" x14ac:dyDescent="0.25">
      <c r="A11" s="2"/>
      <c r="B11" s="262" t="s">
        <v>324</v>
      </c>
      <c r="C11" s="262"/>
      <c r="D11" s="262"/>
      <c r="E11" s="281"/>
      <c r="F11" s="265"/>
      <c r="G11" s="265"/>
    </row>
    <row r="12" spans="1:7" ht="25.5" customHeight="1" x14ac:dyDescent="0.25">
      <c r="A12" s="2">
        <v>1</v>
      </c>
      <c r="B12" s="170" t="s">
        <v>325</v>
      </c>
      <c r="C12" s="8" t="s">
        <v>154</v>
      </c>
      <c r="D12" s="153" t="s">
        <v>326</v>
      </c>
      <c r="E12" s="2">
        <v>6</v>
      </c>
      <c r="F12" s="32">
        <v>214180.41693291001</v>
      </c>
      <c r="G12" s="32">
        <f>E12*F12</f>
        <v>1285082.5015974999</v>
      </c>
    </row>
    <row r="13" spans="1:7" ht="25.5" customHeight="1" x14ac:dyDescent="0.25">
      <c r="A13" s="2">
        <v>2</v>
      </c>
      <c r="B13" s="170" t="s">
        <v>153</v>
      </c>
      <c r="C13" s="197" t="s">
        <v>327</v>
      </c>
      <c r="D13" s="2" t="s">
        <v>155</v>
      </c>
      <c r="E13" s="2">
        <v>2</v>
      </c>
      <c r="F13" s="32">
        <v>4887.5798722045001</v>
      </c>
      <c r="G13" s="32">
        <f>E13*F13</f>
        <v>9775.1597444090003</v>
      </c>
    </row>
    <row r="14" spans="1:7" ht="38.25" customHeight="1" x14ac:dyDescent="0.25">
      <c r="A14" s="2">
        <v>3</v>
      </c>
      <c r="B14" s="170" t="s">
        <v>153</v>
      </c>
      <c r="C14" s="197" t="s">
        <v>328</v>
      </c>
      <c r="D14" s="2" t="s">
        <v>155</v>
      </c>
      <c r="E14" s="2">
        <v>2</v>
      </c>
      <c r="F14" s="32">
        <v>4046.8706070287999</v>
      </c>
      <c r="G14" s="32">
        <f>E14*F14</f>
        <v>8093.7412140575998</v>
      </c>
    </row>
    <row r="15" spans="1:7" ht="25.5" customHeight="1" x14ac:dyDescent="0.25">
      <c r="A15" s="2"/>
      <c r="B15" s="8"/>
      <c r="C15" s="8" t="s">
        <v>329</v>
      </c>
      <c r="D15" s="8"/>
      <c r="E15" s="47"/>
      <c r="F15" s="103"/>
      <c r="G15" s="32">
        <f>SUM(G12:G14)</f>
        <v>1302951.4025558999</v>
      </c>
    </row>
    <row r="16" spans="1:7" ht="19.5" customHeight="1" x14ac:dyDescent="0.25">
      <c r="A16" s="2"/>
      <c r="B16" s="8"/>
      <c r="C16" s="8" t="s">
        <v>330</v>
      </c>
      <c r="D16" s="8"/>
      <c r="E16" s="47"/>
      <c r="F16" s="103"/>
      <c r="G16" s="32">
        <f>G10+G15</f>
        <v>1302951.4025558999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4" t="s">
        <v>75</v>
      </c>
      <c r="C18" s="12"/>
    </row>
    <row r="19" spans="1:7" x14ac:dyDescent="0.25">
      <c r="B19" s="33" t="s">
        <v>76</v>
      </c>
      <c r="C19" s="12"/>
    </row>
    <row r="20" spans="1:7" x14ac:dyDescent="0.25">
      <c r="B20" s="4"/>
      <c r="C20" s="12"/>
    </row>
    <row r="21" spans="1:7" x14ac:dyDescent="0.25">
      <c r="B21" s="4" t="s">
        <v>77</v>
      </c>
      <c r="C21" s="12"/>
    </row>
    <row r="22" spans="1:7" x14ac:dyDescent="0.25">
      <c r="B22" s="33" t="s">
        <v>78</v>
      </c>
      <c r="C22" s="1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331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0" t="s">
        <v>332</v>
      </c>
      <c r="B3" s="230"/>
      <c r="C3" s="230"/>
      <c r="D3" s="230"/>
    </row>
    <row r="4" spans="1:5" ht="24.75" customHeight="1" x14ac:dyDescent="0.25">
      <c r="A4" s="143"/>
      <c r="B4" s="143"/>
      <c r="C4" s="143"/>
      <c r="D4" s="143"/>
    </row>
    <row r="5" spans="1:5" ht="54.75" customHeight="1" x14ac:dyDescent="0.25">
      <c r="A5" s="233" t="s">
        <v>333</v>
      </c>
      <c r="B5" s="233"/>
      <c r="C5" s="233"/>
      <c r="D5" s="220" t="str">
        <f>'Прил.5 Расчет СМР и ОБ'!D6</f>
        <v xml:space="preserve"> Элементы ПС без устройства фундаментов. Цифровой ТТ на три фазы  110 кВ</v>
      </c>
    </row>
    <row r="6" spans="1:5" ht="19.899999999999999" customHeight="1" x14ac:dyDescent="0.25">
      <c r="A6" s="233" t="s">
        <v>50</v>
      </c>
      <c r="B6" s="233"/>
      <c r="C6" s="233"/>
      <c r="D6" s="220"/>
    </row>
    <row r="7" spans="1:5" x14ac:dyDescent="0.25">
      <c r="A7" s="4"/>
      <c r="B7" s="4"/>
      <c r="C7" s="4"/>
      <c r="D7" s="4"/>
    </row>
    <row r="8" spans="1:5" ht="14.45" customHeight="1" x14ac:dyDescent="0.25">
      <c r="A8" s="245" t="s">
        <v>5</v>
      </c>
      <c r="B8" s="245" t="s">
        <v>6</v>
      </c>
      <c r="C8" s="245" t="s">
        <v>334</v>
      </c>
      <c r="D8" s="245" t="s">
        <v>335</v>
      </c>
    </row>
    <row r="9" spans="1:5" ht="15" customHeight="1" x14ac:dyDescent="0.25">
      <c r="A9" s="245"/>
      <c r="B9" s="245"/>
      <c r="C9" s="245"/>
      <c r="D9" s="245"/>
    </row>
    <row r="10" spans="1:5" x14ac:dyDescent="0.25">
      <c r="A10" s="221">
        <v>1</v>
      </c>
      <c r="B10" s="221">
        <v>2</v>
      </c>
      <c r="C10" s="221">
        <v>3</v>
      </c>
      <c r="D10" s="221">
        <v>4</v>
      </c>
    </row>
    <row r="11" spans="1:5" ht="41.45" customHeight="1" x14ac:dyDescent="0.25">
      <c r="A11" s="221" t="s">
        <v>336</v>
      </c>
      <c r="B11" s="221" t="s">
        <v>337</v>
      </c>
      <c r="C11" s="222" t="str">
        <f>D5</f>
        <v xml:space="preserve"> Элементы ПС без устройства фундаментов. Цифровой ТТ на три фазы  110 кВ</v>
      </c>
      <c r="D11" s="223">
        <f>'Прил.4 РМ'!C41/1000</f>
        <v>5252.7887199999996</v>
      </c>
      <c r="E11" s="142"/>
    </row>
    <row r="12" spans="1:5" x14ac:dyDescent="0.25">
      <c r="A12" s="30"/>
      <c r="B12" s="106"/>
      <c r="C12" s="30"/>
      <c r="D12" s="30"/>
    </row>
    <row r="13" spans="1:5" x14ac:dyDescent="0.25">
      <c r="B13" s="4" t="s">
        <v>75</v>
      </c>
      <c r="C13" s="12"/>
    </row>
    <row r="14" spans="1:5" x14ac:dyDescent="0.25">
      <c r="B14" s="33" t="s">
        <v>76</v>
      </c>
      <c r="C14" s="12"/>
    </row>
    <row r="15" spans="1:5" x14ac:dyDescent="0.25">
      <c r="B15" s="4"/>
      <c r="C15" s="12"/>
    </row>
    <row r="16" spans="1:5" x14ac:dyDescent="0.25">
      <c r="B16" s="4" t="s">
        <v>77</v>
      </c>
      <c r="C16" s="12"/>
    </row>
    <row r="17" spans="2:3" x14ac:dyDescent="0.25">
      <c r="B17" s="33" t="s">
        <v>78</v>
      </c>
      <c r="C17" s="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9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140625" customWidth="1"/>
    <col min="4" max="4" width="32" customWidth="1"/>
    <col min="5" max="5" width="9.140625" customWidth="1"/>
  </cols>
  <sheetData>
    <row r="4" spans="2:5" ht="15.75" customHeight="1" x14ac:dyDescent="0.25">
      <c r="B4" s="238" t="s">
        <v>338</v>
      </c>
      <c r="C4" s="238"/>
      <c r="D4" s="238"/>
    </row>
    <row r="5" spans="2:5" ht="18.75" customHeight="1" x14ac:dyDescent="0.25">
      <c r="B5" s="137"/>
    </row>
    <row r="6" spans="2:5" ht="15.75" customHeight="1" x14ac:dyDescent="0.25">
      <c r="B6" s="244" t="s">
        <v>339</v>
      </c>
      <c r="C6" s="244"/>
      <c r="D6" s="244"/>
    </row>
    <row r="7" spans="2:5" x14ac:dyDescent="0.25">
      <c r="B7" s="283" t="s">
        <v>340</v>
      </c>
      <c r="C7" s="283"/>
      <c r="D7" s="283"/>
      <c r="E7" s="283"/>
    </row>
    <row r="8" spans="2:5" x14ac:dyDescent="0.25">
      <c r="B8" s="157"/>
      <c r="C8" s="157"/>
      <c r="D8" s="157"/>
      <c r="E8" s="157"/>
    </row>
    <row r="9" spans="2:5" ht="47.25" customHeight="1" x14ac:dyDescent="0.25">
      <c r="B9" s="117" t="s">
        <v>341</v>
      </c>
      <c r="C9" s="117" t="s">
        <v>342</v>
      </c>
      <c r="D9" s="117" t="s">
        <v>343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31.5" customHeight="1" x14ac:dyDescent="0.25">
      <c r="B11" s="117" t="s">
        <v>344</v>
      </c>
      <c r="C11" s="117" t="s">
        <v>345</v>
      </c>
      <c r="D11" s="117">
        <v>44.29</v>
      </c>
    </row>
    <row r="12" spans="2:5" ht="31.5" customHeight="1" x14ac:dyDescent="0.25">
      <c r="B12" s="117" t="s">
        <v>346</v>
      </c>
      <c r="C12" s="117" t="s">
        <v>345</v>
      </c>
      <c r="D12" s="117">
        <v>13.47</v>
      </c>
    </row>
    <row r="13" spans="2:5" ht="31.5" customHeight="1" x14ac:dyDescent="0.25">
      <c r="B13" s="117" t="s">
        <v>347</v>
      </c>
      <c r="C13" s="117" t="s">
        <v>345</v>
      </c>
      <c r="D13" s="117">
        <v>8.0399999999999991</v>
      </c>
    </row>
    <row r="14" spans="2:5" ht="31.5" customHeight="1" x14ac:dyDescent="0.25">
      <c r="B14" s="117" t="s">
        <v>348</v>
      </c>
      <c r="C14" s="117" t="s">
        <v>349</v>
      </c>
      <c r="D14" s="117">
        <v>6.26</v>
      </c>
    </row>
    <row r="15" spans="2:5" ht="89.25" customHeight="1" x14ac:dyDescent="0.25">
      <c r="B15" s="117" t="s">
        <v>350</v>
      </c>
      <c r="C15" s="117" t="s">
        <v>351</v>
      </c>
      <c r="D15" s="138">
        <v>3.9E-2</v>
      </c>
    </row>
    <row r="16" spans="2:5" ht="78.75" customHeight="1" x14ac:dyDescent="0.25">
      <c r="B16" s="117" t="s">
        <v>352</v>
      </c>
      <c r="C16" s="117" t="s">
        <v>353</v>
      </c>
      <c r="D16" s="138">
        <v>2.1000000000000001E-2</v>
      </c>
    </row>
    <row r="17" spans="2:4" ht="15.75" customHeight="1" x14ac:dyDescent="0.25">
      <c r="B17" s="117" t="s">
        <v>354</v>
      </c>
      <c r="C17" s="117"/>
      <c r="D17" s="117" t="s">
        <v>355</v>
      </c>
    </row>
    <row r="18" spans="2:4" ht="31.5" customHeight="1" x14ac:dyDescent="0.25">
      <c r="B18" s="117" t="s">
        <v>261</v>
      </c>
      <c r="C18" s="117" t="s">
        <v>356</v>
      </c>
      <c r="D18" s="138">
        <v>2.1399999999999999E-2</v>
      </c>
    </row>
    <row r="19" spans="2:4" ht="31.5" customHeight="1" x14ac:dyDescent="0.25">
      <c r="B19" s="117" t="s">
        <v>283</v>
      </c>
      <c r="C19" s="117" t="s">
        <v>357</v>
      </c>
      <c r="D19" s="138">
        <v>2E-3</v>
      </c>
    </row>
    <row r="20" spans="2:4" ht="24" customHeight="1" x14ac:dyDescent="0.25">
      <c r="B20" s="117" t="s">
        <v>264</v>
      </c>
      <c r="C20" s="117" t="s">
        <v>358</v>
      </c>
      <c r="D20" s="138">
        <v>0.03</v>
      </c>
    </row>
    <row r="21" spans="2:4" ht="18.75" customHeight="1" x14ac:dyDescent="0.25">
      <c r="B21" s="116"/>
    </row>
    <row r="22" spans="2:4" ht="18.75" customHeight="1" x14ac:dyDescent="0.25">
      <c r="B22" s="116"/>
    </row>
    <row r="23" spans="2:4" ht="18.75" customHeight="1" x14ac:dyDescent="0.25">
      <c r="B23" s="116"/>
    </row>
    <row r="24" spans="2:4" ht="18.75" customHeight="1" x14ac:dyDescent="0.25">
      <c r="B24" s="116"/>
    </row>
    <row r="27" spans="2:4" x14ac:dyDescent="0.25">
      <c r="B27" s="4" t="s">
        <v>75</v>
      </c>
      <c r="C27" s="12"/>
    </row>
    <row r="28" spans="2:4" x14ac:dyDescent="0.25">
      <c r="B28" s="3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77</v>
      </c>
      <c r="C30" s="12"/>
    </row>
    <row r="31" spans="2:4" x14ac:dyDescent="0.25">
      <c r="B31" s="3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44" t="s">
        <v>359</v>
      </c>
      <c r="B2" s="244"/>
      <c r="C2" s="244"/>
      <c r="D2" s="244"/>
      <c r="E2" s="244"/>
      <c r="F2" s="244"/>
    </row>
    <row r="4" spans="1:7" ht="18" customHeight="1" x14ac:dyDescent="0.25">
      <c r="A4" s="124" t="s">
        <v>360</v>
      </c>
      <c r="B4" s="125"/>
      <c r="C4" s="125"/>
      <c r="D4" s="125"/>
      <c r="E4" s="125"/>
      <c r="F4" s="125"/>
      <c r="G4" s="125"/>
    </row>
    <row r="5" spans="1:7" ht="15.75" customHeight="1" x14ac:dyDescent="0.25">
      <c r="A5" s="126" t="s">
        <v>13</v>
      </c>
      <c r="B5" s="126" t="s">
        <v>361</v>
      </c>
      <c r="C5" s="126" t="s">
        <v>362</v>
      </c>
      <c r="D5" s="126" t="s">
        <v>363</v>
      </c>
      <c r="E5" s="126" t="s">
        <v>364</v>
      </c>
      <c r="F5" s="126" t="s">
        <v>365</v>
      </c>
      <c r="G5" s="125"/>
    </row>
    <row r="6" spans="1:7" ht="15.75" customHeight="1" x14ac:dyDescent="0.25">
      <c r="A6" s="126">
        <v>1</v>
      </c>
      <c r="B6" s="126">
        <v>2</v>
      </c>
      <c r="C6" s="126">
        <v>3</v>
      </c>
      <c r="D6" s="126">
        <v>4</v>
      </c>
      <c r="E6" s="126">
        <v>5</v>
      </c>
      <c r="F6" s="126">
        <v>6</v>
      </c>
      <c r="G6" s="125"/>
    </row>
    <row r="7" spans="1:7" ht="110.25" customHeight="1" x14ac:dyDescent="0.25">
      <c r="A7" s="127" t="s">
        <v>366</v>
      </c>
      <c r="B7" s="128" t="s">
        <v>367</v>
      </c>
      <c r="C7" s="117" t="s">
        <v>368</v>
      </c>
      <c r="D7" s="117" t="s">
        <v>369</v>
      </c>
      <c r="E7" s="129">
        <v>47872.94</v>
      </c>
      <c r="F7" s="128" t="s">
        <v>370</v>
      </c>
      <c r="G7" s="125"/>
    </row>
    <row r="8" spans="1:7" ht="31.5" customHeight="1" x14ac:dyDescent="0.25">
      <c r="A8" s="127" t="s">
        <v>371</v>
      </c>
      <c r="B8" s="128" t="s">
        <v>372</v>
      </c>
      <c r="C8" s="117" t="s">
        <v>373</v>
      </c>
      <c r="D8" s="117" t="s">
        <v>374</v>
      </c>
      <c r="E8" s="129">
        <f>1973/12</f>
        <v>164.41666666667001</v>
      </c>
      <c r="F8" s="128" t="s">
        <v>375</v>
      </c>
      <c r="G8" s="130"/>
    </row>
    <row r="9" spans="1:7" ht="15.75" customHeight="1" x14ac:dyDescent="0.25">
      <c r="A9" s="127" t="s">
        <v>376</v>
      </c>
      <c r="B9" s="128" t="s">
        <v>377</v>
      </c>
      <c r="C9" s="117" t="s">
        <v>378</v>
      </c>
      <c r="D9" s="117" t="s">
        <v>369</v>
      </c>
      <c r="E9" s="129">
        <v>1</v>
      </c>
      <c r="F9" s="128"/>
      <c r="G9" s="130"/>
    </row>
    <row r="10" spans="1:7" ht="15.75" customHeight="1" x14ac:dyDescent="0.25">
      <c r="A10" s="127" t="s">
        <v>379</v>
      </c>
      <c r="B10" s="128" t="s">
        <v>380</v>
      </c>
      <c r="C10" s="117"/>
      <c r="D10" s="117"/>
      <c r="E10" s="131">
        <v>4</v>
      </c>
      <c r="F10" s="128" t="s">
        <v>381</v>
      </c>
      <c r="G10" s="130"/>
    </row>
    <row r="11" spans="1:7" ht="78.75" customHeight="1" x14ac:dyDescent="0.25">
      <c r="A11" s="127" t="s">
        <v>382</v>
      </c>
      <c r="B11" s="128" t="s">
        <v>383</v>
      </c>
      <c r="C11" s="117" t="s">
        <v>384</v>
      </c>
      <c r="D11" s="117" t="s">
        <v>369</v>
      </c>
      <c r="E11" s="132">
        <v>1.34</v>
      </c>
      <c r="F11" s="128" t="s">
        <v>385</v>
      </c>
      <c r="G11" s="125"/>
    </row>
    <row r="12" spans="1:7" ht="78.75" customHeight="1" x14ac:dyDescent="0.25">
      <c r="A12" s="127" t="s">
        <v>386</v>
      </c>
      <c r="B12" s="118" t="s">
        <v>387</v>
      </c>
      <c r="C12" s="117" t="s">
        <v>388</v>
      </c>
      <c r="D12" s="117" t="s">
        <v>369</v>
      </c>
      <c r="E12" s="133">
        <v>1.139</v>
      </c>
      <c r="F12" s="134" t="s">
        <v>389</v>
      </c>
      <c r="G12" s="130" t="s">
        <v>390</v>
      </c>
    </row>
    <row r="13" spans="1:7" ht="63" customHeight="1" x14ac:dyDescent="0.25">
      <c r="A13" s="127" t="s">
        <v>391</v>
      </c>
      <c r="B13" s="135" t="s">
        <v>392</v>
      </c>
      <c r="C13" s="117" t="s">
        <v>393</v>
      </c>
      <c r="D13" s="117" t="s">
        <v>394</v>
      </c>
      <c r="E13" s="136">
        <f>((E7*E9/E8)*E11)*E12</f>
        <v>444.39870291576</v>
      </c>
      <c r="F13" s="128" t="s">
        <v>395</v>
      </c>
      <c r="G13" s="125"/>
    </row>
    <row r="14" spans="1:7" ht="15.75" customHeight="1" x14ac:dyDescent="0.25">
      <c r="A14" s="125"/>
      <c r="B14" s="121" t="s">
        <v>110</v>
      </c>
      <c r="C14" s="125"/>
      <c r="D14" s="125"/>
      <c r="E14" s="125"/>
      <c r="F14" s="125"/>
    </row>
    <row r="15" spans="1:7" ht="110.25" customHeight="1" x14ac:dyDescent="0.25">
      <c r="A15" s="127" t="s">
        <v>366</v>
      </c>
      <c r="B15" s="128" t="s">
        <v>367</v>
      </c>
      <c r="C15" s="117" t="s">
        <v>368</v>
      </c>
      <c r="D15" s="117" t="s">
        <v>369</v>
      </c>
      <c r="E15" s="129">
        <v>47872.94</v>
      </c>
      <c r="F15" s="128" t="s">
        <v>370</v>
      </c>
    </row>
    <row r="16" spans="1:7" ht="31.5" customHeight="1" x14ac:dyDescent="0.25">
      <c r="A16" s="127" t="s">
        <v>371</v>
      </c>
      <c r="B16" s="128" t="s">
        <v>372</v>
      </c>
      <c r="C16" s="117" t="s">
        <v>373</v>
      </c>
      <c r="D16" s="117" t="s">
        <v>374</v>
      </c>
      <c r="E16" s="129">
        <f>1973/12</f>
        <v>164.41666666667001</v>
      </c>
      <c r="F16" s="128" t="s">
        <v>375</v>
      </c>
    </row>
    <row r="17" spans="1:6" ht="15.75" customHeight="1" x14ac:dyDescent="0.25">
      <c r="A17" s="127" t="s">
        <v>376</v>
      </c>
      <c r="B17" s="128" t="s">
        <v>377</v>
      </c>
      <c r="C17" s="117" t="s">
        <v>378</v>
      </c>
      <c r="D17" s="117" t="s">
        <v>369</v>
      </c>
      <c r="E17" s="129">
        <v>1</v>
      </c>
      <c r="F17" s="128"/>
    </row>
    <row r="18" spans="1:6" ht="15.75" customHeight="1" x14ac:dyDescent="0.25">
      <c r="A18" s="127" t="s">
        <v>379</v>
      </c>
      <c r="B18" s="128" t="s">
        <v>380</v>
      </c>
      <c r="C18" s="117"/>
      <c r="D18" s="117"/>
      <c r="E18" s="131">
        <v>1</v>
      </c>
      <c r="F18" s="128" t="s">
        <v>381</v>
      </c>
    </row>
    <row r="19" spans="1:6" ht="78.75" customHeight="1" x14ac:dyDescent="0.25">
      <c r="A19" s="127" t="s">
        <v>382</v>
      </c>
      <c r="B19" s="128" t="s">
        <v>383</v>
      </c>
      <c r="C19" s="117" t="s">
        <v>384</v>
      </c>
      <c r="D19" s="117" t="s">
        <v>369</v>
      </c>
      <c r="E19" s="132">
        <v>2.15</v>
      </c>
      <c r="F19" s="128" t="s">
        <v>396</v>
      </c>
    </row>
    <row r="20" spans="1:6" ht="78.75" customHeight="1" x14ac:dyDescent="0.25">
      <c r="A20" s="127" t="s">
        <v>386</v>
      </c>
      <c r="B20" s="118" t="s">
        <v>387</v>
      </c>
      <c r="C20" s="117" t="s">
        <v>388</v>
      </c>
      <c r="D20" s="117" t="s">
        <v>369</v>
      </c>
      <c r="E20" s="133">
        <v>1.139</v>
      </c>
      <c r="F20" s="134" t="s">
        <v>389</v>
      </c>
    </row>
    <row r="21" spans="1:6" ht="63" customHeight="1" x14ac:dyDescent="0.25">
      <c r="A21" s="127" t="s">
        <v>391</v>
      </c>
      <c r="B21" s="135" t="s">
        <v>397</v>
      </c>
      <c r="C21" s="117" t="s">
        <v>393</v>
      </c>
      <c r="D21" s="117" t="s">
        <v>394</v>
      </c>
      <c r="E21" s="136">
        <f>((E15*E17/E16)*E19)*E20</f>
        <v>713.02776960364997</v>
      </c>
      <c r="F21" s="128" t="s">
        <v>395</v>
      </c>
    </row>
    <row r="22" spans="1:6" ht="15.75" customHeight="1" x14ac:dyDescent="0.25">
      <c r="A22" s="125"/>
      <c r="B22" s="121" t="s">
        <v>114</v>
      </c>
      <c r="C22" s="125"/>
      <c r="D22" s="125"/>
      <c r="E22" s="125"/>
      <c r="F22" s="125"/>
    </row>
    <row r="23" spans="1:6" ht="110.25" customHeight="1" x14ac:dyDescent="0.25">
      <c r="A23" s="127" t="s">
        <v>366</v>
      </c>
      <c r="B23" s="128" t="s">
        <v>367</v>
      </c>
      <c r="C23" s="117" t="s">
        <v>368</v>
      </c>
      <c r="D23" s="117" t="s">
        <v>369</v>
      </c>
      <c r="E23" s="129">
        <v>47872.94</v>
      </c>
      <c r="F23" s="128" t="s">
        <v>370</v>
      </c>
    </row>
    <row r="24" spans="1:6" ht="31.5" customHeight="1" x14ac:dyDescent="0.25">
      <c r="A24" s="127" t="s">
        <v>371</v>
      </c>
      <c r="B24" s="128" t="s">
        <v>372</v>
      </c>
      <c r="C24" s="117" t="s">
        <v>373</v>
      </c>
      <c r="D24" s="117" t="s">
        <v>374</v>
      </c>
      <c r="E24" s="129">
        <f>1973/12</f>
        <v>164.41666666667001</v>
      </c>
      <c r="F24" s="128" t="s">
        <v>375</v>
      </c>
    </row>
    <row r="25" spans="1:6" ht="15.75" customHeight="1" x14ac:dyDescent="0.25">
      <c r="A25" s="127" t="s">
        <v>376</v>
      </c>
      <c r="B25" s="128" t="s">
        <v>377</v>
      </c>
      <c r="C25" s="117" t="s">
        <v>378</v>
      </c>
      <c r="D25" s="117" t="s">
        <v>369</v>
      </c>
      <c r="E25" s="129">
        <v>1</v>
      </c>
      <c r="F25" s="128"/>
    </row>
    <row r="26" spans="1:6" ht="15.75" customHeight="1" x14ac:dyDescent="0.25">
      <c r="A26" s="127" t="s">
        <v>379</v>
      </c>
      <c r="B26" s="128" t="s">
        <v>380</v>
      </c>
      <c r="C26" s="117"/>
      <c r="D26" s="117"/>
      <c r="E26" s="131">
        <v>1</v>
      </c>
      <c r="F26" s="128" t="s">
        <v>381</v>
      </c>
    </row>
    <row r="27" spans="1:6" ht="78.75" customHeight="1" x14ac:dyDescent="0.25">
      <c r="A27" s="127" t="s">
        <v>382</v>
      </c>
      <c r="B27" s="128" t="s">
        <v>383</v>
      </c>
      <c r="C27" s="117" t="s">
        <v>384</v>
      </c>
      <c r="D27" s="117" t="s">
        <v>369</v>
      </c>
      <c r="E27" s="132">
        <v>1.96</v>
      </c>
      <c r="F27" s="128" t="s">
        <v>396</v>
      </c>
    </row>
    <row r="28" spans="1:6" ht="78.75" customHeight="1" x14ac:dyDescent="0.25">
      <c r="A28" s="127" t="s">
        <v>386</v>
      </c>
      <c r="B28" s="118" t="s">
        <v>387</v>
      </c>
      <c r="C28" s="117" t="s">
        <v>388</v>
      </c>
      <c r="D28" s="117" t="s">
        <v>369</v>
      </c>
      <c r="E28" s="133">
        <v>1.139</v>
      </c>
      <c r="F28" s="134" t="s">
        <v>389</v>
      </c>
    </row>
    <row r="29" spans="1:6" ht="63" customHeight="1" x14ac:dyDescent="0.25">
      <c r="A29" s="127" t="s">
        <v>391</v>
      </c>
      <c r="B29" s="135" t="s">
        <v>397</v>
      </c>
      <c r="C29" s="117" t="s">
        <v>393</v>
      </c>
      <c r="D29" s="117" t="s">
        <v>394</v>
      </c>
      <c r="E29" s="136">
        <f>((E23*E25/E24)*E27)*E28</f>
        <v>650.01601322007002</v>
      </c>
      <c r="F29" s="128" t="s">
        <v>395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6" sqref="G16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4" t="s">
        <v>398</v>
      </c>
      <c r="B2" s="284"/>
      <c r="C2" s="284"/>
      <c r="D2" s="284"/>
      <c r="E2" s="284"/>
      <c r="F2" s="284"/>
    </row>
    <row r="4" spans="1:7" ht="18" customHeight="1" x14ac:dyDescent="0.25">
      <c r="A4" s="159" t="s">
        <v>360</v>
      </c>
    </row>
    <row r="5" spans="1:7" x14ac:dyDescent="0.25">
      <c r="A5" s="58" t="s">
        <v>13</v>
      </c>
      <c r="B5" s="58" t="s">
        <v>361</v>
      </c>
      <c r="C5" s="58" t="s">
        <v>362</v>
      </c>
      <c r="D5" s="58" t="s">
        <v>363</v>
      </c>
      <c r="E5" s="58" t="s">
        <v>364</v>
      </c>
      <c r="F5" s="58" t="s">
        <v>365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0" t="s">
        <v>366</v>
      </c>
      <c r="B7" s="63" t="s">
        <v>367</v>
      </c>
      <c r="C7" s="54" t="s">
        <v>399</v>
      </c>
      <c r="D7" s="54" t="s">
        <v>369</v>
      </c>
      <c r="E7" s="61">
        <v>43361</v>
      </c>
      <c r="F7" s="63" t="s">
        <v>370</v>
      </c>
    </row>
    <row r="8" spans="1:7" ht="30" customHeight="1" x14ac:dyDescent="0.25">
      <c r="A8" s="160" t="s">
        <v>371</v>
      </c>
      <c r="B8" s="63" t="s">
        <v>372</v>
      </c>
      <c r="C8" s="54" t="s">
        <v>400</v>
      </c>
      <c r="D8" s="54" t="s">
        <v>374</v>
      </c>
      <c r="E8" s="61">
        <f>1973/12</f>
        <v>164.41666666667001</v>
      </c>
      <c r="F8" s="63" t="s">
        <v>375</v>
      </c>
      <c r="G8" s="161"/>
    </row>
    <row r="9" spans="1:7" x14ac:dyDescent="0.25">
      <c r="A9" s="160" t="s">
        <v>376</v>
      </c>
      <c r="B9" s="63" t="s">
        <v>377</v>
      </c>
      <c r="C9" s="54" t="s">
        <v>378</v>
      </c>
      <c r="D9" s="54" t="s">
        <v>369</v>
      </c>
      <c r="E9" s="61">
        <v>1</v>
      </c>
      <c r="F9" s="63"/>
      <c r="G9" s="162"/>
    </row>
    <row r="10" spans="1:7" x14ac:dyDescent="0.25">
      <c r="A10" s="160" t="s">
        <v>379</v>
      </c>
      <c r="B10" s="63" t="s">
        <v>380</v>
      </c>
      <c r="C10" s="54"/>
      <c r="D10" s="54"/>
      <c r="E10" s="163">
        <v>1</v>
      </c>
      <c r="F10" s="63" t="s">
        <v>381</v>
      </c>
      <c r="G10" s="162"/>
    </row>
    <row r="11" spans="1:7" ht="75" customHeight="1" x14ac:dyDescent="0.25">
      <c r="A11" s="160" t="s">
        <v>382</v>
      </c>
      <c r="B11" s="63" t="s">
        <v>383</v>
      </c>
      <c r="C11" s="54" t="s">
        <v>401</v>
      </c>
      <c r="D11" s="54" t="s">
        <v>369</v>
      </c>
      <c r="E11" s="164">
        <v>2.15</v>
      </c>
      <c r="F11" s="63" t="s">
        <v>396</v>
      </c>
    </row>
    <row r="12" spans="1:7" ht="75" customHeight="1" x14ac:dyDescent="0.25">
      <c r="A12" s="160" t="s">
        <v>386</v>
      </c>
      <c r="B12" s="165" t="s">
        <v>387</v>
      </c>
      <c r="C12" s="54" t="s">
        <v>402</v>
      </c>
      <c r="D12" s="54" t="s">
        <v>369</v>
      </c>
      <c r="E12" s="166">
        <v>1.139</v>
      </c>
      <c r="F12" s="167" t="s">
        <v>389</v>
      </c>
      <c r="G12" s="162" t="s">
        <v>390</v>
      </c>
    </row>
    <row r="13" spans="1:7" ht="60" customHeight="1" x14ac:dyDescent="0.25">
      <c r="A13" s="160" t="s">
        <v>391</v>
      </c>
      <c r="B13" s="168" t="s">
        <v>403</v>
      </c>
      <c r="C13" s="54" t="s">
        <v>404</v>
      </c>
      <c r="D13" s="54" t="s">
        <v>405</v>
      </c>
      <c r="E13" s="169">
        <f>((E7*E9/E8)*E11)*E12</f>
        <v>645.82616229093003</v>
      </c>
      <c r="F13" s="63" t="s">
        <v>395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4" t="s">
        <v>398</v>
      </c>
      <c r="B2" s="284"/>
      <c r="C2" s="284"/>
      <c r="D2" s="284"/>
      <c r="E2" s="284"/>
      <c r="F2" s="284"/>
    </row>
    <row r="4" spans="1:7" ht="18" customHeight="1" x14ac:dyDescent="0.25">
      <c r="A4" s="159" t="s">
        <v>360</v>
      </c>
    </row>
    <row r="5" spans="1:7" x14ac:dyDescent="0.25">
      <c r="A5" s="58" t="s">
        <v>13</v>
      </c>
      <c r="B5" s="58" t="s">
        <v>361</v>
      </c>
      <c r="C5" s="58" t="s">
        <v>362</v>
      </c>
      <c r="D5" s="58" t="s">
        <v>363</v>
      </c>
      <c r="E5" s="58" t="s">
        <v>364</v>
      </c>
      <c r="F5" s="58" t="s">
        <v>365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0" t="s">
        <v>366</v>
      </c>
      <c r="B7" s="63" t="s">
        <v>367</v>
      </c>
      <c r="C7" s="54" t="s">
        <v>399</v>
      </c>
      <c r="D7" s="54" t="s">
        <v>369</v>
      </c>
      <c r="E7" s="61">
        <v>43361</v>
      </c>
      <c r="F7" s="63" t="s">
        <v>370</v>
      </c>
    </row>
    <row r="8" spans="1:7" ht="30" customHeight="1" x14ac:dyDescent="0.25">
      <c r="A8" s="160" t="s">
        <v>371</v>
      </c>
      <c r="B8" s="63" t="s">
        <v>372</v>
      </c>
      <c r="C8" s="54" t="s">
        <v>400</v>
      </c>
      <c r="D8" s="54" t="s">
        <v>374</v>
      </c>
      <c r="E8" s="61">
        <f>1973/12</f>
        <v>164.41666666667001</v>
      </c>
      <c r="F8" s="63" t="s">
        <v>375</v>
      </c>
      <c r="G8" s="161"/>
    </row>
    <row r="9" spans="1:7" x14ac:dyDescent="0.25">
      <c r="A9" s="160" t="s">
        <v>376</v>
      </c>
      <c r="B9" s="63" t="s">
        <v>377</v>
      </c>
      <c r="C9" s="54" t="s">
        <v>378</v>
      </c>
      <c r="D9" s="54" t="s">
        <v>369</v>
      </c>
      <c r="E9" s="61">
        <v>1</v>
      </c>
      <c r="F9" s="63"/>
      <c r="G9" s="162"/>
    </row>
    <row r="10" spans="1:7" x14ac:dyDescent="0.25">
      <c r="A10" s="160" t="s">
        <v>379</v>
      </c>
      <c r="B10" s="63" t="s">
        <v>380</v>
      </c>
      <c r="C10" s="54"/>
      <c r="D10" s="54"/>
      <c r="E10" s="163">
        <v>1</v>
      </c>
      <c r="F10" s="63" t="s">
        <v>381</v>
      </c>
      <c r="G10" s="162"/>
    </row>
    <row r="11" spans="1:7" ht="75" customHeight="1" x14ac:dyDescent="0.25">
      <c r="A11" s="160" t="s">
        <v>382</v>
      </c>
      <c r="B11" s="63" t="s">
        <v>383</v>
      </c>
      <c r="C11" s="54" t="s">
        <v>401</v>
      </c>
      <c r="D11" s="54" t="s">
        <v>369</v>
      </c>
      <c r="E11" s="164">
        <v>1.96</v>
      </c>
      <c r="F11" s="63" t="s">
        <v>396</v>
      </c>
    </row>
    <row r="12" spans="1:7" ht="75" customHeight="1" x14ac:dyDescent="0.25">
      <c r="A12" s="160" t="s">
        <v>386</v>
      </c>
      <c r="B12" s="165" t="s">
        <v>387</v>
      </c>
      <c r="C12" s="54" t="s">
        <v>402</v>
      </c>
      <c r="D12" s="54" t="s">
        <v>369</v>
      </c>
      <c r="E12" s="166">
        <v>1.139</v>
      </c>
      <c r="F12" s="167" t="s">
        <v>389</v>
      </c>
      <c r="G12" s="162" t="s">
        <v>390</v>
      </c>
    </row>
    <row r="13" spans="1:7" ht="60" customHeight="1" x14ac:dyDescent="0.25">
      <c r="A13" s="160" t="s">
        <v>391</v>
      </c>
      <c r="B13" s="168" t="s">
        <v>403</v>
      </c>
      <c r="C13" s="54" t="s">
        <v>404</v>
      </c>
      <c r="D13" s="54" t="s">
        <v>405</v>
      </c>
      <c r="E13" s="169">
        <f>((E7*E9/E8)*E11)*E12</f>
        <v>588.75315260009995</v>
      </c>
      <c r="F13" s="63" t="s">
        <v>395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85" t="s">
        <v>406</v>
      </c>
      <c r="B1" s="285"/>
      <c r="C1" s="285"/>
      <c r="D1" s="285"/>
      <c r="E1" s="285"/>
      <c r="F1" s="285"/>
      <c r="G1" s="285"/>
      <c r="H1" s="285"/>
      <c r="I1" s="285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3" t="str">
        <f>'Прил. 3'!A6</f>
        <v>Наименование разрабатываемого показателя УНЦ - Элементы ПС без устройства фундаментов. Цифровой ТТ на три фазы 110 кВ.</v>
      </c>
      <c r="B3" s="233"/>
      <c r="C3" s="233"/>
      <c r="D3" s="233"/>
      <c r="E3" s="233"/>
      <c r="F3" s="233"/>
      <c r="G3" s="233"/>
      <c r="H3" s="233"/>
      <c r="I3" s="233"/>
    </row>
    <row r="4" spans="1:13" s="4" customFormat="1" ht="15.75" customHeight="1" x14ac:dyDescent="0.2">
      <c r="A4" s="258"/>
      <c r="B4" s="258"/>
      <c r="C4" s="258"/>
      <c r="D4" s="258"/>
      <c r="E4" s="258"/>
      <c r="F4" s="258"/>
      <c r="G4" s="258"/>
      <c r="H4" s="258"/>
      <c r="I4" s="258"/>
    </row>
    <row r="5" spans="1:13" s="36" customFormat="1" ht="36.6" customHeight="1" x14ac:dyDescent="0.35">
      <c r="A5" s="286" t="s">
        <v>13</v>
      </c>
      <c r="B5" s="286" t="s">
        <v>407</v>
      </c>
      <c r="C5" s="286" t="s">
        <v>408</v>
      </c>
      <c r="D5" s="286" t="s">
        <v>409</v>
      </c>
      <c r="E5" s="282" t="s">
        <v>410</v>
      </c>
      <c r="F5" s="282"/>
      <c r="G5" s="282"/>
      <c r="H5" s="282"/>
      <c r="I5" s="282"/>
    </row>
    <row r="6" spans="1:13" s="30" customFormat="1" ht="31.5" customHeight="1" x14ac:dyDescent="0.2">
      <c r="A6" s="286"/>
      <c r="B6" s="286"/>
      <c r="C6" s="286"/>
      <c r="D6" s="286"/>
      <c r="E6" s="37" t="s">
        <v>86</v>
      </c>
      <c r="F6" s="37" t="s">
        <v>87</v>
      </c>
      <c r="G6" s="37" t="s">
        <v>43</v>
      </c>
      <c r="H6" s="37" t="s">
        <v>411</v>
      </c>
      <c r="I6" s="37" t="s">
        <v>412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256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413</v>
      </c>
      <c r="C9" s="8" t="s">
        <v>414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415</v>
      </c>
      <c r="C11" s="8" t="s">
        <v>352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416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417</v>
      </c>
      <c r="C12" s="8" t="s">
        <v>418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419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356</v>
      </c>
      <c r="C14" s="8" t="s">
        <v>420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421</v>
      </c>
      <c r="C16" s="8" t="s">
        <v>422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423</v>
      </c>
    </row>
    <row r="17" spans="1:10" s="30" customFormat="1" ht="81.75" customHeight="1" x14ac:dyDescent="0.2">
      <c r="A17" s="38">
        <v>7</v>
      </c>
      <c r="B17" s="8" t="s">
        <v>421</v>
      </c>
      <c r="C17" s="8" t="s">
        <v>424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425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426</v>
      </c>
      <c r="C20" s="8" t="s">
        <v>264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427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267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268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269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270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88" t="s">
        <v>428</v>
      </c>
      <c r="O2" s="288"/>
    </row>
    <row r="3" spans="1:16" x14ac:dyDescent="0.25">
      <c r="A3" s="284" t="s">
        <v>429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</row>
    <row r="5" spans="1:16" ht="37.5" customHeight="1" x14ac:dyDescent="0.25">
      <c r="A5" s="289" t="s">
        <v>430</v>
      </c>
      <c r="B5" s="292" t="s">
        <v>431</v>
      </c>
      <c r="C5" s="295" t="s">
        <v>432</v>
      </c>
      <c r="D5" s="298" t="s">
        <v>433</v>
      </c>
      <c r="E5" s="299"/>
      <c r="F5" s="299"/>
      <c r="G5" s="299"/>
      <c r="H5" s="299"/>
      <c r="I5" s="298" t="s">
        <v>434</v>
      </c>
      <c r="J5" s="299"/>
      <c r="K5" s="299"/>
      <c r="L5" s="299"/>
      <c r="M5" s="299"/>
      <c r="N5" s="299"/>
      <c r="O5" s="54" t="s">
        <v>435</v>
      </c>
    </row>
    <row r="6" spans="1:16" s="57" customFormat="1" ht="150" customHeight="1" x14ac:dyDescent="0.25">
      <c r="A6" s="290"/>
      <c r="B6" s="293"/>
      <c r="C6" s="296"/>
      <c r="D6" s="295" t="s">
        <v>436</v>
      </c>
      <c r="E6" s="300" t="s">
        <v>437</v>
      </c>
      <c r="F6" s="301"/>
      <c r="G6" s="302"/>
      <c r="H6" s="55" t="s">
        <v>438</v>
      </c>
      <c r="I6" s="303" t="s">
        <v>439</v>
      </c>
      <c r="J6" s="303" t="s">
        <v>436</v>
      </c>
      <c r="K6" s="304" t="s">
        <v>437</v>
      </c>
      <c r="L6" s="304"/>
      <c r="M6" s="304"/>
      <c r="N6" s="55" t="s">
        <v>438</v>
      </c>
      <c r="O6" s="56" t="s">
        <v>440</v>
      </c>
    </row>
    <row r="7" spans="1:16" s="57" customFormat="1" ht="30.75" customHeight="1" x14ac:dyDescent="0.25">
      <c r="A7" s="291"/>
      <c r="B7" s="294"/>
      <c r="C7" s="297"/>
      <c r="D7" s="297"/>
      <c r="E7" s="54" t="s">
        <v>86</v>
      </c>
      <c r="F7" s="54" t="s">
        <v>87</v>
      </c>
      <c r="G7" s="54" t="s">
        <v>43</v>
      </c>
      <c r="H7" s="58" t="s">
        <v>441</v>
      </c>
      <c r="I7" s="303"/>
      <c r="J7" s="303"/>
      <c r="K7" s="54" t="s">
        <v>86</v>
      </c>
      <c r="L7" s="54" t="s">
        <v>87</v>
      </c>
      <c r="M7" s="54" t="s">
        <v>43</v>
      </c>
      <c r="N7" s="58" t="s">
        <v>441</v>
      </c>
      <c r="O7" s="54" t="s">
        <v>442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89" t="s">
        <v>443</v>
      </c>
      <c r="C9" s="60" t="s">
        <v>444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1"/>
      <c r="C10" s="63" t="s">
        <v>445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89" t="s">
        <v>446</v>
      </c>
      <c r="C11" s="63" t="s">
        <v>447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1"/>
      <c r="C12" s="63" t="s">
        <v>448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89" t="s">
        <v>449</v>
      </c>
      <c r="C13" s="60" t="s">
        <v>450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1"/>
      <c r="C14" s="63" t="s">
        <v>451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452</v>
      </c>
      <c r="C15" s="63" t="s">
        <v>453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454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455</v>
      </c>
    </row>
    <row r="19" spans="1:15" ht="30.75" customHeight="1" x14ac:dyDescent="0.25">
      <c r="L19" s="75"/>
    </row>
    <row r="20" spans="1:15" ht="15" customHeight="1" outlineLevel="1" x14ac:dyDescent="0.25">
      <c r="G20" s="287" t="s">
        <v>456</v>
      </c>
      <c r="H20" s="287"/>
      <c r="I20" s="287"/>
      <c r="J20" s="287"/>
      <c r="K20" s="287"/>
      <c r="L20" s="287"/>
      <c r="M20" s="287"/>
      <c r="N20" s="287"/>
    </row>
    <row r="21" spans="1:15" ht="15.75" customHeight="1" outlineLevel="1" x14ac:dyDescent="0.25">
      <c r="G21" s="76"/>
      <c r="H21" s="76" t="s">
        <v>457</v>
      </c>
      <c r="I21" s="76" t="s">
        <v>458</v>
      </c>
      <c r="J21" s="76" t="s">
        <v>459</v>
      </c>
      <c r="K21" s="77" t="s">
        <v>460</v>
      </c>
      <c r="L21" s="76" t="s">
        <v>461</v>
      </c>
      <c r="M21" s="76" t="s">
        <v>462</v>
      </c>
      <c r="N21" s="76" t="s">
        <v>463</v>
      </c>
      <c r="O21" s="70"/>
    </row>
    <row r="22" spans="1:15" ht="15.75" customHeight="1" outlineLevel="1" x14ac:dyDescent="0.25">
      <c r="G22" s="306" t="s">
        <v>464</v>
      </c>
      <c r="H22" s="305">
        <v>6.09</v>
      </c>
      <c r="I22" s="307">
        <v>6.44</v>
      </c>
      <c r="J22" s="305">
        <v>5.77</v>
      </c>
      <c r="K22" s="307">
        <v>5.77</v>
      </c>
      <c r="L22" s="305">
        <v>5.23</v>
      </c>
      <c r="M22" s="305">
        <v>5.77</v>
      </c>
      <c r="N22" s="78">
        <v>6.29</v>
      </c>
      <c r="O22" t="s">
        <v>465</v>
      </c>
    </row>
    <row r="23" spans="1:15" ht="15.75" customHeight="1" outlineLevel="1" x14ac:dyDescent="0.25">
      <c r="G23" s="306"/>
      <c r="H23" s="305"/>
      <c r="I23" s="307"/>
      <c r="J23" s="305"/>
      <c r="K23" s="307"/>
      <c r="L23" s="305"/>
      <c r="M23" s="305"/>
      <c r="N23" s="78">
        <v>6.56</v>
      </c>
      <c r="O23" t="s">
        <v>466</v>
      </c>
    </row>
    <row r="24" spans="1:15" ht="15.75" customHeight="1" outlineLevel="1" x14ac:dyDescent="0.25">
      <c r="G24" s="79" t="s">
        <v>467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441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468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469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411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23" t="s">
        <v>470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</row>
    <row r="4" spans="1:18" ht="36.75" customHeight="1" x14ac:dyDescent="0.25">
      <c r="A4" s="289" t="s">
        <v>430</v>
      </c>
      <c r="B4" s="292" t="s">
        <v>431</v>
      </c>
      <c r="C4" s="295" t="s">
        <v>471</v>
      </c>
      <c r="D4" s="295" t="s">
        <v>472</v>
      </c>
      <c r="E4" s="298" t="s">
        <v>473</v>
      </c>
      <c r="F4" s="299"/>
      <c r="G4" s="299"/>
      <c r="H4" s="299"/>
      <c r="I4" s="299"/>
      <c r="J4" s="299"/>
      <c r="K4" s="299"/>
      <c r="L4" s="299"/>
      <c r="M4" s="299"/>
      <c r="N4" s="324" t="s">
        <v>474</v>
      </c>
      <c r="O4" s="325"/>
      <c r="P4" s="325"/>
      <c r="Q4" s="325"/>
      <c r="R4" s="326"/>
    </row>
    <row r="5" spans="1:18" ht="60" customHeight="1" x14ac:dyDescent="0.25">
      <c r="A5" s="290"/>
      <c r="B5" s="293"/>
      <c r="C5" s="296"/>
      <c r="D5" s="296"/>
      <c r="E5" s="303" t="s">
        <v>475</v>
      </c>
      <c r="F5" s="303" t="s">
        <v>476</v>
      </c>
      <c r="G5" s="300" t="s">
        <v>437</v>
      </c>
      <c r="H5" s="301"/>
      <c r="I5" s="301"/>
      <c r="J5" s="302"/>
      <c r="K5" s="303" t="s">
        <v>477</v>
      </c>
      <c r="L5" s="303"/>
      <c r="M5" s="303"/>
      <c r="N5" s="81" t="s">
        <v>478</v>
      </c>
      <c r="O5" s="81" t="s">
        <v>479</v>
      </c>
      <c r="P5" s="81" t="s">
        <v>480</v>
      </c>
      <c r="Q5" s="82" t="s">
        <v>481</v>
      </c>
      <c r="R5" s="81" t="s">
        <v>482</v>
      </c>
    </row>
    <row r="6" spans="1:18" ht="49.5" customHeight="1" x14ac:dyDescent="0.25">
      <c r="A6" s="291"/>
      <c r="B6" s="294"/>
      <c r="C6" s="297"/>
      <c r="D6" s="297"/>
      <c r="E6" s="303"/>
      <c r="F6" s="303"/>
      <c r="G6" s="54" t="s">
        <v>86</v>
      </c>
      <c r="H6" s="54" t="s">
        <v>87</v>
      </c>
      <c r="I6" s="54" t="s">
        <v>43</v>
      </c>
      <c r="J6" s="54" t="s">
        <v>411</v>
      </c>
      <c r="K6" s="54" t="s">
        <v>478</v>
      </c>
      <c r="L6" s="54" t="s">
        <v>479</v>
      </c>
      <c r="M6" s="54" t="s">
        <v>480</v>
      </c>
      <c r="N6" s="54" t="s">
        <v>483</v>
      </c>
      <c r="O6" s="54" t="s">
        <v>484</v>
      </c>
      <c r="P6" s="54" t="s">
        <v>485</v>
      </c>
      <c r="Q6" s="55" t="s">
        <v>486</v>
      </c>
      <c r="R6" s="54" t="s">
        <v>487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89">
        <v>1</v>
      </c>
      <c r="B9" s="289" t="s">
        <v>488</v>
      </c>
      <c r="C9" s="316" t="s">
        <v>444</v>
      </c>
      <c r="D9" s="60" t="s">
        <v>489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1"/>
      <c r="B10" s="290"/>
      <c r="C10" s="317"/>
      <c r="D10" s="60" t="s">
        <v>490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89">
        <v>2</v>
      </c>
      <c r="B11" s="290"/>
      <c r="C11" s="316" t="s">
        <v>491</v>
      </c>
      <c r="D11" s="60" t="s">
        <v>489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1"/>
      <c r="B12" s="291"/>
      <c r="C12" s="317"/>
      <c r="D12" s="60" t="s">
        <v>490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89">
        <v>3</v>
      </c>
      <c r="B13" s="289" t="s">
        <v>446</v>
      </c>
      <c r="C13" s="319" t="s">
        <v>447</v>
      </c>
      <c r="D13" s="60" t="s">
        <v>492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1"/>
      <c r="B14" s="290"/>
      <c r="C14" s="320"/>
      <c r="D14" s="60" t="s">
        <v>490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89">
        <v>4</v>
      </c>
      <c r="B15" s="290"/>
      <c r="C15" s="321" t="s">
        <v>448</v>
      </c>
      <c r="D15" s="63" t="s">
        <v>492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1"/>
      <c r="B16" s="291"/>
      <c r="C16" s="322"/>
      <c r="D16" s="63" t="s">
        <v>490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89">
        <v>5</v>
      </c>
      <c r="B17" s="304" t="s">
        <v>449</v>
      </c>
      <c r="C17" s="316" t="s">
        <v>493</v>
      </c>
      <c r="D17" s="60" t="s">
        <v>494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1"/>
      <c r="B18" s="304"/>
      <c r="C18" s="317"/>
      <c r="D18" s="60" t="s">
        <v>490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89">
        <v>6</v>
      </c>
      <c r="B19" s="304"/>
      <c r="C19" s="316" t="s">
        <v>451</v>
      </c>
      <c r="D19" s="63" t="s">
        <v>492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1"/>
      <c r="B20" s="304"/>
      <c r="C20" s="317"/>
      <c r="D20" s="63" t="s">
        <v>490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89">
        <v>7</v>
      </c>
      <c r="B21" s="289" t="s">
        <v>452</v>
      </c>
      <c r="C21" s="316" t="s">
        <v>453</v>
      </c>
      <c r="D21" s="63" t="s">
        <v>495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1"/>
      <c r="B22" s="291"/>
      <c r="C22" s="317"/>
      <c r="D22" s="86" t="s">
        <v>490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496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18" t="s">
        <v>497</v>
      </c>
      <c r="E26" s="318"/>
      <c r="F26" s="318"/>
      <c r="G26" s="318"/>
      <c r="H26" s="318"/>
      <c r="I26" s="318"/>
      <c r="J26" s="318"/>
      <c r="K26" s="318"/>
      <c r="L26" s="75"/>
      <c r="R26" s="93"/>
    </row>
    <row r="27" spans="1:18" outlineLevel="1" x14ac:dyDescent="0.25">
      <c r="D27" s="94"/>
      <c r="E27" s="94" t="s">
        <v>457</v>
      </c>
      <c r="F27" s="94" t="s">
        <v>458</v>
      </c>
      <c r="G27" s="94" t="s">
        <v>459</v>
      </c>
      <c r="H27" s="95" t="s">
        <v>460</v>
      </c>
      <c r="I27" s="95" t="s">
        <v>461</v>
      </c>
      <c r="J27" s="95" t="s">
        <v>462</v>
      </c>
      <c r="K27" s="66" t="s">
        <v>463</v>
      </c>
    </row>
    <row r="28" spans="1:18" outlineLevel="1" x14ac:dyDescent="0.25">
      <c r="D28" s="312" t="s">
        <v>464</v>
      </c>
      <c r="E28" s="310">
        <v>6.09</v>
      </c>
      <c r="F28" s="314">
        <v>6.63</v>
      </c>
      <c r="G28" s="310">
        <v>5.77</v>
      </c>
      <c r="H28" s="308">
        <v>5.77</v>
      </c>
      <c r="I28" s="308">
        <v>6.35</v>
      </c>
      <c r="J28" s="310">
        <v>5.77</v>
      </c>
      <c r="K28" s="96">
        <v>6.29</v>
      </c>
      <c r="L28" t="s">
        <v>465</v>
      </c>
    </row>
    <row r="29" spans="1:18" outlineLevel="1" x14ac:dyDescent="0.25">
      <c r="D29" s="313"/>
      <c r="E29" s="311"/>
      <c r="F29" s="315"/>
      <c r="G29" s="311"/>
      <c r="H29" s="309"/>
      <c r="I29" s="309"/>
      <c r="J29" s="311"/>
      <c r="K29" s="96">
        <v>6.56</v>
      </c>
      <c r="L29" t="s">
        <v>466</v>
      </c>
    </row>
    <row r="30" spans="1:18" outlineLevel="1" x14ac:dyDescent="0.25">
      <c r="D30" s="97" t="s">
        <v>467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2" t="s">
        <v>441</v>
      </c>
      <c r="E31" s="310">
        <v>11.37</v>
      </c>
      <c r="F31" s="314">
        <v>13.56</v>
      </c>
      <c r="G31" s="310">
        <v>15.91</v>
      </c>
      <c r="H31" s="308">
        <v>15.91</v>
      </c>
      <c r="I31" s="308">
        <v>14.03</v>
      </c>
      <c r="J31" s="310">
        <v>15.91</v>
      </c>
      <c r="K31" s="96">
        <v>8.2899999999999991</v>
      </c>
      <c r="L31" t="s">
        <v>465</v>
      </c>
    </row>
    <row r="32" spans="1:18" outlineLevel="1" x14ac:dyDescent="0.25">
      <c r="D32" s="313"/>
      <c r="E32" s="311"/>
      <c r="F32" s="315"/>
      <c r="G32" s="311"/>
      <c r="H32" s="309"/>
      <c r="I32" s="309"/>
      <c r="J32" s="311"/>
      <c r="K32" s="96">
        <v>11.84</v>
      </c>
      <c r="L32" t="s">
        <v>466</v>
      </c>
    </row>
    <row r="33" spans="4:12" ht="15" customHeight="1" outlineLevel="1" x14ac:dyDescent="0.25">
      <c r="D33" s="98" t="s">
        <v>468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498</v>
      </c>
    </row>
    <row r="34" spans="4:12" outlineLevel="1" x14ac:dyDescent="0.25">
      <c r="D34" s="98" t="s">
        <v>469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498</v>
      </c>
    </row>
    <row r="35" spans="4:12" outlineLevel="1" x14ac:dyDescent="0.25">
      <c r="D35" s="97" t="s">
        <v>411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0" t="s">
        <v>10</v>
      </c>
      <c r="B2" s="230"/>
      <c r="C2" s="230"/>
      <c r="D2" s="23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3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3"/>
    </row>
    <row r="5" spans="1:4" x14ac:dyDescent="0.25">
      <c r="A5" s="5"/>
      <c r="B5" s="1"/>
      <c r="C5" s="1"/>
    </row>
    <row r="6" spans="1:4" x14ac:dyDescent="0.25">
      <c r="A6" s="230" t="s">
        <v>12</v>
      </c>
      <c r="B6" s="230"/>
      <c r="C6" s="230"/>
      <c r="D6" s="23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1352.8885276414001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1302.9514025558999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1352.8885276414001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4" t="s">
        <v>5</v>
      </c>
      <c r="B15" s="235" t="s">
        <v>15</v>
      </c>
      <c r="C15" s="235"/>
      <c r="D15" s="235"/>
    </row>
    <row r="16" spans="1:4" x14ac:dyDescent="0.25">
      <c r="A16" s="234"/>
      <c r="B16" s="234" t="s">
        <v>17</v>
      </c>
      <c r="C16" s="235" t="s">
        <v>28</v>
      </c>
      <c r="D16" s="235"/>
    </row>
    <row r="17" spans="1:4" ht="39" customHeight="1" x14ac:dyDescent="0.25">
      <c r="A17" s="234"/>
      <c r="B17" s="234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1352.8885276414001</v>
      </c>
      <c r="C18" s="3">
        <f>C11</f>
        <v>0</v>
      </c>
      <c r="D18" s="3">
        <f>C12</f>
        <v>1302.9514025558999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6" t="s">
        <v>29</v>
      </c>
      <c r="B2" s="236"/>
      <c r="C2" s="236"/>
      <c r="D2" s="236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19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style="157" customWidth="1"/>
  </cols>
  <sheetData>
    <row r="3" spans="2:4" ht="15.75" customHeight="1" x14ac:dyDescent="0.25">
      <c r="B3" s="238" t="s">
        <v>45</v>
      </c>
      <c r="C3" s="238"/>
      <c r="D3" s="238"/>
    </row>
    <row r="4" spans="2:4" ht="18.75" customHeight="1" x14ac:dyDescent="0.25">
      <c r="B4" s="239" t="s">
        <v>46</v>
      </c>
      <c r="C4" s="239"/>
      <c r="D4" s="239"/>
    </row>
    <row r="5" spans="2:4" ht="84" customHeight="1" x14ac:dyDescent="0.25">
      <c r="B5" s="240" t="s">
        <v>47</v>
      </c>
      <c r="C5" s="240"/>
      <c r="D5" s="240"/>
    </row>
    <row r="6" spans="2:4" ht="18.75" customHeight="1" x14ac:dyDescent="0.25">
      <c r="B6" s="216"/>
      <c r="C6" s="216"/>
      <c r="D6" s="216"/>
    </row>
    <row r="7" spans="2:4" ht="42" customHeight="1" x14ac:dyDescent="0.25">
      <c r="B7" s="241" t="s">
        <v>48</v>
      </c>
      <c r="C7" s="241"/>
      <c r="D7" s="241"/>
    </row>
    <row r="8" spans="2:4" ht="31.5" customHeight="1" x14ac:dyDescent="0.25">
      <c r="B8" s="241" t="s">
        <v>49</v>
      </c>
      <c r="C8" s="241"/>
      <c r="D8" s="241"/>
    </row>
    <row r="9" spans="2:4" ht="15.75" customHeight="1" x14ac:dyDescent="0.25">
      <c r="B9" s="237" t="s">
        <v>50</v>
      </c>
      <c r="C9" s="237"/>
      <c r="D9" s="237"/>
    </row>
    <row r="10" spans="2:4" ht="18.75" customHeight="1" x14ac:dyDescent="0.25">
      <c r="B10" s="116"/>
    </row>
    <row r="11" spans="2:4" ht="15.75" customHeight="1" x14ac:dyDescent="0.25">
      <c r="B11" s="117" t="s">
        <v>33</v>
      </c>
      <c r="C11" s="117" t="s">
        <v>51</v>
      </c>
      <c r="D11" s="117" t="s">
        <v>52</v>
      </c>
    </row>
    <row r="12" spans="2:4" ht="63" customHeight="1" x14ac:dyDescent="0.25">
      <c r="B12" s="117">
        <v>1</v>
      </c>
      <c r="C12" s="118" t="s">
        <v>53</v>
      </c>
      <c r="D12" s="117" t="s">
        <v>54</v>
      </c>
    </row>
    <row r="13" spans="2:4" ht="31.5" customHeight="1" x14ac:dyDescent="0.25">
      <c r="B13" s="117">
        <v>2</v>
      </c>
      <c r="C13" s="118" t="s">
        <v>55</v>
      </c>
      <c r="D13" s="117" t="s">
        <v>56</v>
      </c>
    </row>
    <row r="14" spans="2:4" ht="15.75" customHeight="1" x14ac:dyDescent="0.25">
      <c r="B14" s="117">
        <v>3</v>
      </c>
      <c r="C14" s="118" t="s">
        <v>57</v>
      </c>
      <c r="D14" s="117" t="s">
        <v>58</v>
      </c>
    </row>
    <row r="15" spans="2:4" ht="15.75" customHeight="1" x14ac:dyDescent="0.25">
      <c r="B15" s="117">
        <v>4</v>
      </c>
      <c r="C15" s="118" t="s">
        <v>59</v>
      </c>
      <c r="D15" s="117">
        <v>2</v>
      </c>
    </row>
    <row r="16" spans="2:4" ht="107.25" customHeight="1" x14ac:dyDescent="0.25">
      <c r="B16" s="117">
        <v>5</v>
      </c>
      <c r="C16" s="119" t="s">
        <v>60</v>
      </c>
      <c r="D16" s="117" t="s">
        <v>61</v>
      </c>
    </row>
    <row r="17" spans="2:4" ht="95.25" customHeight="1" x14ac:dyDescent="0.25">
      <c r="B17" s="117">
        <v>6</v>
      </c>
      <c r="C17" s="119" t="s">
        <v>62</v>
      </c>
      <c r="D17" s="218">
        <f>SUM(D18:D21)</f>
        <v>5299.2558044721</v>
      </c>
    </row>
    <row r="18" spans="2:4" ht="15.75" customHeight="1" x14ac:dyDescent="0.25">
      <c r="B18" s="120" t="s">
        <v>63</v>
      </c>
      <c r="C18" s="118" t="s">
        <v>64</v>
      </c>
      <c r="D18" s="218">
        <f>'Прил.2 Расч стоим'!F12+'Прил.2 Расч стоим'!G12</f>
        <v>870.12747937999995</v>
      </c>
    </row>
    <row r="19" spans="2:4" ht="15.75" customHeight="1" x14ac:dyDescent="0.25">
      <c r="B19" s="120" t="s">
        <v>65</v>
      </c>
      <c r="C19" s="118" t="s">
        <v>66</v>
      </c>
      <c r="D19" s="218">
        <f>'Прил.2 Расч стоим'!H12</f>
        <v>4356.3186679999999</v>
      </c>
    </row>
    <row r="20" spans="2:4" ht="15.75" customHeight="1" x14ac:dyDescent="0.25">
      <c r="B20" s="120" t="s">
        <v>67</v>
      </c>
      <c r="C20" s="118" t="s">
        <v>68</v>
      </c>
      <c r="D20" s="218"/>
    </row>
    <row r="21" spans="2:4" ht="15.75" customHeight="1" x14ac:dyDescent="0.25">
      <c r="B21" s="120" t="s">
        <v>69</v>
      </c>
      <c r="C21" s="118" t="s">
        <v>70</v>
      </c>
      <c r="D21" s="218">
        <f>D18*3.9%+(D18*3.9%+D18)*4.3%</f>
        <v>72.809657092080002</v>
      </c>
    </row>
    <row r="22" spans="2:4" ht="15.75" customHeight="1" x14ac:dyDescent="0.25">
      <c r="B22" s="117">
        <v>7</v>
      </c>
      <c r="C22" s="118" t="s">
        <v>71</v>
      </c>
      <c r="D22" s="120" t="s">
        <v>72</v>
      </c>
    </row>
    <row r="23" spans="2:4" ht="110.25" customHeight="1" x14ac:dyDescent="0.25">
      <c r="B23" s="117">
        <v>8</v>
      </c>
      <c r="C23" s="119" t="s">
        <v>73</v>
      </c>
      <c r="D23" s="218">
        <f>D17</f>
        <v>5299.2558044721</v>
      </c>
    </row>
    <row r="24" spans="2:4" ht="47.25" customHeight="1" x14ac:dyDescent="0.25">
      <c r="B24" s="117">
        <v>9</v>
      </c>
      <c r="C24" s="119" t="s">
        <v>74</v>
      </c>
      <c r="D24" s="218">
        <f>D23/2</f>
        <v>2649.627902236</v>
      </c>
    </row>
    <row r="25" spans="2:4" ht="37.5" customHeight="1" x14ac:dyDescent="0.25">
      <c r="B25" s="121"/>
      <c r="C25" s="122"/>
      <c r="D25" s="219"/>
    </row>
    <row r="26" spans="2:4" x14ac:dyDescent="0.25">
      <c r="B26" s="4" t="s">
        <v>75</v>
      </c>
      <c r="C26" s="12"/>
      <c r="D26"/>
    </row>
    <row r="27" spans="2:4" x14ac:dyDescent="0.25">
      <c r="B27" s="33" t="s">
        <v>76</v>
      </c>
      <c r="C27" s="12"/>
      <c r="D27"/>
    </row>
    <row r="28" spans="2:4" x14ac:dyDescent="0.25">
      <c r="B28" s="4"/>
      <c r="C28" s="12"/>
      <c r="D28"/>
    </row>
    <row r="29" spans="2:4" x14ac:dyDescent="0.25">
      <c r="B29" s="4" t="s">
        <v>77</v>
      </c>
      <c r="C29" s="12"/>
      <c r="D29"/>
    </row>
    <row r="30" spans="2:4" x14ac:dyDescent="0.25">
      <c r="B30" s="33" t="s">
        <v>78</v>
      </c>
      <c r="C30" s="12"/>
      <c r="D30"/>
    </row>
    <row r="31" spans="2:4" ht="15.75" customHeight="1" x14ac:dyDescent="0.25">
      <c r="B31" s="122"/>
      <c r="C31" s="122"/>
      <c r="D31" s="219"/>
    </row>
  </sheetData>
  <mergeCells count="6">
    <mergeCell ref="B9:D9"/>
    <mergeCell ref="B3:D3"/>
    <mergeCell ref="B4:D4"/>
    <mergeCell ref="B5:D5"/>
    <mergeCell ref="B8:D8"/>
    <mergeCell ref="B7:D7"/>
  </mergeCells>
  <pageMargins left="0.7" right="0.7" top="0.75" bottom="0.75" header="0.3" footer="0.3"/>
  <pageSetup paperSize="9" scale="78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38" t="s">
        <v>79</v>
      </c>
      <c r="C3" s="238"/>
      <c r="D3" s="238"/>
      <c r="E3" s="238"/>
      <c r="F3" s="238"/>
      <c r="G3" s="238"/>
      <c r="H3" s="238"/>
      <c r="I3" s="238"/>
      <c r="J3" s="238"/>
      <c r="K3" s="238"/>
    </row>
    <row r="4" spans="2:11" ht="15.75" customHeight="1" x14ac:dyDescent="0.25">
      <c r="B4" s="244" t="s">
        <v>80</v>
      </c>
      <c r="C4" s="244"/>
      <c r="D4" s="244"/>
      <c r="E4" s="244"/>
      <c r="F4" s="244"/>
      <c r="G4" s="244"/>
      <c r="H4" s="244"/>
      <c r="I4" s="244"/>
      <c r="J4" s="244"/>
      <c r="K4" s="244"/>
    </row>
    <row r="5" spans="2:11" ht="15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6" spans="2:11" ht="15.75" customHeight="1" x14ac:dyDescent="0.25">
      <c r="B6" s="237" t="s">
        <v>48</v>
      </c>
      <c r="C6" s="237"/>
      <c r="D6" s="237"/>
      <c r="E6" s="237"/>
      <c r="F6" s="237"/>
      <c r="G6" s="237"/>
      <c r="H6" s="237"/>
      <c r="I6" s="237"/>
      <c r="J6" s="237"/>
      <c r="K6" s="237"/>
    </row>
    <row r="7" spans="2:11" ht="15.75" customHeight="1" x14ac:dyDescent="0.25">
      <c r="B7" s="241" t="s">
        <v>50</v>
      </c>
      <c r="C7" s="241"/>
      <c r="D7" s="241"/>
      <c r="E7" s="241"/>
      <c r="F7" s="241"/>
      <c r="G7" s="241"/>
      <c r="H7" s="241"/>
      <c r="I7" s="241"/>
      <c r="J7" s="241"/>
      <c r="K7" s="241"/>
    </row>
    <row r="8" spans="2:11" ht="18.75" customHeight="1" x14ac:dyDescent="0.25">
      <c r="B8" s="217"/>
      <c r="C8" s="205"/>
      <c r="D8" s="205"/>
      <c r="E8" s="205"/>
      <c r="F8" s="205"/>
      <c r="G8" s="205"/>
      <c r="H8" s="205"/>
      <c r="I8" s="205"/>
      <c r="J8" s="205"/>
      <c r="K8" s="205"/>
    </row>
    <row r="9" spans="2:11" ht="15.75" customHeight="1" x14ac:dyDescent="0.25">
      <c r="B9" s="245" t="s">
        <v>33</v>
      </c>
      <c r="C9" s="245" t="s">
        <v>81</v>
      </c>
      <c r="D9" s="245" t="s">
        <v>82</v>
      </c>
      <c r="E9" s="245"/>
      <c r="F9" s="245"/>
      <c r="G9" s="245"/>
      <c r="H9" s="245"/>
      <c r="I9" s="245"/>
      <c r="J9" s="245"/>
      <c r="K9" s="205"/>
    </row>
    <row r="10" spans="2:11" ht="15.75" customHeight="1" x14ac:dyDescent="0.25">
      <c r="B10" s="245"/>
      <c r="C10" s="245"/>
      <c r="D10" s="245" t="s">
        <v>83</v>
      </c>
      <c r="E10" s="245" t="s">
        <v>84</v>
      </c>
      <c r="F10" s="245" t="s">
        <v>85</v>
      </c>
      <c r="G10" s="245"/>
      <c r="H10" s="245"/>
      <c r="I10" s="245"/>
      <c r="J10" s="245"/>
      <c r="K10" s="205"/>
    </row>
    <row r="11" spans="2:11" ht="31.5" customHeight="1" x14ac:dyDescent="0.25">
      <c r="B11" s="245"/>
      <c r="C11" s="245"/>
      <c r="D11" s="245"/>
      <c r="E11" s="245"/>
      <c r="F11" s="117" t="s">
        <v>86</v>
      </c>
      <c r="G11" s="117" t="s">
        <v>87</v>
      </c>
      <c r="H11" s="117" t="s">
        <v>43</v>
      </c>
      <c r="I11" s="117" t="s">
        <v>88</v>
      </c>
      <c r="J11" s="117" t="s">
        <v>89</v>
      </c>
      <c r="K11" s="205"/>
    </row>
    <row r="12" spans="2:11" ht="31.5" customHeight="1" x14ac:dyDescent="0.25">
      <c r="B12" s="226">
        <v>1</v>
      </c>
      <c r="C12" s="117" t="str">
        <f>'Прил.1 Сравнит табл'!D16</f>
        <v>Трансформатор напряжения цифровой 110 кВ, 2000 ВА</v>
      </c>
      <c r="D12" s="226" t="s">
        <v>90</v>
      </c>
      <c r="E12" s="128" t="s">
        <v>91</v>
      </c>
      <c r="F12" s="227"/>
      <c r="G12" s="227">
        <v>870.12747937999995</v>
      </c>
      <c r="H12" s="227">
        <v>4356.3186679999999</v>
      </c>
      <c r="I12" s="227"/>
      <c r="J12" s="227">
        <f>SUM(F12:I12)</f>
        <v>5226.4461473800002</v>
      </c>
      <c r="K12" s="205"/>
    </row>
    <row r="13" spans="2:11" ht="15.75" customHeight="1" x14ac:dyDescent="0.25">
      <c r="B13" s="242" t="s">
        <v>92</v>
      </c>
      <c r="C13" s="242"/>
      <c r="D13" s="242"/>
      <c r="E13" s="242"/>
      <c r="F13" s="228">
        <f>SUM(F12)</f>
        <v>0</v>
      </c>
      <c r="G13" s="228">
        <f>SUM(G12)</f>
        <v>870.12747937999995</v>
      </c>
      <c r="H13" s="228">
        <f>SUM(H12)</f>
        <v>4356.3186679999999</v>
      </c>
      <c r="I13" s="228"/>
      <c r="J13" s="229">
        <f>SUM(F13:I13)</f>
        <v>5226.4461473800002</v>
      </c>
      <c r="K13" s="205"/>
    </row>
    <row r="14" spans="2:11" ht="15.75" customHeight="1" x14ac:dyDescent="0.25">
      <c r="B14" s="243" t="s">
        <v>93</v>
      </c>
      <c r="C14" s="243"/>
      <c r="D14" s="243"/>
      <c r="E14" s="243"/>
      <c r="F14" s="229">
        <f>F13</f>
        <v>0</v>
      </c>
      <c r="G14" s="229">
        <f>G13</f>
        <v>870.12747937999995</v>
      </c>
      <c r="H14" s="229">
        <f>H13</f>
        <v>4356.3186679999999</v>
      </c>
      <c r="I14" s="229">
        <f>'Прил.1 Сравнит табл'!D21</f>
        <v>72.809657092080002</v>
      </c>
      <c r="J14" s="229">
        <f>SUM(F14:I14)</f>
        <v>5299.2558044721</v>
      </c>
      <c r="K14" s="205"/>
    </row>
    <row r="15" spans="2:11" ht="18.75" customHeight="1" x14ac:dyDescent="0.25">
      <c r="B15" s="217"/>
      <c r="C15" s="205"/>
      <c r="D15" s="205"/>
      <c r="E15" s="205"/>
      <c r="F15" s="205"/>
      <c r="G15" s="205"/>
      <c r="H15" s="205"/>
      <c r="I15" s="205"/>
      <c r="J15" s="205"/>
      <c r="K15" s="205"/>
    </row>
    <row r="16" spans="2:11" x14ac:dyDescent="0.25">
      <c r="B16" s="205"/>
      <c r="C16" s="205"/>
      <c r="D16" s="205"/>
      <c r="E16" s="205"/>
      <c r="F16" s="205"/>
      <c r="G16" s="205"/>
      <c r="H16" s="205"/>
      <c r="I16" s="205"/>
      <c r="J16" s="205"/>
      <c r="K16" s="205"/>
    </row>
    <row r="18" spans="2:3" x14ac:dyDescent="0.25">
      <c r="B18" s="4" t="s">
        <v>75</v>
      </c>
      <c r="C18" s="12"/>
    </row>
    <row r="19" spans="2:3" x14ac:dyDescent="0.25">
      <c r="B19" s="33" t="s">
        <v>76</v>
      </c>
      <c r="C19" s="12"/>
    </row>
    <row r="20" spans="2:3" x14ac:dyDescent="0.25">
      <c r="B20" s="4"/>
      <c r="C20" s="12"/>
    </row>
    <row r="21" spans="2:3" x14ac:dyDescent="0.25">
      <c r="B21" s="4" t="s">
        <v>77</v>
      </c>
      <c r="C21" s="12"/>
    </row>
    <row r="22" spans="2:3" x14ac:dyDescent="0.25">
      <c r="B22" s="33" t="s">
        <v>78</v>
      </c>
      <c r="C22" s="12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82"/>
  <sheetViews>
    <sheetView view="pageBreakPreview" topLeftCell="A58" zoomScale="85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56" customWidth="1"/>
  </cols>
  <sheetData>
    <row r="2" spans="1:10" ht="15.75" customHeight="1" x14ac:dyDescent="0.25">
      <c r="A2" s="238" t="s">
        <v>94</v>
      </c>
      <c r="B2" s="238"/>
      <c r="C2" s="238"/>
      <c r="D2" s="238"/>
      <c r="E2" s="238"/>
      <c r="F2" s="238"/>
      <c r="G2" s="238"/>
      <c r="H2" s="238"/>
    </row>
    <row r="3" spans="1:10" ht="18.75" customHeight="1" x14ac:dyDescent="0.25">
      <c r="A3" s="239" t="s">
        <v>95</v>
      </c>
      <c r="B3" s="239"/>
      <c r="C3" s="239"/>
      <c r="D3" s="239"/>
      <c r="E3" s="239"/>
      <c r="F3" s="239"/>
      <c r="G3" s="239"/>
      <c r="H3" s="239"/>
    </row>
    <row r="4" spans="1:10" ht="25.5" customHeight="1" x14ac:dyDescent="0.25">
      <c r="A4" s="205"/>
      <c r="B4" s="206"/>
      <c r="C4" s="255"/>
      <c r="D4" s="255"/>
      <c r="E4" s="255"/>
      <c r="F4" s="255"/>
      <c r="G4" s="255"/>
      <c r="H4" s="255"/>
    </row>
    <row r="5" spans="1:10" ht="15.75" customHeight="1" x14ac:dyDescent="0.25">
      <c r="A5" s="205"/>
      <c r="B5" s="205"/>
      <c r="C5" s="207"/>
      <c r="D5" s="207"/>
      <c r="E5" s="207"/>
      <c r="F5" s="207"/>
      <c r="G5" s="207"/>
      <c r="H5" s="208"/>
    </row>
    <row r="6" spans="1:10" ht="15" customHeight="1" x14ac:dyDescent="0.25">
      <c r="A6" s="257" t="s">
        <v>96</v>
      </c>
      <c r="B6" s="257"/>
      <c r="C6" s="257"/>
      <c r="D6" s="257"/>
      <c r="E6" s="257"/>
      <c r="F6" s="257"/>
      <c r="G6" s="257"/>
      <c r="H6" s="257"/>
    </row>
    <row r="7" spans="1:10" ht="14.25" customHeight="1" x14ac:dyDescent="0.25">
      <c r="A7" s="257"/>
      <c r="B7" s="257"/>
      <c r="C7" s="257"/>
      <c r="D7" s="257"/>
      <c r="E7" s="257"/>
      <c r="F7" s="257"/>
      <c r="G7" s="257"/>
      <c r="H7" s="257"/>
    </row>
    <row r="8" spans="1:10" ht="15.75" customHeight="1" x14ac:dyDescent="0.25">
      <c r="A8" s="205"/>
      <c r="B8" s="205"/>
      <c r="C8" s="209"/>
      <c r="D8" s="210"/>
      <c r="E8" s="211"/>
      <c r="F8" s="212"/>
      <c r="G8" s="213"/>
      <c r="H8" s="214"/>
    </row>
    <row r="9" spans="1:10" ht="38.25" customHeight="1" x14ac:dyDescent="0.25">
      <c r="A9" s="253" t="s">
        <v>97</v>
      </c>
      <c r="B9" s="253" t="s">
        <v>98</v>
      </c>
      <c r="C9" s="253" t="s">
        <v>99</v>
      </c>
      <c r="D9" s="253" t="s">
        <v>100</v>
      </c>
      <c r="E9" s="253" t="s">
        <v>101</v>
      </c>
      <c r="F9" s="253" t="s">
        <v>102</v>
      </c>
      <c r="G9" s="253" t="s">
        <v>103</v>
      </c>
      <c r="H9" s="253"/>
    </row>
    <row r="10" spans="1:10" ht="40.5" customHeight="1" x14ac:dyDescent="0.25">
      <c r="A10" s="253"/>
      <c r="B10" s="253"/>
      <c r="C10" s="253"/>
      <c r="D10" s="253"/>
      <c r="E10" s="253"/>
      <c r="F10" s="253"/>
      <c r="G10" s="215" t="s">
        <v>104</v>
      </c>
      <c r="H10" s="215" t="s">
        <v>105</v>
      </c>
    </row>
    <row r="11" spans="1:10" ht="15.75" customHeight="1" x14ac:dyDescent="0.25">
      <c r="A11" s="117">
        <v>1</v>
      </c>
      <c r="B11" s="149"/>
      <c r="C11" s="117">
        <v>2</v>
      </c>
      <c r="D11" s="117" t="s">
        <v>106</v>
      </c>
      <c r="E11" s="117">
        <v>4</v>
      </c>
      <c r="F11" s="117">
        <v>5</v>
      </c>
      <c r="G11" s="149">
        <v>6</v>
      </c>
      <c r="H11" s="149">
        <v>7</v>
      </c>
    </row>
    <row r="12" spans="1:10" ht="15" customHeight="1" x14ac:dyDescent="0.25">
      <c r="A12" s="254" t="s">
        <v>107</v>
      </c>
      <c r="B12" s="248"/>
      <c r="C12" s="248"/>
      <c r="D12" s="249"/>
      <c r="E12" s="150"/>
      <c r="F12" s="172">
        <f>SUM(F13:F17)</f>
        <v>1206.20003</v>
      </c>
      <c r="G12" s="150"/>
      <c r="H12" s="173">
        <f>SUM(H13:H17)</f>
        <v>14904.12</v>
      </c>
    </row>
    <row r="13" spans="1:10" x14ac:dyDescent="0.25">
      <c r="A13" s="170" t="s">
        <v>108</v>
      </c>
      <c r="B13" s="170"/>
      <c r="C13" s="154" t="s">
        <v>109</v>
      </c>
      <c r="D13" s="178" t="s">
        <v>110</v>
      </c>
      <c r="E13" s="7" t="s">
        <v>111</v>
      </c>
      <c r="F13" s="176">
        <v>320.5</v>
      </c>
      <c r="G13" s="179">
        <v>15.49</v>
      </c>
      <c r="H13" s="32">
        <f>ROUND(F13*G13,2)</f>
        <v>4964.55</v>
      </c>
      <c r="I13" s="152"/>
      <c r="J13" s="152"/>
    </row>
    <row r="14" spans="1:10" x14ac:dyDescent="0.25">
      <c r="A14" s="170" t="s">
        <v>112</v>
      </c>
      <c r="B14" s="170"/>
      <c r="C14" s="154" t="s">
        <v>113</v>
      </c>
      <c r="D14" s="178" t="s">
        <v>114</v>
      </c>
      <c r="E14" s="7" t="s">
        <v>111</v>
      </c>
      <c r="F14" s="176">
        <v>320.5</v>
      </c>
      <c r="G14" s="179">
        <v>14.09</v>
      </c>
      <c r="H14" s="32">
        <f>ROUND(F14*G14,2)</f>
        <v>4515.8500000000004</v>
      </c>
      <c r="I14" s="152"/>
      <c r="J14" s="152"/>
    </row>
    <row r="15" spans="1:10" x14ac:dyDescent="0.25">
      <c r="A15" s="170" t="s">
        <v>115</v>
      </c>
      <c r="B15" s="170"/>
      <c r="C15" s="154" t="s">
        <v>116</v>
      </c>
      <c r="D15" s="178" t="s">
        <v>117</v>
      </c>
      <c r="E15" s="7" t="s">
        <v>111</v>
      </c>
      <c r="F15" s="176">
        <v>519.3818</v>
      </c>
      <c r="G15" s="180">
        <v>9.6199999999999992</v>
      </c>
      <c r="H15" s="32">
        <f>ROUND(F15*G15,2)</f>
        <v>4996.45</v>
      </c>
      <c r="I15" s="152"/>
      <c r="J15" s="152"/>
    </row>
    <row r="16" spans="1:10" x14ac:dyDescent="0.25">
      <c r="A16" s="170" t="s">
        <v>118</v>
      </c>
      <c r="B16" s="170"/>
      <c r="C16" s="154" t="s">
        <v>119</v>
      </c>
      <c r="D16" s="178" t="s">
        <v>120</v>
      </c>
      <c r="E16" s="7" t="s">
        <v>111</v>
      </c>
      <c r="F16" s="176">
        <v>40.629399999999997</v>
      </c>
      <c r="G16" s="180">
        <v>9.4</v>
      </c>
      <c r="H16" s="32">
        <f>ROUND(F16*G16,2)</f>
        <v>381.92</v>
      </c>
      <c r="I16" s="152"/>
      <c r="J16" s="152"/>
    </row>
    <row r="17" spans="1:10" x14ac:dyDescent="0.25">
      <c r="A17" s="170" t="s">
        <v>121</v>
      </c>
      <c r="B17" s="170"/>
      <c r="C17" s="154" t="s">
        <v>122</v>
      </c>
      <c r="D17" s="178" t="s">
        <v>123</v>
      </c>
      <c r="E17" s="7" t="s">
        <v>111</v>
      </c>
      <c r="F17" s="176">
        <v>5.1888300000000003</v>
      </c>
      <c r="G17" s="180">
        <v>8.74</v>
      </c>
      <c r="H17" s="32">
        <f>ROUND(F17*G17,2)</f>
        <v>45.35</v>
      </c>
      <c r="I17" s="152"/>
      <c r="J17" s="152"/>
    </row>
    <row r="18" spans="1:10" x14ac:dyDescent="0.25">
      <c r="A18" s="246" t="s">
        <v>124</v>
      </c>
      <c r="B18" s="247"/>
      <c r="C18" s="248"/>
      <c r="D18" s="249"/>
      <c r="E18" s="153"/>
      <c r="F18" s="195"/>
      <c r="G18" s="151"/>
      <c r="H18" s="174">
        <f>H19</f>
        <v>505.69066666665998</v>
      </c>
      <c r="J18" s="152"/>
    </row>
    <row r="19" spans="1:10" x14ac:dyDescent="0.25">
      <c r="A19" s="170">
        <f>A17+1</f>
        <v>6</v>
      </c>
      <c r="B19" s="171"/>
      <c r="C19" s="170">
        <v>2</v>
      </c>
      <c r="D19" s="8" t="s">
        <v>124</v>
      </c>
      <c r="E19" s="2" t="s">
        <v>111</v>
      </c>
      <c r="F19" s="176">
        <v>17.87584</v>
      </c>
      <c r="G19" s="47"/>
      <c r="H19" s="32">
        <v>505.69066666665998</v>
      </c>
    </row>
    <row r="20" spans="1:10" ht="15" customHeight="1" x14ac:dyDescent="0.25">
      <c r="A20" s="250" t="s">
        <v>125</v>
      </c>
      <c r="B20" s="250"/>
      <c r="C20" s="250"/>
      <c r="D20" s="250"/>
      <c r="E20" s="150"/>
      <c r="F20" s="150"/>
      <c r="G20" s="150"/>
      <c r="H20" s="175">
        <f>SUM(H21:H33)</f>
        <v>39603.57</v>
      </c>
      <c r="I20" s="152"/>
    </row>
    <row r="21" spans="1:10" ht="25.5" customHeight="1" x14ac:dyDescent="0.25">
      <c r="A21" s="2">
        <f>A19+1</f>
        <v>7</v>
      </c>
      <c r="B21" s="170"/>
      <c r="C21" s="170" t="s">
        <v>126</v>
      </c>
      <c r="D21" s="8" t="s">
        <v>127</v>
      </c>
      <c r="E21" s="2" t="s">
        <v>128</v>
      </c>
      <c r="F21" s="2">
        <v>192</v>
      </c>
      <c r="G21" s="103">
        <v>110.86</v>
      </c>
      <c r="H21" s="32">
        <f t="shared" ref="H21:H33" si="0">ROUND(F21*G21,2)</f>
        <v>21285.119999999999</v>
      </c>
    </row>
    <row r="22" spans="1:10" x14ac:dyDescent="0.25">
      <c r="A22" s="2">
        <f t="shared" ref="A22:A33" si="1">A21+1</f>
        <v>8</v>
      </c>
      <c r="B22" s="170"/>
      <c r="C22" s="170" t="s">
        <v>129</v>
      </c>
      <c r="D22" s="8" t="s">
        <v>130</v>
      </c>
      <c r="E22" s="2" t="s">
        <v>128</v>
      </c>
      <c r="F22" s="2">
        <v>37.68</v>
      </c>
      <c r="G22" s="103">
        <v>287.99</v>
      </c>
      <c r="H22" s="32">
        <f t="shared" si="0"/>
        <v>10851.46</v>
      </c>
    </row>
    <row r="23" spans="1:10" ht="25.5" customHeight="1" x14ac:dyDescent="0.25">
      <c r="A23" s="2">
        <f t="shared" si="1"/>
        <v>9</v>
      </c>
      <c r="B23" s="170"/>
      <c r="C23" s="170" t="s">
        <v>131</v>
      </c>
      <c r="D23" s="8" t="s">
        <v>132</v>
      </c>
      <c r="E23" s="2" t="s">
        <v>128</v>
      </c>
      <c r="F23" s="2">
        <v>37.68</v>
      </c>
      <c r="G23" s="103">
        <v>131.44</v>
      </c>
      <c r="H23" s="32">
        <f t="shared" si="0"/>
        <v>4952.66</v>
      </c>
    </row>
    <row r="24" spans="1:10" ht="25.5" customHeight="1" x14ac:dyDescent="0.25">
      <c r="A24" s="2">
        <f t="shared" si="1"/>
        <v>10</v>
      </c>
      <c r="B24" s="170"/>
      <c r="C24" s="170" t="s">
        <v>133</v>
      </c>
      <c r="D24" s="8" t="s">
        <v>134</v>
      </c>
      <c r="E24" s="2" t="s">
        <v>128</v>
      </c>
      <c r="F24" s="2">
        <v>13.46</v>
      </c>
      <c r="G24" s="103">
        <v>111.99</v>
      </c>
      <c r="H24" s="32">
        <f t="shared" si="0"/>
        <v>1507.39</v>
      </c>
    </row>
    <row r="25" spans="1:10" x14ac:dyDescent="0.25">
      <c r="A25" s="2">
        <f t="shared" si="1"/>
        <v>11</v>
      </c>
      <c r="B25" s="170"/>
      <c r="C25" s="170" t="s">
        <v>135</v>
      </c>
      <c r="D25" s="8" t="s">
        <v>136</v>
      </c>
      <c r="E25" s="2" t="s">
        <v>128</v>
      </c>
      <c r="F25" s="2">
        <v>8.36</v>
      </c>
      <c r="G25" s="103">
        <v>65.709999999999994</v>
      </c>
      <c r="H25" s="32">
        <f t="shared" si="0"/>
        <v>549.34</v>
      </c>
    </row>
    <row r="26" spans="1:10" x14ac:dyDescent="0.25">
      <c r="A26" s="2">
        <f t="shared" si="1"/>
        <v>12</v>
      </c>
      <c r="B26" s="170"/>
      <c r="C26" s="170" t="s">
        <v>137</v>
      </c>
      <c r="D26" s="8" t="s">
        <v>138</v>
      </c>
      <c r="E26" s="2" t="s">
        <v>128</v>
      </c>
      <c r="F26" s="2">
        <v>6.36</v>
      </c>
      <c r="G26" s="103">
        <v>29.6</v>
      </c>
      <c r="H26" s="32">
        <f t="shared" si="0"/>
        <v>188.26</v>
      </c>
    </row>
    <row r="27" spans="1:10" ht="25.5" customHeight="1" x14ac:dyDescent="0.25">
      <c r="A27" s="2">
        <f t="shared" si="1"/>
        <v>13</v>
      </c>
      <c r="B27" s="170"/>
      <c r="C27" s="170" t="s">
        <v>139</v>
      </c>
      <c r="D27" s="8" t="s">
        <v>140</v>
      </c>
      <c r="E27" s="2" t="s">
        <v>128</v>
      </c>
      <c r="F27" s="2">
        <v>18.02</v>
      </c>
      <c r="G27" s="103">
        <v>8.1</v>
      </c>
      <c r="H27" s="32">
        <f t="shared" si="0"/>
        <v>145.96</v>
      </c>
    </row>
    <row r="28" spans="1:10" x14ac:dyDescent="0.25">
      <c r="A28" s="2">
        <f t="shared" si="1"/>
        <v>14</v>
      </c>
      <c r="B28" s="170"/>
      <c r="C28" s="170" t="s">
        <v>141</v>
      </c>
      <c r="D28" s="8" t="s">
        <v>142</v>
      </c>
      <c r="E28" s="2" t="s">
        <v>128</v>
      </c>
      <c r="F28" s="2">
        <v>75.239999999999995</v>
      </c>
      <c r="G28" s="103">
        <v>0.9</v>
      </c>
      <c r="H28" s="32">
        <f t="shared" si="0"/>
        <v>67.72</v>
      </c>
    </row>
    <row r="29" spans="1:10" x14ac:dyDescent="0.25">
      <c r="A29" s="2">
        <f t="shared" si="1"/>
        <v>15</v>
      </c>
      <c r="B29" s="170"/>
      <c r="C29" s="170" t="s">
        <v>143</v>
      </c>
      <c r="D29" s="8" t="s">
        <v>144</v>
      </c>
      <c r="E29" s="2" t="s">
        <v>128</v>
      </c>
      <c r="F29" s="2">
        <v>0.36</v>
      </c>
      <c r="G29" s="103">
        <v>70</v>
      </c>
      <c r="H29" s="32">
        <f t="shared" si="0"/>
        <v>25.2</v>
      </c>
    </row>
    <row r="30" spans="1:10" x14ac:dyDescent="0.25">
      <c r="A30" s="2">
        <f t="shared" si="1"/>
        <v>16</v>
      </c>
      <c r="B30" s="170"/>
      <c r="C30" s="170" t="s">
        <v>145</v>
      </c>
      <c r="D30" s="8" t="s">
        <v>146</v>
      </c>
      <c r="E30" s="2" t="s">
        <v>128</v>
      </c>
      <c r="F30" s="2">
        <v>0.36</v>
      </c>
      <c r="G30" s="103">
        <v>56.24</v>
      </c>
      <c r="H30" s="32">
        <f t="shared" si="0"/>
        <v>20.25</v>
      </c>
    </row>
    <row r="31" spans="1:10" x14ac:dyDescent="0.25">
      <c r="A31" s="2">
        <f t="shared" si="1"/>
        <v>17</v>
      </c>
      <c r="B31" s="170"/>
      <c r="C31" s="170" t="s">
        <v>147</v>
      </c>
      <c r="D31" s="8" t="s">
        <v>148</v>
      </c>
      <c r="E31" s="2" t="s">
        <v>128</v>
      </c>
      <c r="F31" s="2">
        <v>0.36</v>
      </c>
      <c r="G31" s="103">
        <v>16.920000000000002</v>
      </c>
      <c r="H31" s="32">
        <f t="shared" si="0"/>
        <v>6.09</v>
      </c>
    </row>
    <row r="32" spans="1:10" ht="25.5" customHeight="1" x14ac:dyDescent="0.25">
      <c r="A32" s="2">
        <f t="shared" si="1"/>
        <v>18</v>
      </c>
      <c r="B32" s="170"/>
      <c r="C32" s="170" t="s">
        <v>149</v>
      </c>
      <c r="D32" s="8" t="s">
        <v>150</v>
      </c>
      <c r="E32" s="2" t="s">
        <v>128</v>
      </c>
      <c r="F32" s="2">
        <v>0.48</v>
      </c>
      <c r="G32" s="103">
        <v>6.82</v>
      </c>
      <c r="H32" s="32">
        <f t="shared" si="0"/>
        <v>3.27</v>
      </c>
    </row>
    <row r="33" spans="1:8" x14ac:dyDescent="0.25">
      <c r="A33" s="198">
        <f t="shared" si="1"/>
        <v>19</v>
      </c>
      <c r="B33" s="199"/>
      <c r="C33" s="199" t="s">
        <v>151</v>
      </c>
      <c r="D33" s="197" t="s">
        <v>152</v>
      </c>
      <c r="E33" s="198" t="s">
        <v>128</v>
      </c>
      <c r="F33" s="198">
        <v>0.36</v>
      </c>
      <c r="G33" s="103">
        <v>2.36</v>
      </c>
      <c r="H33" s="32">
        <f t="shared" si="0"/>
        <v>0.85</v>
      </c>
    </row>
    <row r="34" spans="1:8" ht="15" customHeight="1" x14ac:dyDescent="0.25">
      <c r="A34" s="252" t="s">
        <v>43</v>
      </c>
      <c r="B34" s="252"/>
      <c r="C34" s="252"/>
      <c r="D34" s="252"/>
      <c r="E34" s="200"/>
      <c r="F34" s="201"/>
      <c r="G34" s="151"/>
      <c r="H34" s="177">
        <f>SUM(H35:H37)</f>
        <v>1078296.7</v>
      </c>
    </row>
    <row r="35" spans="1:8" ht="15" customHeight="1" x14ac:dyDescent="0.25">
      <c r="A35" s="198">
        <f>A33+1</f>
        <v>20</v>
      </c>
      <c r="B35" s="202"/>
      <c r="C35" s="196" t="s">
        <v>153</v>
      </c>
      <c r="D35" s="197" t="s">
        <v>154</v>
      </c>
      <c r="E35" s="203" t="s">
        <v>155</v>
      </c>
      <c r="F35" s="203">
        <v>6</v>
      </c>
      <c r="G35" s="103">
        <v>171477.18</v>
      </c>
      <c r="H35" s="32">
        <f>ROUND(F35*G35,2)</f>
        <v>1028863.08</v>
      </c>
    </row>
    <row r="36" spans="1:8" x14ac:dyDescent="0.25">
      <c r="A36" s="198">
        <f>A35+1</f>
        <v>21</v>
      </c>
      <c r="B36" s="199"/>
      <c r="C36" s="196" t="s">
        <v>153</v>
      </c>
      <c r="D36" s="197" t="s">
        <v>156</v>
      </c>
      <c r="E36" s="198" t="s">
        <v>155</v>
      </c>
      <c r="F36" s="198">
        <v>2</v>
      </c>
      <c r="G36" s="103">
        <v>20669.939999999999</v>
      </c>
      <c r="H36" s="32">
        <f>ROUND(F36*G36,2)</f>
        <v>41339.879999999997</v>
      </c>
    </row>
    <row r="37" spans="1:8" ht="25.5" customHeight="1" x14ac:dyDescent="0.25">
      <c r="A37" s="198">
        <f>A36+1</f>
        <v>22</v>
      </c>
      <c r="B37" s="199"/>
      <c r="C37" s="196" t="s">
        <v>153</v>
      </c>
      <c r="D37" s="197" t="s">
        <v>157</v>
      </c>
      <c r="E37" s="198" t="s">
        <v>155</v>
      </c>
      <c r="F37" s="198">
        <v>2</v>
      </c>
      <c r="G37" s="103">
        <v>4046.87</v>
      </c>
      <c r="H37" s="32">
        <f>ROUND(F37*G37,2)</f>
        <v>8093.74</v>
      </c>
    </row>
    <row r="38" spans="1:8" ht="15" customHeight="1" x14ac:dyDescent="0.25">
      <c r="A38" s="251" t="s">
        <v>158</v>
      </c>
      <c r="B38" s="251"/>
      <c r="C38" s="251"/>
      <c r="D38" s="251"/>
      <c r="E38" s="204"/>
      <c r="F38" s="204"/>
      <c r="G38" s="150"/>
      <c r="H38" s="175">
        <f>SUM(H39:H72)</f>
        <v>26078.86</v>
      </c>
    </row>
    <row r="39" spans="1:8" ht="25.5" customHeight="1" x14ac:dyDescent="0.25">
      <c r="A39" s="198">
        <f>A37+1</f>
        <v>23</v>
      </c>
      <c r="B39" s="199"/>
      <c r="C39" s="196" t="s">
        <v>153</v>
      </c>
      <c r="D39" s="197" t="s">
        <v>159</v>
      </c>
      <c r="E39" s="198" t="s">
        <v>155</v>
      </c>
      <c r="F39" s="198">
        <v>6</v>
      </c>
      <c r="G39" s="103">
        <v>1642.73</v>
      </c>
      <c r="H39" s="32">
        <f t="shared" ref="H39:H72" si="2">ROUND(F39*G39,2)</f>
        <v>9856.3799999999992</v>
      </c>
    </row>
    <row r="40" spans="1:8" ht="25.5" customHeight="1" x14ac:dyDescent="0.25">
      <c r="A40" s="198">
        <f t="shared" ref="A40:A72" si="3">A39+1</f>
        <v>24</v>
      </c>
      <c r="B40" s="199"/>
      <c r="C40" s="199" t="s">
        <v>160</v>
      </c>
      <c r="D40" s="197" t="s">
        <v>161</v>
      </c>
      <c r="E40" s="198" t="s">
        <v>162</v>
      </c>
      <c r="F40" s="198">
        <f>0.009*3*2</f>
        <v>5.3999999999999999E-2</v>
      </c>
      <c r="G40" s="103">
        <v>98440.41</v>
      </c>
      <c r="H40" s="32">
        <f t="shared" si="2"/>
        <v>5315.78</v>
      </c>
    </row>
    <row r="41" spans="1:8" x14ac:dyDescent="0.25">
      <c r="A41" s="2">
        <f t="shared" si="3"/>
        <v>25</v>
      </c>
      <c r="B41" s="170"/>
      <c r="C41" s="170" t="s">
        <v>163</v>
      </c>
      <c r="D41" s="8" t="s">
        <v>164</v>
      </c>
      <c r="E41" s="2" t="s">
        <v>162</v>
      </c>
      <c r="F41" s="2">
        <f>0.016*3*2</f>
        <v>9.6000000000000002E-2</v>
      </c>
      <c r="G41" s="103">
        <v>38348.22</v>
      </c>
      <c r="H41" s="32">
        <f t="shared" si="2"/>
        <v>3681.43</v>
      </c>
    </row>
    <row r="42" spans="1:8" ht="25.5" customHeight="1" x14ac:dyDescent="0.25">
      <c r="A42" s="2">
        <f t="shared" si="3"/>
        <v>26</v>
      </c>
      <c r="B42" s="170"/>
      <c r="C42" s="170" t="s">
        <v>165</v>
      </c>
      <c r="D42" s="8" t="s">
        <v>166</v>
      </c>
      <c r="E42" s="2" t="s">
        <v>167</v>
      </c>
      <c r="F42" s="2">
        <v>5.2150000000000002E-2</v>
      </c>
      <c r="G42" s="103">
        <v>34500.53</v>
      </c>
      <c r="H42" s="32">
        <f t="shared" si="2"/>
        <v>1799.2</v>
      </c>
    </row>
    <row r="43" spans="1:8" x14ac:dyDescent="0.25">
      <c r="A43" s="2">
        <f t="shared" si="3"/>
        <v>27</v>
      </c>
      <c r="B43" s="170"/>
      <c r="C43" s="170" t="s">
        <v>168</v>
      </c>
      <c r="D43" s="8" t="s">
        <v>169</v>
      </c>
      <c r="E43" s="2" t="s">
        <v>170</v>
      </c>
      <c r="F43" s="2">
        <v>0.18</v>
      </c>
      <c r="G43" s="103">
        <v>6505</v>
      </c>
      <c r="H43" s="32">
        <f t="shared" si="2"/>
        <v>1170.9000000000001</v>
      </c>
    </row>
    <row r="44" spans="1:8" ht="25.5" customHeight="1" x14ac:dyDescent="0.25">
      <c r="A44" s="2">
        <f t="shared" si="3"/>
        <v>28</v>
      </c>
      <c r="B44" s="170"/>
      <c r="C44" s="170" t="s">
        <v>171</v>
      </c>
      <c r="D44" s="8" t="s">
        <v>172</v>
      </c>
      <c r="E44" s="2" t="s">
        <v>173</v>
      </c>
      <c r="F44" s="2">
        <f>0.28*2</f>
        <v>0.56000000000000005</v>
      </c>
      <c r="G44" s="103">
        <v>1837.28</v>
      </c>
      <c r="H44" s="32">
        <f t="shared" si="2"/>
        <v>1028.8800000000001</v>
      </c>
    </row>
    <row r="45" spans="1:8" x14ac:dyDescent="0.25">
      <c r="A45" s="2">
        <f t="shared" si="3"/>
        <v>29</v>
      </c>
      <c r="B45" s="170"/>
      <c r="C45" s="170" t="s">
        <v>174</v>
      </c>
      <c r="D45" s="8" t="s">
        <v>175</v>
      </c>
      <c r="E45" s="2" t="s">
        <v>176</v>
      </c>
      <c r="F45" s="2">
        <v>2</v>
      </c>
      <c r="G45" s="103">
        <v>485.39</v>
      </c>
      <c r="H45" s="32">
        <f t="shared" si="2"/>
        <v>970.78</v>
      </c>
    </row>
    <row r="46" spans="1:8" ht="38.25" customHeight="1" x14ac:dyDescent="0.25">
      <c r="A46" s="2">
        <f t="shared" si="3"/>
        <v>30</v>
      </c>
      <c r="B46" s="170"/>
      <c r="C46" s="170" t="s">
        <v>177</v>
      </c>
      <c r="D46" s="8" t="s">
        <v>178</v>
      </c>
      <c r="E46" s="2" t="s">
        <v>155</v>
      </c>
      <c r="F46" s="2">
        <v>2</v>
      </c>
      <c r="G46" s="103">
        <v>240.8</v>
      </c>
      <c r="H46" s="32">
        <f t="shared" si="2"/>
        <v>481.6</v>
      </c>
    </row>
    <row r="47" spans="1:8" x14ac:dyDescent="0.25">
      <c r="A47" s="2">
        <f t="shared" si="3"/>
        <v>31</v>
      </c>
      <c r="B47" s="170"/>
      <c r="C47" s="170" t="s">
        <v>179</v>
      </c>
      <c r="D47" s="8" t="s">
        <v>180</v>
      </c>
      <c r="E47" s="2" t="s">
        <v>181</v>
      </c>
      <c r="F47" s="2">
        <v>8</v>
      </c>
      <c r="G47" s="103">
        <v>50</v>
      </c>
      <c r="H47" s="32">
        <f t="shared" si="2"/>
        <v>400</v>
      </c>
    </row>
    <row r="48" spans="1:8" ht="25.5" customHeight="1" x14ac:dyDescent="0.25">
      <c r="A48" s="2">
        <f t="shared" si="3"/>
        <v>32</v>
      </c>
      <c r="B48" s="170"/>
      <c r="C48" s="170" t="s">
        <v>182</v>
      </c>
      <c r="D48" s="8" t="s">
        <v>183</v>
      </c>
      <c r="E48" s="2" t="s">
        <v>184</v>
      </c>
      <c r="F48" s="2">
        <v>236.2516</v>
      </c>
      <c r="G48" s="103">
        <v>1</v>
      </c>
      <c r="H48" s="32">
        <f t="shared" si="2"/>
        <v>236.25</v>
      </c>
    </row>
    <row r="49" spans="1:8" x14ac:dyDescent="0.25">
      <c r="A49" s="2">
        <f t="shared" si="3"/>
        <v>33</v>
      </c>
      <c r="B49" s="170"/>
      <c r="C49" s="170" t="s">
        <v>185</v>
      </c>
      <c r="D49" s="8" t="s">
        <v>186</v>
      </c>
      <c r="E49" s="2" t="s">
        <v>173</v>
      </c>
      <c r="F49" s="2">
        <f>1*1*2</f>
        <v>2</v>
      </c>
      <c r="G49" s="103">
        <v>108.4</v>
      </c>
      <c r="H49" s="32">
        <f t="shared" si="2"/>
        <v>216.8</v>
      </c>
    </row>
    <row r="50" spans="1:8" ht="25.5" customHeight="1" x14ac:dyDescent="0.25">
      <c r="A50" s="2">
        <f t="shared" si="3"/>
        <v>34</v>
      </c>
      <c r="B50" s="170"/>
      <c r="C50" s="170" t="s">
        <v>187</v>
      </c>
      <c r="D50" s="8" t="s">
        <v>188</v>
      </c>
      <c r="E50" s="2" t="s">
        <v>167</v>
      </c>
      <c r="F50" s="2">
        <v>3.8600000000000002E-2</v>
      </c>
      <c r="G50" s="103">
        <v>5000</v>
      </c>
      <c r="H50" s="32">
        <f t="shared" si="2"/>
        <v>193</v>
      </c>
    </row>
    <row r="51" spans="1:8" x14ac:dyDescent="0.25">
      <c r="A51" s="2">
        <f t="shared" si="3"/>
        <v>35</v>
      </c>
      <c r="B51" s="170"/>
      <c r="C51" s="170" t="s">
        <v>189</v>
      </c>
      <c r="D51" s="8" t="s">
        <v>190</v>
      </c>
      <c r="E51" s="2" t="s">
        <v>181</v>
      </c>
      <c r="F51" s="2">
        <v>15.378</v>
      </c>
      <c r="G51" s="103">
        <v>9.0399999999999991</v>
      </c>
      <c r="H51" s="32">
        <f t="shared" si="2"/>
        <v>139.02000000000001</v>
      </c>
    </row>
    <row r="52" spans="1:8" x14ac:dyDescent="0.25">
      <c r="A52" s="2">
        <f t="shared" si="3"/>
        <v>36</v>
      </c>
      <c r="B52" s="170"/>
      <c r="C52" s="170" t="s">
        <v>191</v>
      </c>
      <c r="D52" s="8" t="s">
        <v>192</v>
      </c>
      <c r="E52" s="2" t="s">
        <v>167</v>
      </c>
      <c r="F52" s="2">
        <v>1.8839999999999999E-2</v>
      </c>
      <c r="G52" s="103">
        <v>6159.22</v>
      </c>
      <c r="H52" s="32">
        <f t="shared" si="2"/>
        <v>116.04</v>
      </c>
    </row>
    <row r="53" spans="1:8" ht="25.5" customHeight="1" x14ac:dyDescent="0.25">
      <c r="A53" s="2">
        <f t="shared" si="3"/>
        <v>37</v>
      </c>
      <c r="B53" s="170"/>
      <c r="C53" s="170" t="s">
        <v>193</v>
      </c>
      <c r="D53" s="8" t="s">
        <v>194</v>
      </c>
      <c r="E53" s="2" t="s">
        <v>167</v>
      </c>
      <c r="F53" s="2">
        <v>0.01</v>
      </c>
      <c r="G53" s="103">
        <v>11500</v>
      </c>
      <c r="H53" s="32">
        <f t="shared" si="2"/>
        <v>115</v>
      </c>
    </row>
    <row r="54" spans="1:8" x14ac:dyDescent="0.25">
      <c r="A54" s="2">
        <f t="shared" si="3"/>
        <v>38</v>
      </c>
      <c r="B54" s="170"/>
      <c r="C54" s="170" t="s">
        <v>195</v>
      </c>
      <c r="D54" s="8" t="s">
        <v>196</v>
      </c>
      <c r="E54" s="2" t="s">
        <v>181</v>
      </c>
      <c r="F54" s="2">
        <v>2.6840000000000002</v>
      </c>
      <c r="G54" s="103">
        <v>28.6</v>
      </c>
      <c r="H54" s="32">
        <f t="shared" si="2"/>
        <v>76.760000000000005</v>
      </c>
    </row>
    <row r="55" spans="1:8" x14ac:dyDescent="0.25">
      <c r="A55" s="2">
        <f t="shared" si="3"/>
        <v>39</v>
      </c>
      <c r="B55" s="170"/>
      <c r="C55" s="170" t="s">
        <v>197</v>
      </c>
      <c r="D55" s="8" t="s">
        <v>198</v>
      </c>
      <c r="E55" s="2" t="s">
        <v>181</v>
      </c>
      <c r="F55" s="2">
        <v>0.27600000000000002</v>
      </c>
      <c r="G55" s="103">
        <v>238.48</v>
      </c>
      <c r="H55" s="32">
        <f t="shared" si="2"/>
        <v>65.819999999999993</v>
      </c>
    </row>
    <row r="56" spans="1:8" x14ac:dyDescent="0.25">
      <c r="A56" s="2">
        <f t="shared" si="3"/>
        <v>40</v>
      </c>
      <c r="B56" s="170"/>
      <c r="C56" s="170" t="s">
        <v>199</v>
      </c>
      <c r="D56" s="8" t="s">
        <v>200</v>
      </c>
      <c r="E56" s="2" t="s">
        <v>170</v>
      </c>
      <c r="F56" s="2">
        <v>0.82</v>
      </c>
      <c r="G56" s="103">
        <v>63</v>
      </c>
      <c r="H56" s="32">
        <f t="shared" si="2"/>
        <v>51.66</v>
      </c>
    </row>
    <row r="57" spans="1:8" ht="25.5" customHeight="1" x14ac:dyDescent="0.25">
      <c r="A57" s="2">
        <f t="shared" si="3"/>
        <v>41</v>
      </c>
      <c r="B57" s="170"/>
      <c r="C57" s="170" t="s">
        <v>201</v>
      </c>
      <c r="D57" s="8" t="s">
        <v>202</v>
      </c>
      <c r="E57" s="2" t="s">
        <v>203</v>
      </c>
      <c r="F57" s="2">
        <v>0.2</v>
      </c>
      <c r="G57" s="103">
        <v>194.2</v>
      </c>
      <c r="H57" s="32">
        <f t="shared" si="2"/>
        <v>38.840000000000003</v>
      </c>
    </row>
    <row r="58" spans="1:8" ht="25.5" customHeight="1" x14ac:dyDescent="0.25">
      <c r="A58" s="2">
        <f t="shared" si="3"/>
        <v>42</v>
      </c>
      <c r="B58" s="170"/>
      <c r="C58" s="170" t="s">
        <v>204</v>
      </c>
      <c r="D58" s="8" t="s">
        <v>205</v>
      </c>
      <c r="E58" s="2" t="s">
        <v>167</v>
      </c>
      <c r="F58" s="2">
        <v>1.6000000000000001E-3</v>
      </c>
      <c r="G58" s="103">
        <v>17500</v>
      </c>
      <c r="H58" s="32">
        <f t="shared" si="2"/>
        <v>28</v>
      </c>
    </row>
    <row r="59" spans="1:8" x14ac:dyDescent="0.25">
      <c r="A59" s="2">
        <f t="shared" si="3"/>
        <v>43</v>
      </c>
      <c r="B59" s="170"/>
      <c r="C59" s="170" t="s">
        <v>206</v>
      </c>
      <c r="D59" s="8" t="s">
        <v>207</v>
      </c>
      <c r="E59" s="2" t="s">
        <v>181</v>
      </c>
      <c r="F59" s="2">
        <v>2.0960000000000001</v>
      </c>
      <c r="G59" s="103">
        <v>10.57</v>
      </c>
      <c r="H59" s="32">
        <f t="shared" si="2"/>
        <v>22.15</v>
      </c>
    </row>
    <row r="60" spans="1:8" x14ac:dyDescent="0.25">
      <c r="A60" s="2">
        <f t="shared" si="3"/>
        <v>44</v>
      </c>
      <c r="B60" s="170"/>
      <c r="C60" s="170" t="s">
        <v>208</v>
      </c>
      <c r="D60" s="8" t="s">
        <v>209</v>
      </c>
      <c r="E60" s="2" t="s">
        <v>210</v>
      </c>
      <c r="F60" s="2">
        <v>0.252</v>
      </c>
      <c r="G60" s="103">
        <v>79.099999999999994</v>
      </c>
      <c r="H60" s="32">
        <f t="shared" si="2"/>
        <v>19.93</v>
      </c>
    </row>
    <row r="61" spans="1:8" ht="25.5" customHeight="1" x14ac:dyDescent="0.25">
      <c r="A61" s="2">
        <f t="shared" si="3"/>
        <v>45</v>
      </c>
      <c r="B61" s="170"/>
      <c r="C61" s="170" t="s">
        <v>211</v>
      </c>
      <c r="D61" s="8" t="s">
        <v>212</v>
      </c>
      <c r="E61" s="2" t="s">
        <v>213</v>
      </c>
      <c r="F61" s="2">
        <v>0.95</v>
      </c>
      <c r="G61" s="103">
        <v>15.13</v>
      </c>
      <c r="H61" s="32">
        <f t="shared" si="2"/>
        <v>14.37</v>
      </c>
    </row>
    <row r="62" spans="1:8" x14ac:dyDescent="0.25">
      <c r="A62" s="2">
        <f t="shared" si="3"/>
        <v>46</v>
      </c>
      <c r="B62" s="170"/>
      <c r="C62" s="170" t="s">
        <v>214</v>
      </c>
      <c r="D62" s="8" t="s">
        <v>215</v>
      </c>
      <c r="E62" s="2" t="s">
        <v>170</v>
      </c>
      <c r="F62" s="2">
        <v>0.15040000000000001</v>
      </c>
      <c r="G62" s="103">
        <v>86</v>
      </c>
      <c r="H62" s="32">
        <f t="shared" si="2"/>
        <v>12.93</v>
      </c>
    </row>
    <row r="63" spans="1:8" x14ac:dyDescent="0.25">
      <c r="A63" s="2">
        <f t="shared" si="3"/>
        <v>47</v>
      </c>
      <c r="B63" s="170"/>
      <c r="C63" s="170" t="s">
        <v>216</v>
      </c>
      <c r="D63" s="8" t="s">
        <v>217</v>
      </c>
      <c r="E63" s="2" t="s">
        <v>203</v>
      </c>
      <c r="F63" s="2">
        <v>0.2</v>
      </c>
      <c r="G63" s="103">
        <v>39</v>
      </c>
      <c r="H63" s="32">
        <f t="shared" si="2"/>
        <v>7.8</v>
      </c>
    </row>
    <row r="64" spans="1:8" ht="25.5" customHeight="1" x14ac:dyDescent="0.25">
      <c r="A64" s="2">
        <f t="shared" si="3"/>
        <v>48</v>
      </c>
      <c r="B64" s="170"/>
      <c r="C64" s="170" t="s">
        <v>218</v>
      </c>
      <c r="D64" s="8" t="s">
        <v>219</v>
      </c>
      <c r="E64" s="2" t="s">
        <v>167</v>
      </c>
      <c r="F64" s="2">
        <v>1E-3</v>
      </c>
      <c r="G64" s="103">
        <v>5941.89</v>
      </c>
      <c r="H64" s="32">
        <f t="shared" si="2"/>
        <v>5.94</v>
      </c>
    </row>
    <row r="65" spans="1:8" ht="25.5" customHeight="1" x14ac:dyDescent="0.25">
      <c r="A65" s="2">
        <f t="shared" si="3"/>
        <v>49</v>
      </c>
      <c r="B65" s="170"/>
      <c r="C65" s="170" t="s">
        <v>220</v>
      </c>
      <c r="D65" s="8" t="s">
        <v>221</v>
      </c>
      <c r="E65" s="2" t="s">
        <v>181</v>
      </c>
      <c r="F65" s="2">
        <v>0.16</v>
      </c>
      <c r="G65" s="103">
        <v>30.4</v>
      </c>
      <c r="H65" s="32">
        <f t="shared" si="2"/>
        <v>4.8600000000000003</v>
      </c>
    </row>
    <row r="66" spans="1:8" x14ac:dyDescent="0.25">
      <c r="A66" s="2">
        <f t="shared" si="3"/>
        <v>50</v>
      </c>
      <c r="B66" s="170"/>
      <c r="C66" s="170" t="s">
        <v>222</v>
      </c>
      <c r="D66" s="8" t="s">
        <v>223</v>
      </c>
      <c r="E66" s="2" t="s">
        <v>181</v>
      </c>
      <c r="F66" s="2">
        <v>0.08</v>
      </c>
      <c r="G66" s="103">
        <v>44.97</v>
      </c>
      <c r="H66" s="32">
        <f t="shared" si="2"/>
        <v>3.6</v>
      </c>
    </row>
    <row r="67" spans="1:8" x14ac:dyDescent="0.25">
      <c r="A67" s="2">
        <f t="shared" si="3"/>
        <v>51</v>
      </c>
      <c r="B67" s="170"/>
      <c r="C67" s="170" t="s">
        <v>224</v>
      </c>
      <c r="D67" s="8" t="s">
        <v>225</v>
      </c>
      <c r="E67" s="2" t="s">
        <v>181</v>
      </c>
      <c r="F67" s="2">
        <v>0.08</v>
      </c>
      <c r="G67" s="103">
        <v>35.630000000000003</v>
      </c>
      <c r="H67" s="32">
        <f t="shared" si="2"/>
        <v>2.85</v>
      </c>
    </row>
    <row r="68" spans="1:8" x14ac:dyDescent="0.25">
      <c r="A68" s="2">
        <f t="shared" si="3"/>
        <v>52</v>
      </c>
      <c r="B68" s="170"/>
      <c r="C68" s="170" t="s">
        <v>226</v>
      </c>
      <c r="D68" s="8" t="s">
        <v>227</v>
      </c>
      <c r="E68" s="2" t="s">
        <v>181</v>
      </c>
      <c r="F68" s="2">
        <v>8.0000000000000002E-3</v>
      </c>
      <c r="G68" s="103">
        <v>133.05000000000001</v>
      </c>
      <c r="H68" s="32">
        <f t="shared" si="2"/>
        <v>1.06</v>
      </c>
    </row>
    <row r="69" spans="1:8" x14ac:dyDescent="0.25">
      <c r="A69" s="2">
        <f t="shared" si="3"/>
        <v>53</v>
      </c>
      <c r="B69" s="170"/>
      <c r="C69" s="170" t="s">
        <v>228</v>
      </c>
      <c r="D69" s="8" t="s">
        <v>229</v>
      </c>
      <c r="E69" s="2" t="s">
        <v>170</v>
      </c>
      <c r="F69" s="2">
        <v>0.02</v>
      </c>
      <c r="G69" s="103">
        <v>26.6</v>
      </c>
      <c r="H69" s="32">
        <f t="shared" si="2"/>
        <v>0.53</v>
      </c>
    </row>
    <row r="70" spans="1:8" ht="25.5" customHeight="1" x14ac:dyDescent="0.25">
      <c r="A70" s="2">
        <f t="shared" si="3"/>
        <v>54</v>
      </c>
      <c r="B70" s="170"/>
      <c r="C70" s="170" t="s">
        <v>230</v>
      </c>
      <c r="D70" s="8" t="s">
        <v>231</v>
      </c>
      <c r="E70" s="2" t="s">
        <v>181</v>
      </c>
      <c r="F70" s="2">
        <v>0.01</v>
      </c>
      <c r="G70" s="103">
        <v>28.22</v>
      </c>
      <c r="H70" s="32">
        <f t="shared" si="2"/>
        <v>0.28000000000000003</v>
      </c>
    </row>
    <row r="71" spans="1:8" x14ac:dyDescent="0.25">
      <c r="A71" s="2">
        <f t="shared" si="3"/>
        <v>55</v>
      </c>
      <c r="B71" s="170"/>
      <c r="C71" s="170" t="s">
        <v>232</v>
      </c>
      <c r="D71" s="8" t="s">
        <v>233</v>
      </c>
      <c r="E71" s="2" t="s">
        <v>170</v>
      </c>
      <c r="F71" s="2">
        <v>0.12239999999999999</v>
      </c>
      <c r="G71" s="103">
        <v>2</v>
      </c>
      <c r="H71" s="32">
        <f t="shared" si="2"/>
        <v>0.24</v>
      </c>
    </row>
    <row r="72" spans="1:8" x14ac:dyDescent="0.25">
      <c r="A72" s="2">
        <f t="shared" si="3"/>
        <v>56</v>
      </c>
      <c r="B72" s="170"/>
      <c r="C72" s="170" t="s">
        <v>234</v>
      </c>
      <c r="D72" s="8" t="s">
        <v>235</v>
      </c>
      <c r="E72" s="2" t="s">
        <v>181</v>
      </c>
      <c r="F72" s="2">
        <v>1.6E-2</v>
      </c>
      <c r="G72" s="103">
        <v>11.5</v>
      </c>
      <c r="H72" s="32">
        <f t="shared" si="2"/>
        <v>0.18</v>
      </c>
    </row>
    <row r="73" spans="1:8" x14ac:dyDescent="0.25">
      <c r="C73" s="147"/>
      <c r="D73" s="145"/>
      <c r="E73" s="146"/>
      <c r="F73" s="146"/>
      <c r="G73" s="148"/>
      <c r="H73" s="158"/>
    </row>
    <row r="74" spans="1:8" ht="25.5" customHeight="1" x14ac:dyDescent="0.25">
      <c r="B74" s="155"/>
      <c r="C74" s="256"/>
      <c r="D74" s="256"/>
      <c r="E74" s="256"/>
      <c r="F74" s="256"/>
      <c r="G74" s="256"/>
      <c r="H74" s="256"/>
    </row>
    <row r="78" spans="1:8" x14ac:dyDescent="0.25">
      <c r="B78" s="4" t="s">
        <v>75</v>
      </c>
      <c r="C78" s="12"/>
      <c r="H78"/>
    </row>
    <row r="79" spans="1:8" x14ac:dyDescent="0.25">
      <c r="B79" s="33" t="s">
        <v>76</v>
      </c>
      <c r="C79" s="12"/>
      <c r="H79"/>
    </row>
    <row r="80" spans="1:8" x14ac:dyDescent="0.25">
      <c r="B80" s="4"/>
      <c r="C80" s="12"/>
      <c r="H80"/>
    </row>
    <row r="81" spans="2:8" x14ac:dyDescent="0.25">
      <c r="B81" s="4" t="s">
        <v>77</v>
      </c>
      <c r="C81" s="12"/>
      <c r="H81"/>
    </row>
    <row r="82" spans="2:8" x14ac:dyDescent="0.25">
      <c r="B82" s="33" t="s">
        <v>78</v>
      </c>
      <c r="C82" s="12"/>
      <c r="H82"/>
    </row>
  </sheetData>
  <mergeCells count="17">
    <mergeCell ref="C74:H74"/>
    <mergeCell ref="A3:H3"/>
    <mergeCell ref="D9:D10"/>
    <mergeCell ref="C9:C10"/>
    <mergeCell ref="B9:B10"/>
    <mergeCell ref="G9:H9"/>
    <mergeCell ref="A6:H7"/>
    <mergeCell ref="A2:H2"/>
    <mergeCell ref="A18:D18"/>
    <mergeCell ref="A20:D20"/>
    <mergeCell ref="A38:D38"/>
    <mergeCell ref="A34:D34"/>
    <mergeCell ref="A9:A10"/>
    <mergeCell ref="A12:D12"/>
    <mergeCell ref="E9:E10"/>
    <mergeCell ref="F9:F10"/>
    <mergeCell ref="C4:H4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6" t="s">
        <v>236</v>
      </c>
      <c r="B1" s="236"/>
      <c r="C1" s="236"/>
      <c r="D1" s="236"/>
    </row>
    <row r="2" spans="1:10" x14ac:dyDescent="0.25">
      <c r="A2" s="258" t="str">
        <f>'4.1 Отдел 1'!A10</f>
        <v>И5-05-02</v>
      </c>
      <c r="B2" s="258"/>
      <c r="C2" s="258"/>
      <c r="D2" s="258"/>
    </row>
    <row r="3" spans="1:10" x14ac:dyDescent="0.25">
      <c r="A3" s="259"/>
      <c r="B3" s="259"/>
      <c r="C3" s="259"/>
      <c r="D3" s="259"/>
    </row>
    <row r="4" spans="1:10" ht="51.75" customHeight="1" x14ac:dyDescent="0.25">
      <c r="A4" s="233" t="str">
        <f>'Прил. 3'!A6</f>
        <v>Наименование разрабатываемого показателя УНЦ - Элементы ПС без устройства фундаментов. Цифровой ТТ на три фазы 110 кВ.</v>
      </c>
      <c r="B4" s="233"/>
      <c r="C4" s="233"/>
      <c r="D4" s="233"/>
    </row>
    <row r="5" spans="1:10" ht="15" customHeight="1" x14ac:dyDescent="0.25">
      <c r="A5" s="233"/>
      <c r="B5" s="260"/>
      <c r="C5" s="260"/>
      <c r="D5" s="260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237</v>
      </c>
      <c r="B7" s="2" t="s">
        <v>103</v>
      </c>
      <c r="C7" s="2" t="s">
        <v>238</v>
      </c>
      <c r="D7" s="2" t="s">
        <v>239</v>
      </c>
    </row>
    <row r="8" spans="1:10" x14ac:dyDescent="0.25">
      <c r="A8" s="25" t="s">
        <v>240</v>
      </c>
      <c r="B8" s="26">
        <f>'Прил.5 Расчет СМР и ОБ'!G16</f>
        <v>14904.12</v>
      </c>
      <c r="C8" s="27">
        <f t="shared" ref="C8:C15" si="0">B8/$B$21</f>
        <v>0.19836000293864001</v>
      </c>
      <c r="D8" s="27">
        <f t="shared" ref="D8:D15" si="1">B8/$B$35</f>
        <v>1.1016517396288001E-2</v>
      </c>
      <c r="I8" s="28"/>
      <c r="J8" s="28"/>
    </row>
    <row r="9" spans="1:10" x14ac:dyDescent="0.25">
      <c r="A9" s="25" t="s">
        <v>241</v>
      </c>
      <c r="B9" s="26">
        <f>'Прил.5 Расчет СМР и ОБ'!G24</f>
        <v>14959.78</v>
      </c>
      <c r="C9" s="27">
        <f t="shared" si="0"/>
        <v>0.19910078587407001</v>
      </c>
      <c r="D9" s="27">
        <f t="shared" si="1"/>
        <v>1.1057658997286999E-2</v>
      </c>
      <c r="I9" s="28"/>
      <c r="J9" s="28"/>
    </row>
    <row r="10" spans="1:10" x14ac:dyDescent="0.25">
      <c r="A10" s="25" t="s">
        <v>242</v>
      </c>
      <c r="B10" s="26">
        <f>'Прил.5 Расчет СМР и ОБ'!G35</f>
        <v>2589.0300000000002</v>
      </c>
      <c r="C10" s="27">
        <f t="shared" si="0"/>
        <v>3.4457586117680003E-2</v>
      </c>
      <c r="D10" s="27">
        <f t="shared" si="1"/>
        <v>1.9137053401684001E-3</v>
      </c>
      <c r="I10" s="28"/>
      <c r="J10" s="28"/>
    </row>
    <row r="11" spans="1:10" x14ac:dyDescent="0.25">
      <c r="A11" s="25" t="s">
        <v>243</v>
      </c>
      <c r="B11" s="26">
        <f>B9+B10</f>
        <v>17548.810000000001</v>
      </c>
      <c r="C11" s="27">
        <f t="shared" si="0"/>
        <v>0.23355837199175</v>
      </c>
      <c r="D11" s="27">
        <f t="shared" si="1"/>
        <v>1.2971364337455001E-2</v>
      </c>
      <c r="I11" s="28"/>
      <c r="J11" s="28"/>
    </row>
    <row r="12" spans="1:10" x14ac:dyDescent="0.25">
      <c r="A12" s="25" t="s">
        <v>244</v>
      </c>
      <c r="B12" s="26">
        <f>'Прил.5 Расчет СМР и ОБ'!G18</f>
        <v>505.69066666665998</v>
      </c>
      <c r="C12" s="27">
        <f t="shared" si="0"/>
        <v>6.7302733825307E-3</v>
      </c>
      <c r="D12" s="27">
        <f t="shared" si="1"/>
        <v>3.7378590795523E-4</v>
      </c>
      <c r="I12" s="28"/>
      <c r="J12" s="28"/>
    </row>
    <row r="13" spans="1:10" x14ac:dyDescent="0.25">
      <c r="A13" s="25" t="s">
        <v>245</v>
      </c>
      <c r="B13" s="26">
        <f>'Прил.5 Расчет СМР и ОБ'!G54</f>
        <v>22852.57</v>
      </c>
      <c r="C13" s="27">
        <f t="shared" si="0"/>
        <v>0.30414649455019999</v>
      </c>
      <c r="D13" s="27">
        <f t="shared" si="1"/>
        <v>1.6891687329066998E-2</v>
      </c>
      <c r="I13" s="28"/>
      <c r="J13" s="28"/>
    </row>
    <row r="14" spans="1:10" x14ac:dyDescent="0.25">
      <c r="A14" s="25" t="s">
        <v>246</v>
      </c>
      <c r="B14" s="26">
        <f>'Прил.5 Расчет СМР и ОБ'!G83</f>
        <v>3034.53</v>
      </c>
      <c r="C14" s="27">
        <f t="shared" si="0"/>
        <v>4.0386777596892999E-2</v>
      </c>
      <c r="D14" s="27">
        <f t="shared" si="1"/>
        <v>2.2430007631821002E-3</v>
      </c>
      <c r="I14" s="28"/>
      <c r="J14" s="28"/>
    </row>
    <row r="15" spans="1:10" x14ac:dyDescent="0.25">
      <c r="A15" s="25" t="s">
        <v>247</v>
      </c>
      <c r="B15" s="26">
        <f>B13+B14</f>
        <v>25887.1</v>
      </c>
      <c r="C15" s="27">
        <f t="shared" si="0"/>
        <v>0.34453327214709001</v>
      </c>
      <c r="D15" s="27">
        <f t="shared" si="1"/>
        <v>1.9134688092249E-2</v>
      </c>
      <c r="I15" s="28"/>
      <c r="J15" s="28"/>
    </row>
    <row r="16" spans="1:10" x14ac:dyDescent="0.25">
      <c r="A16" s="25" t="s">
        <v>248</v>
      </c>
      <c r="B16" s="26">
        <f>B8+B11+B15</f>
        <v>58340.03</v>
      </c>
      <c r="C16" s="27"/>
      <c r="D16" s="27"/>
      <c r="I16" s="28"/>
      <c r="J16" s="28"/>
    </row>
    <row r="17" spans="1:10" x14ac:dyDescent="0.25">
      <c r="A17" s="25" t="s">
        <v>249</v>
      </c>
      <c r="B17" s="26">
        <f>'Прил.5 Расчет СМР и ОБ'!G87</f>
        <v>7088.51</v>
      </c>
      <c r="C17" s="27">
        <f>B17/$B$21</f>
        <v>9.4341488422704997E-2</v>
      </c>
      <c r="D17" s="27">
        <f>B17/$B$35</f>
        <v>5.2395373714623997E-3</v>
      </c>
      <c r="I17" s="28"/>
      <c r="J17" s="28"/>
    </row>
    <row r="18" spans="1:10" x14ac:dyDescent="0.25">
      <c r="A18" s="25" t="s">
        <v>250</v>
      </c>
      <c r="B18" s="29">
        <f>B17/(B8+B12)</f>
        <v>0.45999981137557999</v>
      </c>
      <c r="C18" s="27"/>
      <c r="D18" s="27"/>
      <c r="I18" s="28"/>
      <c r="J18" s="28"/>
    </row>
    <row r="19" spans="1:10" x14ac:dyDescent="0.25">
      <c r="A19" s="25" t="s">
        <v>251</v>
      </c>
      <c r="B19" s="26">
        <f>'Прил.5 Расчет СМР и ОБ'!G86</f>
        <v>9708.18</v>
      </c>
      <c r="C19" s="27">
        <f>B19/$B$21</f>
        <v>0.12920686449981</v>
      </c>
      <c r="D19" s="27">
        <f>B19/$B$35</f>
        <v>7.1758905494785996E-3</v>
      </c>
      <c r="I19" s="28"/>
      <c r="J19" s="28"/>
    </row>
    <row r="20" spans="1:10" x14ac:dyDescent="0.25">
      <c r="A20" s="25" t="s">
        <v>252</v>
      </c>
      <c r="B20" s="29">
        <f>B19/(B8+B12)</f>
        <v>0.62999995327652003</v>
      </c>
      <c r="C20" s="27"/>
      <c r="D20" s="27"/>
      <c r="J20" s="28"/>
    </row>
    <row r="21" spans="1:10" x14ac:dyDescent="0.25">
      <c r="A21" s="25" t="s">
        <v>253</v>
      </c>
      <c r="B21" s="26">
        <f>B16+B17+B19</f>
        <v>75136.72</v>
      </c>
      <c r="C21" s="27">
        <f>B21/$B$21</f>
        <v>1</v>
      </c>
      <c r="D21" s="27">
        <f>B21/$B$35</f>
        <v>5.5537997746933E-2</v>
      </c>
      <c r="J21" s="28"/>
    </row>
    <row r="22" spans="1:10" ht="26.45" customHeight="1" x14ac:dyDescent="0.25">
      <c r="A22" s="25" t="s">
        <v>254</v>
      </c>
      <c r="B22" s="26">
        <f>'Прил.6 Расчет ОБ'!G16</f>
        <v>1302951.4025558999</v>
      </c>
      <c r="C22" s="27"/>
      <c r="D22" s="27">
        <f>B22/$B$35</f>
        <v>0.96308851463723</v>
      </c>
      <c r="J22" s="28"/>
    </row>
    <row r="23" spans="1:10" ht="26.45" customHeight="1" x14ac:dyDescent="0.25">
      <c r="A23" s="25" t="s">
        <v>255</v>
      </c>
      <c r="B23" s="26">
        <f>'Прил.6 Расчет ОБ'!G15</f>
        <v>1302951.4025558999</v>
      </c>
      <c r="C23" s="27"/>
      <c r="D23" s="27">
        <f>B23/$B$35</f>
        <v>0.96308851463723</v>
      </c>
      <c r="J23" s="28"/>
    </row>
    <row r="24" spans="1:10" x14ac:dyDescent="0.25">
      <c r="A24" s="25" t="s">
        <v>256</v>
      </c>
      <c r="B24" s="26">
        <f>'Прил.5 Расчет СМР и ОБ'!G89</f>
        <v>1305347.6017891001</v>
      </c>
      <c r="C24" s="27"/>
      <c r="D24" s="27">
        <f>B24/$B$35</f>
        <v>0.96485968734233996</v>
      </c>
      <c r="J24" s="28"/>
    </row>
    <row r="25" spans="1:10" ht="26.45" customHeight="1" x14ac:dyDescent="0.25">
      <c r="A25" s="25" t="s">
        <v>257</v>
      </c>
      <c r="B25" s="26"/>
      <c r="C25" s="27"/>
      <c r="D25" s="27"/>
      <c r="J25" s="28"/>
    </row>
    <row r="26" spans="1:10" x14ac:dyDescent="0.25">
      <c r="A26" s="25" t="s">
        <v>258</v>
      </c>
      <c r="B26" s="26">
        <f>'4.7 Прил.6 Расчет Прочие'!I9*1000</f>
        <v>278.41007999999999</v>
      </c>
      <c r="C26" s="27"/>
      <c r="D26" s="27">
        <f>B26/$B$35</f>
        <v>2.0578937163831E-4</v>
      </c>
      <c r="J26" s="28"/>
    </row>
    <row r="27" spans="1:10" x14ac:dyDescent="0.25">
      <c r="A27" s="25" t="s">
        <v>259</v>
      </c>
      <c r="B27" s="26">
        <f>'4.7 Прил.6 Расчет Прочие'!I11*1000</f>
        <v>86.950678710000005</v>
      </c>
      <c r="C27" s="27"/>
      <c r="D27" s="27">
        <f>B27/$B$35</f>
        <v>6.4270394000300003E-5</v>
      </c>
      <c r="J27" s="28"/>
    </row>
    <row r="28" spans="1:10" x14ac:dyDescent="0.25">
      <c r="A28" s="25" t="s">
        <v>260</v>
      </c>
      <c r="B28" s="26">
        <f>'4.7 Прил.6 Расчет Прочие'!I12*1000</f>
        <v>5470.4031199999999</v>
      </c>
      <c r="C28" s="27"/>
      <c r="D28" s="27">
        <f>B28/$B$35</f>
        <v>4.0434987866568E-3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261</v>
      </c>
      <c r="B30" s="26">
        <f>'4.7 Прил.6 Расчет Прочие'!I14*1000</f>
        <v>2300.6417510043998</v>
      </c>
      <c r="C30" s="27"/>
      <c r="D30" s="27">
        <f>B30/$B$35</f>
        <v>1.7005405131310001E-3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262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263</v>
      </c>
      <c r="B33" s="26">
        <f>B24+B26+B27+B28+B30+B32</f>
        <v>1313484.0074189</v>
      </c>
      <c r="C33" s="27"/>
      <c r="D33" s="27">
        <f>B33/$B$35</f>
        <v>0.97087378640777</v>
      </c>
      <c r="J33" s="28"/>
    </row>
    <row r="34" spans="1:10" x14ac:dyDescent="0.25">
      <c r="A34" s="25" t="s">
        <v>264</v>
      </c>
      <c r="B34" s="26">
        <f>B33*3%</f>
        <v>39404.520222566003</v>
      </c>
      <c r="C34" s="27"/>
      <c r="D34" s="27">
        <f>B34/$B$35</f>
        <v>2.9126213592233E-2</v>
      </c>
      <c r="J34" s="28"/>
    </row>
    <row r="35" spans="1:10" x14ac:dyDescent="0.25">
      <c r="A35" s="25" t="s">
        <v>265</v>
      </c>
      <c r="B35" s="26">
        <f>B33+B34</f>
        <v>1352888.5276414</v>
      </c>
      <c r="C35" s="27"/>
      <c r="D35" s="27">
        <f>B35/$B$35</f>
        <v>1</v>
      </c>
      <c r="J35" s="28"/>
    </row>
    <row r="36" spans="1:10" x14ac:dyDescent="0.25">
      <c r="A36" s="25" t="s">
        <v>266</v>
      </c>
      <c r="B36" s="26">
        <f>B35</f>
        <v>1352888.5276414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267</v>
      </c>
      <c r="B38" s="30"/>
      <c r="C38" s="30"/>
      <c r="D38" s="30"/>
    </row>
    <row r="39" spans="1:10" x14ac:dyDescent="0.25">
      <c r="A39" s="31" t="s">
        <v>268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269</v>
      </c>
      <c r="B41" s="30"/>
      <c r="C41" s="30"/>
      <c r="D41" s="30"/>
    </row>
    <row r="42" spans="1:10" x14ac:dyDescent="0.25">
      <c r="A42" s="31" t="s">
        <v>270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5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271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0" t="s">
        <v>236</v>
      </c>
      <c r="C5" s="230"/>
      <c r="D5" s="230"/>
      <c r="E5" s="230"/>
    </row>
    <row r="6" spans="2:5" x14ac:dyDescent="0.25">
      <c r="B6" s="139"/>
      <c r="C6" s="4"/>
      <c r="D6" s="4"/>
      <c r="E6" s="4"/>
    </row>
    <row r="7" spans="2:5" ht="25.5" customHeight="1" x14ac:dyDescent="0.25">
      <c r="B7" s="260" t="s">
        <v>48</v>
      </c>
      <c r="C7" s="260"/>
      <c r="D7" s="260"/>
      <c r="E7" s="260"/>
    </row>
    <row r="8" spans="2:5" x14ac:dyDescent="0.25">
      <c r="B8" s="261" t="s">
        <v>50</v>
      </c>
      <c r="C8" s="261"/>
      <c r="D8" s="261"/>
      <c r="E8" s="261"/>
    </row>
    <row r="9" spans="2:5" x14ac:dyDescent="0.25">
      <c r="B9" s="139"/>
      <c r="C9" s="4"/>
      <c r="D9" s="4"/>
      <c r="E9" s="4"/>
    </row>
    <row r="10" spans="2:5" ht="51" customHeight="1" x14ac:dyDescent="0.25">
      <c r="B10" s="2" t="s">
        <v>237</v>
      </c>
      <c r="C10" s="2" t="s">
        <v>272</v>
      </c>
      <c r="D10" s="2" t="s">
        <v>273</v>
      </c>
      <c r="E10" s="2" t="s">
        <v>274</v>
      </c>
    </row>
    <row r="11" spans="2:5" x14ac:dyDescent="0.25">
      <c r="B11" s="25" t="s">
        <v>240</v>
      </c>
      <c r="C11" s="181">
        <f>'Прил.5 Расчет СМР и ОБ'!J16</f>
        <v>687406.32</v>
      </c>
      <c r="D11" s="27">
        <f t="shared" ref="D11:D18" si="0">C11/$C$24</f>
        <v>0.36072828892081998</v>
      </c>
      <c r="E11" s="27">
        <f t="shared" ref="E11:E18" si="1">C11/$C$40</f>
        <v>6.5432511818218006E-2</v>
      </c>
    </row>
    <row r="12" spans="2:5" x14ac:dyDescent="0.25">
      <c r="B12" s="25" t="s">
        <v>241</v>
      </c>
      <c r="C12" s="181">
        <f>'Прил.5 Расчет СМР и ОБ'!J24</f>
        <v>201508.24</v>
      </c>
      <c r="D12" s="27">
        <f t="shared" si="0"/>
        <v>0.10574491462145</v>
      </c>
      <c r="E12" s="27">
        <f t="shared" si="1"/>
        <v>1.9181072259080001E-2</v>
      </c>
    </row>
    <row r="13" spans="2:5" x14ac:dyDescent="0.25">
      <c r="B13" s="25" t="s">
        <v>242</v>
      </c>
      <c r="C13" s="181">
        <f>'Прил.5 Расчет СМР и ОБ'!J35</f>
        <v>34874.15</v>
      </c>
      <c r="D13" s="27">
        <f t="shared" si="0"/>
        <v>1.8300810002835E-2</v>
      </c>
      <c r="E13" s="27">
        <f t="shared" si="1"/>
        <v>3.3195843064482001E-3</v>
      </c>
    </row>
    <row r="14" spans="2:5" x14ac:dyDescent="0.25">
      <c r="B14" s="25" t="s">
        <v>243</v>
      </c>
      <c r="C14" s="181">
        <f>C13+C12</f>
        <v>236382.39</v>
      </c>
      <c r="D14" s="27">
        <f t="shared" si="0"/>
        <v>0.12404572462429</v>
      </c>
      <c r="E14" s="27">
        <f t="shared" si="1"/>
        <v>2.2500656565528E-2</v>
      </c>
    </row>
    <row r="15" spans="2:5" x14ac:dyDescent="0.25">
      <c r="B15" s="25" t="s">
        <v>244</v>
      </c>
      <c r="C15" s="181">
        <f>'Прил.5 Расчет СМР и ОБ'!J18</f>
        <v>22397</v>
      </c>
      <c r="D15" s="27">
        <f t="shared" si="0"/>
        <v>1.1753210949471E-2</v>
      </c>
      <c r="E15" s="27">
        <f t="shared" si="1"/>
        <v>2.1319151781913001E-3</v>
      </c>
    </row>
    <row r="16" spans="2:5" x14ac:dyDescent="0.25">
      <c r="B16" s="25" t="s">
        <v>245</v>
      </c>
      <c r="C16" s="181">
        <f>'Прил.5 Расчет СМР и ОБ'!J54</f>
        <v>183734.68</v>
      </c>
      <c r="D16" s="27">
        <f t="shared" si="0"/>
        <v>9.6417933329178002E-2</v>
      </c>
      <c r="E16" s="27">
        <f t="shared" si="1"/>
        <v>1.7489250928790001E-2</v>
      </c>
    </row>
    <row r="17" spans="2:7" x14ac:dyDescent="0.25">
      <c r="B17" s="25" t="s">
        <v>246</v>
      </c>
      <c r="C17" s="181">
        <f>'Прил.5 Расчет СМР и ОБ'!J83</f>
        <v>24397.9</v>
      </c>
      <c r="D17" s="27">
        <f t="shared" si="0"/>
        <v>1.2803217637367E-2</v>
      </c>
      <c r="E17" s="27">
        <f t="shared" si="1"/>
        <v>2.3223759131131001E-3</v>
      </c>
      <c r="G17" s="140"/>
    </row>
    <row r="18" spans="2:7" x14ac:dyDescent="0.25">
      <c r="B18" s="25" t="s">
        <v>247</v>
      </c>
      <c r="C18" s="181">
        <f>C17+C16</f>
        <v>208132.58</v>
      </c>
      <c r="D18" s="27">
        <f t="shared" si="0"/>
        <v>0.10922115096654</v>
      </c>
      <c r="E18" s="27">
        <f t="shared" si="1"/>
        <v>1.9811626841904E-2</v>
      </c>
    </row>
    <row r="19" spans="2:7" x14ac:dyDescent="0.25">
      <c r="B19" s="25" t="s">
        <v>248</v>
      </c>
      <c r="C19" s="181">
        <f>C18+C14+C11</f>
        <v>1131921.29</v>
      </c>
      <c r="D19" s="27"/>
      <c r="E19" s="25"/>
    </row>
    <row r="20" spans="2:7" x14ac:dyDescent="0.25">
      <c r="B20" s="25" t="s">
        <v>249</v>
      </c>
      <c r="C20" s="181">
        <f>ROUND(C21*(C11+C15),2)</f>
        <v>326509.53000000003</v>
      </c>
      <c r="D20" s="27">
        <f>C20/$C$24</f>
        <v>0.17134149140968</v>
      </c>
      <c r="E20" s="27">
        <f>C20/$C$40</f>
        <v>3.1079636684872999E-2</v>
      </c>
    </row>
    <row r="21" spans="2:7" x14ac:dyDescent="0.25">
      <c r="B21" s="25" t="s">
        <v>250</v>
      </c>
      <c r="C21" s="29">
        <f>'Прил.5 Расчет СМР и ОБ'!D87</f>
        <v>0.46</v>
      </c>
      <c r="D21" s="27"/>
      <c r="E21" s="25"/>
    </row>
    <row r="22" spans="2:7" x14ac:dyDescent="0.25">
      <c r="B22" s="25" t="s">
        <v>251</v>
      </c>
      <c r="C22" s="181">
        <f>ROUND(C23*(C11+C15),2)</f>
        <v>447176.09</v>
      </c>
      <c r="D22" s="27">
        <f>C22/$C$24</f>
        <v>0.23466334407865999</v>
      </c>
      <c r="E22" s="27">
        <f>C22/$C$40</f>
        <v>4.2565588855438E-2</v>
      </c>
    </row>
    <row r="23" spans="2:7" x14ac:dyDescent="0.25">
      <c r="B23" s="25" t="s">
        <v>252</v>
      </c>
      <c r="C23" s="29">
        <f>'Прил.5 Расчет СМР и ОБ'!D86</f>
        <v>0.63</v>
      </c>
      <c r="D23" s="27"/>
      <c r="E23" s="25"/>
    </row>
    <row r="24" spans="2:7" x14ac:dyDescent="0.25">
      <c r="B24" s="25" t="s">
        <v>253</v>
      </c>
      <c r="C24" s="181">
        <f>C19+C20+C22</f>
        <v>1905606.91</v>
      </c>
      <c r="D24" s="27">
        <f>C24/$C$24</f>
        <v>1</v>
      </c>
      <c r="E24" s="27">
        <f>C24/$C$40</f>
        <v>0.18139002076596</v>
      </c>
    </row>
    <row r="25" spans="2:7" ht="25.5" customHeight="1" x14ac:dyDescent="0.25">
      <c r="B25" s="25" t="s">
        <v>254</v>
      </c>
      <c r="C25" s="181">
        <f>'Прил.5 Расчет СМР и ОБ'!J44</f>
        <v>7701120.1200000001</v>
      </c>
      <c r="D25" s="27"/>
      <c r="E25" s="27">
        <f>C25/$C$40</f>
        <v>0.73305062610628002</v>
      </c>
    </row>
    <row r="26" spans="2:7" ht="25.5" customHeight="1" x14ac:dyDescent="0.25">
      <c r="B26" s="25" t="s">
        <v>255</v>
      </c>
      <c r="C26" s="181">
        <f>C25</f>
        <v>7701120.1200000001</v>
      </c>
      <c r="D26" s="27"/>
      <c r="E26" s="27">
        <f>C26/$C$40</f>
        <v>0.73305062610628002</v>
      </c>
    </row>
    <row r="27" spans="2:7" x14ac:dyDescent="0.25">
      <c r="B27" s="25" t="s">
        <v>256</v>
      </c>
      <c r="C27" s="26">
        <f>C24+C25</f>
        <v>9606727.0299999993</v>
      </c>
      <c r="D27" s="27"/>
      <c r="E27" s="27">
        <f>C27/$C$40</f>
        <v>0.91444064687224003</v>
      </c>
    </row>
    <row r="28" spans="2:7" ht="33" customHeight="1" x14ac:dyDescent="0.25">
      <c r="B28" s="25" t="s">
        <v>257</v>
      </c>
      <c r="C28" s="25"/>
      <c r="D28" s="25"/>
      <c r="E28" s="25"/>
    </row>
    <row r="29" spans="2:7" ht="25.5" customHeight="1" x14ac:dyDescent="0.25">
      <c r="B29" s="25" t="s">
        <v>275</v>
      </c>
      <c r="C29" s="26">
        <f>ROUND(C24*3.9%,2)</f>
        <v>74318.67</v>
      </c>
      <c r="D29" s="25"/>
      <c r="E29" s="27">
        <f t="shared" ref="E29:E38" si="2">C29/$C$40</f>
        <v>7.0742108584180997E-3</v>
      </c>
    </row>
    <row r="30" spans="2:7" ht="38.25" customHeight="1" x14ac:dyDescent="0.25">
      <c r="B30" s="25" t="s">
        <v>276</v>
      </c>
      <c r="C30" s="26">
        <f>ROUND((C24+C29)*2.1%,2)</f>
        <v>41578.44</v>
      </c>
      <c r="D30" s="25"/>
      <c r="E30" s="27">
        <f t="shared" si="2"/>
        <v>3.9577491325408004E-3</v>
      </c>
    </row>
    <row r="31" spans="2:7" ht="25.5" customHeight="1" x14ac:dyDescent="0.25">
      <c r="B31" s="25" t="s">
        <v>277</v>
      </c>
      <c r="C31" s="26">
        <v>243752.4</v>
      </c>
      <c r="D31" s="25"/>
      <c r="E31" s="27">
        <f t="shared" si="2"/>
        <v>2.3202189636136999E-2</v>
      </c>
    </row>
    <row r="32" spans="2:7" ht="25.5" customHeight="1" x14ac:dyDescent="0.25">
      <c r="B32" s="25" t="s">
        <v>278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279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280</v>
      </c>
      <c r="C34" s="26">
        <f>ROUND(C27*0%,2)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281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282</v>
      </c>
      <c r="C36" s="26">
        <f>ROUND((C27+C32+C33+C34+C35+C29+C31+C30)*2.14%,2)</f>
        <v>213280.46</v>
      </c>
      <c r="D36" s="25"/>
      <c r="E36" s="27">
        <f t="shared" si="2"/>
        <v>2.0301640839648999E-2</v>
      </c>
      <c r="L36" s="141"/>
    </row>
    <row r="37" spans="2:12" x14ac:dyDescent="0.25">
      <c r="B37" s="25" t="s">
        <v>283</v>
      </c>
      <c r="C37" s="26">
        <f>ROUND((C27+C32+C33+C34+C35+C29+C31+C30)*0.2%,2)</f>
        <v>19932.75</v>
      </c>
      <c r="D37" s="25"/>
      <c r="E37" s="27">
        <f t="shared" si="2"/>
        <v>1.8973492998211E-3</v>
      </c>
      <c r="L37" s="141"/>
    </row>
    <row r="38" spans="2:12" ht="38.25" customHeight="1" x14ac:dyDescent="0.25">
      <c r="B38" s="25" t="s">
        <v>263</v>
      </c>
      <c r="C38" s="181">
        <f>C27+C32+C33+C34+C35+C29+C31+C30+C36+C37</f>
        <v>10199589.75</v>
      </c>
      <c r="D38" s="25"/>
      <c r="E38" s="27">
        <f t="shared" si="2"/>
        <v>0.97087378663879997</v>
      </c>
    </row>
    <row r="39" spans="2:12" ht="13.5" customHeight="1" x14ac:dyDescent="0.25">
      <c r="B39" s="25" t="s">
        <v>264</v>
      </c>
      <c r="C39" s="181">
        <f>ROUND(C38*3%,2)</f>
        <v>305987.69</v>
      </c>
      <c r="D39" s="25"/>
      <c r="E39" s="27">
        <f>C39/$C$38</f>
        <v>2.9999999754891999E-2</v>
      </c>
    </row>
    <row r="40" spans="2:12" x14ac:dyDescent="0.25">
      <c r="B40" s="25" t="s">
        <v>265</v>
      </c>
      <c r="C40" s="181">
        <f>C39+C38</f>
        <v>10505577.439999999</v>
      </c>
      <c r="D40" s="25"/>
      <c r="E40" s="27">
        <f>C40/$C$40</f>
        <v>1</v>
      </c>
    </row>
    <row r="41" spans="2:12" x14ac:dyDescent="0.25">
      <c r="B41" s="25" t="s">
        <v>266</v>
      </c>
      <c r="C41" s="181">
        <f>C40/'Прил.5 Расчет СМР и ОБ'!E90</f>
        <v>5252788.72</v>
      </c>
      <c r="D41" s="25"/>
      <c r="E41" s="25"/>
    </row>
    <row r="42" spans="2:12" x14ac:dyDescent="0.25">
      <c r="B42" s="142"/>
      <c r="C42" s="4"/>
      <c r="D42" s="4"/>
      <c r="E42" s="4"/>
    </row>
    <row r="43" spans="2:12" x14ac:dyDescent="0.25">
      <c r="B43" s="4" t="s">
        <v>75</v>
      </c>
      <c r="C43" s="12"/>
    </row>
    <row r="44" spans="2:12" x14ac:dyDescent="0.25">
      <c r="B44" s="33" t="s">
        <v>76</v>
      </c>
      <c r="C44" s="12"/>
    </row>
    <row r="45" spans="2:12" x14ac:dyDescent="0.25">
      <c r="B45" s="4"/>
      <c r="C45" s="12"/>
    </row>
    <row r="46" spans="2:12" x14ac:dyDescent="0.25">
      <c r="B46" s="4" t="s">
        <v>77</v>
      </c>
      <c r="C46" s="12"/>
    </row>
    <row r="47" spans="2:12" x14ac:dyDescent="0.25">
      <c r="B47" s="33" t="s">
        <v>78</v>
      </c>
      <c r="C47" s="1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6"/>
  <sheetViews>
    <sheetView tabSelected="1" view="pageBreakPreview" topLeftCell="A49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2" t="s">
        <v>284</v>
      </c>
      <c r="I2" s="272"/>
      <c r="J2" s="272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0" t="s">
        <v>285</v>
      </c>
      <c r="B4" s="230"/>
      <c r="C4" s="230"/>
      <c r="D4" s="230"/>
      <c r="E4" s="230"/>
      <c r="F4" s="230"/>
      <c r="G4" s="230"/>
      <c r="H4" s="230"/>
      <c r="I4" s="230"/>
      <c r="J4" s="230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194" t="s">
        <v>286</v>
      </c>
      <c r="B6" s="194"/>
      <c r="C6" s="194"/>
      <c r="D6" s="194" t="s">
        <v>287</v>
      </c>
      <c r="E6" s="194"/>
      <c r="F6" s="194"/>
      <c r="G6" s="194"/>
      <c r="H6" s="194"/>
      <c r="I6" s="144"/>
      <c r="J6" s="144"/>
    </row>
    <row r="7" spans="1:14" s="4" customFormat="1" ht="12.75" customHeight="1" x14ac:dyDescent="0.2">
      <c r="A7" s="233" t="s">
        <v>288</v>
      </c>
      <c r="B7" s="260"/>
      <c r="C7" s="260"/>
      <c r="D7" s="260"/>
      <c r="E7" s="260"/>
      <c r="F7" s="260"/>
      <c r="G7" s="260"/>
      <c r="H7" s="260"/>
      <c r="I7" s="49"/>
      <c r="J7" s="49"/>
    </row>
    <row r="8" spans="1:14" s="4" customFormat="1" ht="13.5" customHeight="1" x14ac:dyDescent="0.2">
      <c r="A8" s="233"/>
      <c r="B8" s="260"/>
      <c r="C8" s="260"/>
      <c r="D8" s="260"/>
      <c r="E8" s="260"/>
      <c r="F8" s="260"/>
      <c r="G8" s="260"/>
      <c r="H8" s="260"/>
    </row>
    <row r="9" spans="1:14" ht="27" customHeight="1" x14ac:dyDescent="0.25">
      <c r="A9" s="263" t="s">
        <v>13</v>
      </c>
      <c r="B9" s="263" t="s">
        <v>99</v>
      </c>
      <c r="C9" s="263" t="s">
        <v>237</v>
      </c>
      <c r="D9" s="263" t="s">
        <v>101</v>
      </c>
      <c r="E9" s="275" t="s">
        <v>289</v>
      </c>
      <c r="F9" s="273" t="s">
        <v>103</v>
      </c>
      <c r="G9" s="274"/>
      <c r="H9" s="275" t="s">
        <v>290</v>
      </c>
      <c r="I9" s="273" t="s">
        <v>291</v>
      </c>
      <c r="J9" s="274"/>
      <c r="M9" s="12"/>
      <c r="N9" s="12"/>
    </row>
    <row r="10" spans="1:14" ht="28.5" customHeight="1" x14ac:dyDescent="0.25">
      <c r="A10" s="263"/>
      <c r="B10" s="263"/>
      <c r="C10" s="263"/>
      <c r="D10" s="263"/>
      <c r="E10" s="276"/>
      <c r="F10" s="2" t="s">
        <v>292</v>
      </c>
      <c r="G10" s="2" t="s">
        <v>105</v>
      </c>
      <c r="H10" s="276"/>
      <c r="I10" s="2" t="s">
        <v>292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2">
        <v>9</v>
      </c>
      <c r="J11" s="182">
        <v>10</v>
      </c>
      <c r="M11" s="12"/>
      <c r="N11" s="12"/>
    </row>
    <row r="12" spans="1:14" x14ac:dyDescent="0.25">
      <c r="A12" s="2"/>
      <c r="B12" s="267" t="s">
        <v>293</v>
      </c>
      <c r="C12" s="262"/>
      <c r="D12" s="263"/>
      <c r="E12" s="264"/>
      <c r="F12" s="265"/>
      <c r="G12" s="265"/>
      <c r="H12" s="266"/>
      <c r="I12" s="185"/>
      <c r="J12" s="185"/>
    </row>
    <row r="13" spans="1:14" ht="25.5" customHeight="1" x14ac:dyDescent="0.25">
      <c r="A13" s="2">
        <v>1</v>
      </c>
      <c r="B13" s="170" t="s">
        <v>116</v>
      </c>
      <c r="C13" s="8" t="s">
        <v>294</v>
      </c>
      <c r="D13" s="2" t="s">
        <v>295</v>
      </c>
      <c r="E13" s="224">
        <f>G13/F13</f>
        <v>563.79625779625997</v>
      </c>
      <c r="F13" s="32">
        <v>9.6199999999999992</v>
      </c>
      <c r="G13" s="32">
        <v>5423.72</v>
      </c>
      <c r="H13" s="186">
        <f>G13/G16</f>
        <v>0.36390742962348999</v>
      </c>
      <c r="I13" s="32">
        <f>ФОТр.тек.!E13</f>
        <v>444.39870291576</v>
      </c>
      <c r="J13" s="32">
        <f>ROUND(I13*E13,2)</f>
        <v>250550.33</v>
      </c>
    </row>
    <row r="14" spans="1:14" x14ac:dyDescent="0.25">
      <c r="A14" s="2">
        <v>2</v>
      </c>
      <c r="B14" s="170" t="s">
        <v>109</v>
      </c>
      <c r="C14" s="8" t="s">
        <v>110</v>
      </c>
      <c r="D14" s="2" t="s">
        <v>295</v>
      </c>
      <c r="E14" s="224">
        <f>G14/F14</f>
        <v>320.50032278890001</v>
      </c>
      <c r="F14" s="32">
        <v>15.49</v>
      </c>
      <c r="G14" s="32">
        <v>4964.55</v>
      </c>
      <c r="H14" s="186">
        <f>G14/G16</f>
        <v>0.33309916989395999</v>
      </c>
      <c r="I14" s="32">
        <f>ФОТр.тек.!E21</f>
        <v>713.02776960364997</v>
      </c>
      <c r="J14" s="32">
        <f>ROUND(I14*E14,2)</f>
        <v>228525.63</v>
      </c>
    </row>
    <row r="15" spans="1:14" x14ac:dyDescent="0.25">
      <c r="A15" s="2">
        <v>3</v>
      </c>
      <c r="B15" s="170" t="s">
        <v>113</v>
      </c>
      <c r="C15" s="8" t="s">
        <v>114</v>
      </c>
      <c r="D15" s="2" t="s">
        <v>295</v>
      </c>
      <c r="E15" s="224">
        <f>G15/F15</f>
        <v>320.50035486159999</v>
      </c>
      <c r="F15" s="32">
        <v>14.09</v>
      </c>
      <c r="G15" s="32">
        <v>4515.8500000000004</v>
      </c>
      <c r="H15" s="186">
        <f>G15/G16</f>
        <v>0.30299340048255002</v>
      </c>
      <c r="I15" s="32">
        <f>ФОТр.тек.!E29</f>
        <v>650.01601322007002</v>
      </c>
      <c r="J15" s="32">
        <f>ROUND(I15*E15,2)</f>
        <v>208330.36</v>
      </c>
    </row>
    <row r="16" spans="1:14" s="12" customFormat="1" ht="25.5" customHeight="1" x14ac:dyDescent="0.2">
      <c r="A16" s="2"/>
      <c r="B16" s="2"/>
      <c r="C16" s="104" t="s">
        <v>296</v>
      </c>
      <c r="D16" s="2" t="s">
        <v>295</v>
      </c>
      <c r="E16" s="176">
        <f>SUM(E13:E15)</f>
        <v>1204.7969354468</v>
      </c>
      <c r="F16" s="32"/>
      <c r="G16" s="32">
        <f>SUM(G13:G15)</f>
        <v>14904.12</v>
      </c>
      <c r="H16" s="184">
        <v>1</v>
      </c>
      <c r="I16" s="185"/>
      <c r="J16" s="32">
        <f>SUM(J13:J15)</f>
        <v>687406.32</v>
      </c>
    </row>
    <row r="17" spans="1:10" s="12" customFormat="1" ht="14.25" customHeight="1" x14ac:dyDescent="0.2">
      <c r="A17" s="2"/>
      <c r="B17" s="262" t="s">
        <v>124</v>
      </c>
      <c r="C17" s="262"/>
      <c r="D17" s="263"/>
      <c r="E17" s="264"/>
      <c r="F17" s="265"/>
      <c r="G17" s="265"/>
      <c r="H17" s="266"/>
      <c r="I17" s="185"/>
      <c r="J17" s="185"/>
    </row>
    <row r="18" spans="1:10" s="12" customFormat="1" ht="14.25" customHeight="1" x14ac:dyDescent="0.2">
      <c r="A18" s="2">
        <v>4</v>
      </c>
      <c r="B18" s="2">
        <v>2</v>
      </c>
      <c r="C18" s="8" t="s">
        <v>124</v>
      </c>
      <c r="D18" s="2" t="s">
        <v>295</v>
      </c>
      <c r="E18" s="32">
        <v>17.87584</v>
      </c>
      <c r="F18" s="32">
        <v>28.289057558507</v>
      </c>
      <c r="G18" s="32">
        <f>E18*F18</f>
        <v>505.69066666665998</v>
      </c>
      <c r="H18" s="184">
        <v>1</v>
      </c>
      <c r="I18" s="32">
        <f>ROUND(F18*'Прил. 10'!D11,2)</f>
        <v>1252.92</v>
      </c>
      <c r="J18" s="32">
        <f>ROUND(I18*E18,2)</f>
        <v>22397</v>
      </c>
    </row>
    <row r="19" spans="1:10" s="12" customFormat="1" ht="14.25" customHeight="1" x14ac:dyDescent="0.2">
      <c r="A19" s="2"/>
      <c r="B19" s="267" t="s">
        <v>125</v>
      </c>
      <c r="C19" s="262"/>
      <c r="D19" s="263"/>
      <c r="E19" s="264"/>
      <c r="F19" s="265"/>
      <c r="G19" s="265"/>
      <c r="H19" s="266"/>
      <c r="I19" s="185"/>
      <c r="J19" s="185"/>
    </row>
    <row r="20" spans="1:10" s="12" customFormat="1" ht="14.25" customHeight="1" x14ac:dyDescent="0.2">
      <c r="A20" s="2"/>
      <c r="B20" s="262" t="s">
        <v>297</v>
      </c>
      <c r="C20" s="262"/>
      <c r="D20" s="263"/>
      <c r="E20" s="264"/>
      <c r="F20" s="265"/>
      <c r="G20" s="265"/>
      <c r="H20" s="266"/>
      <c r="I20" s="185"/>
      <c r="J20" s="185"/>
    </row>
    <row r="21" spans="1:10" s="12" customFormat="1" ht="25.5" customHeight="1" x14ac:dyDescent="0.2">
      <c r="A21" s="2">
        <v>5</v>
      </c>
      <c r="B21" s="170" t="s">
        <v>129</v>
      </c>
      <c r="C21" s="8" t="s">
        <v>298</v>
      </c>
      <c r="D21" s="2" t="s">
        <v>299</v>
      </c>
      <c r="E21" s="176">
        <v>22.98</v>
      </c>
      <c r="F21" s="32">
        <v>287.99</v>
      </c>
      <c r="G21" s="32">
        <f>ROUND(E21*F21,2)</f>
        <v>6618.01</v>
      </c>
      <c r="H21" s="186">
        <f>G21/$G$36</f>
        <v>0.37712015800502002</v>
      </c>
      <c r="I21" s="32">
        <f>ROUND(F21*'Прил. 10'!$D$12,2)</f>
        <v>3879.23</v>
      </c>
      <c r="J21" s="32">
        <f>ROUND(I21*E21,2)</f>
        <v>89144.71</v>
      </c>
    </row>
    <row r="22" spans="1:10" s="12" customFormat="1" ht="38.25" customHeight="1" x14ac:dyDescent="0.2">
      <c r="A22" s="2">
        <v>6</v>
      </c>
      <c r="B22" s="170" t="s">
        <v>126</v>
      </c>
      <c r="C22" s="8" t="s">
        <v>127</v>
      </c>
      <c r="D22" s="2" t="s">
        <v>299</v>
      </c>
      <c r="E22" s="176">
        <v>48</v>
      </c>
      <c r="F22" s="32">
        <v>110.86</v>
      </c>
      <c r="G22" s="32">
        <f>ROUND(E22*F22,2)</f>
        <v>5321.28</v>
      </c>
      <c r="H22" s="186">
        <f>G22/$G$36</f>
        <v>0.30322739832501</v>
      </c>
      <c r="I22" s="32">
        <f>ROUND(F22*'Прил. 10'!$D$12,2)</f>
        <v>1493.28</v>
      </c>
      <c r="J22" s="32">
        <f>ROUND(I22*E22,2)</f>
        <v>71677.440000000002</v>
      </c>
    </row>
    <row r="23" spans="1:10" s="12" customFormat="1" ht="25.5" customHeight="1" x14ac:dyDescent="0.2">
      <c r="A23" s="2">
        <v>7</v>
      </c>
      <c r="B23" s="170" t="s">
        <v>131</v>
      </c>
      <c r="C23" s="8" t="s">
        <v>300</v>
      </c>
      <c r="D23" s="2" t="s">
        <v>299</v>
      </c>
      <c r="E23" s="176">
        <v>22.98</v>
      </c>
      <c r="F23" s="32">
        <v>131.44</v>
      </c>
      <c r="G23" s="32">
        <f>ROUND(E23*F23,2)</f>
        <v>3020.49</v>
      </c>
      <c r="H23" s="186">
        <f>G23/$G$36</f>
        <v>0.17211936307931999</v>
      </c>
      <c r="I23" s="32">
        <f>ROUND(F23*'Прил. 10'!$D$12,2)</f>
        <v>1770.5</v>
      </c>
      <c r="J23" s="32">
        <f>ROUND(I23*E23,2)</f>
        <v>40686.089999999997</v>
      </c>
    </row>
    <row r="24" spans="1:10" s="12" customFormat="1" ht="14.25" customHeight="1" x14ac:dyDescent="0.2">
      <c r="A24" s="2"/>
      <c r="B24" s="170"/>
      <c r="C24" s="8" t="s">
        <v>301</v>
      </c>
      <c r="D24" s="2"/>
      <c r="E24" s="176"/>
      <c r="F24" s="32"/>
      <c r="G24" s="32">
        <f>SUM(G21:G23)</f>
        <v>14959.78</v>
      </c>
      <c r="H24" s="186">
        <f>G24/G36</f>
        <v>0.85246691940935004</v>
      </c>
      <c r="I24" s="32"/>
      <c r="J24" s="32">
        <f>SUM(J21:J23)</f>
        <v>201508.24</v>
      </c>
    </row>
    <row r="25" spans="1:10" s="12" customFormat="1" ht="25.5" customHeight="1" outlineLevel="1" x14ac:dyDescent="0.2">
      <c r="A25" s="2">
        <v>8</v>
      </c>
      <c r="B25" s="170" t="s">
        <v>133</v>
      </c>
      <c r="C25" s="8" t="s">
        <v>134</v>
      </c>
      <c r="D25" s="2" t="s">
        <v>299</v>
      </c>
      <c r="E25" s="176">
        <v>15.05</v>
      </c>
      <c r="F25" s="32">
        <v>111.99</v>
      </c>
      <c r="G25" s="32">
        <f t="shared" ref="G25:G34" si="0">ROUND(E25*F25,2)</f>
        <v>1685.45</v>
      </c>
      <c r="H25" s="186">
        <f t="shared" ref="H25:H34" si="1">G25/$G$36</f>
        <v>9.6043549391667996E-2</v>
      </c>
      <c r="I25" s="32">
        <f>ROUND(F25*'Прил. 10'!$D$12,2)</f>
        <v>1508.51</v>
      </c>
      <c r="J25" s="32">
        <f t="shared" ref="J25:J34" si="2">ROUND(I25*E25,2)</f>
        <v>22703.08</v>
      </c>
    </row>
    <row r="26" spans="1:10" s="12" customFormat="1" ht="25.5" customHeight="1" outlineLevel="1" x14ac:dyDescent="0.2">
      <c r="A26" s="2">
        <v>9</v>
      </c>
      <c r="B26" s="170" t="s">
        <v>137</v>
      </c>
      <c r="C26" s="8" t="s">
        <v>138</v>
      </c>
      <c r="D26" s="2" t="s">
        <v>299</v>
      </c>
      <c r="E26" s="176">
        <v>14.19</v>
      </c>
      <c r="F26" s="32">
        <v>29.6</v>
      </c>
      <c r="G26" s="32">
        <f t="shared" si="0"/>
        <v>420.02</v>
      </c>
      <c r="H26" s="186">
        <f t="shared" si="1"/>
        <v>2.3934386434179999E-2</v>
      </c>
      <c r="I26" s="32">
        <f>ROUND(F26*'Прил. 10'!$D$12,2)</f>
        <v>398.71</v>
      </c>
      <c r="J26" s="32">
        <f t="shared" si="2"/>
        <v>5657.69</v>
      </c>
    </row>
    <row r="27" spans="1:10" s="12" customFormat="1" ht="25.5" customHeight="1" outlineLevel="1" x14ac:dyDescent="0.2">
      <c r="A27" s="2">
        <v>10</v>
      </c>
      <c r="B27" s="170" t="s">
        <v>135</v>
      </c>
      <c r="C27" s="8" t="s">
        <v>136</v>
      </c>
      <c r="D27" s="2" t="s">
        <v>299</v>
      </c>
      <c r="E27" s="176">
        <v>5.9</v>
      </c>
      <c r="F27" s="32">
        <v>65.709999999999994</v>
      </c>
      <c r="G27" s="32">
        <f t="shared" si="0"/>
        <v>387.69</v>
      </c>
      <c r="H27" s="186">
        <f t="shared" si="1"/>
        <v>2.2092096273195E-2</v>
      </c>
      <c r="I27" s="32">
        <f>ROUND(F27*'Прил. 10'!$D$12,2)</f>
        <v>885.11</v>
      </c>
      <c r="J27" s="32">
        <f t="shared" si="2"/>
        <v>5222.1499999999996</v>
      </c>
    </row>
    <row r="28" spans="1:10" s="12" customFormat="1" ht="25.5" customHeight="1" outlineLevel="1" x14ac:dyDescent="0.2">
      <c r="A28" s="2">
        <v>11</v>
      </c>
      <c r="B28" s="170" t="s">
        <v>139</v>
      </c>
      <c r="C28" s="8" t="s">
        <v>140</v>
      </c>
      <c r="D28" s="2" t="s">
        <v>299</v>
      </c>
      <c r="E28" s="176">
        <v>5.78</v>
      </c>
      <c r="F28" s="32">
        <v>8.1</v>
      </c>
      <c r="G28" s="32">
        <f t="shared" si="0"/>
        <v>46.82</v>
      </c>
      <c r="H28" s="186">
        <f t="shared" si="1"/>
        <v>2.6679871740591002E-3</v>
      </c>
      <c r="I28" s="32">
        <f>ROUND(F28*'Прил. 10'!$D$12,2)</f>
        <v>109.11</v>
      </c>
      <c r="J28" s="32">
        <f t="shared" si="2"/>
        <v>630.66</v>
      </c>
    </row>
    <row r="29" spans="1:10" s="12" customFormat="1" ht="25.5" customHeight="1" outlineLevel="1" x14ac:dyDescent="0.2">
      <c r="A29" s="2">
        <v>12</v>
      </c>
      <c r="B29" s="170" t="s">
        <v>141</v>
      </c>
      <c r="C29" s="8" t="s">
        <v>142</v>
      </c>
      <c r="D29" s="2" t="s">
        <v>299</v>
      </c>
      <c r="E29" s="176">
        <v>45.96</v>
      </c>
      <c r="F29" s="32">
        <v>0.9</v>
      </c>
      <c r="G29" s="32">
        <f t="shared" si="0"/>
        <v>41.36</v>
      </c>
      <c r="H29" s="186">
        <f t="shared" si="1"/>
        <v>2.3568549662342001E-3</v>
      </c>
      <c r="I29" s="32">
        <f>ROUND(F29*'Прил. 10'!$D$12,2)</f>
        <v>12.12</v>
      </c>
      <c r="J29" s="32">
        <f t="shared" si="2"/>
        <v>557.04</v>
      </c>
    </row>
    <row r="30" spans="1:10" s="12" customFormat="1" ht="25.5" customHeight="1" outlineLevel="1" x14ac:dyDescent="0.2">
      <c r="A30" s="2">
        <v>13</v>
      </c>
      <c r="B30" s="170" t="s">
        <v>143</v>
      </c>
      <c r="C30" s="8" t="s">
        <v>144</v>
      </c>
      <c r="D30" s="2" t="s">
        <v>299</v>
      </c>
      <c r="E30" s="176">
        <v>0.05</v>
      </c>
      <c r="F30" s="32">
        <v>70</v>
      </c>
      <c r="G30" s="32">
        <f t="shared" si="0"/>
        <v>3.5</v>
      </c>
      <c r="H30" s="186">
        <f t="shared" si="1"/>
        <v>1.9944372296469001E-4</v>
      </c>
      <c r="I30" s="32">
        <f>ROUND(F30*'Прил. 10'!$D$12,2)</f>
        <v>942.9</v>
      </c>
      <c r="J30" s="32">
        <f t="shared" si="2"/>
        <v>47.15</v>
      </c>
    </row>
    <row r="31" spans="1:10" s="12" customFormat="1" ht="25.5" customHeight="1" outlineLevel="1" x14ac:dyDescent="0.2">
      <c r="A31" s="2">
        <v>14</v>
      </c>
      <c r="B31" s="170" t="s">
        <v>145</v>
      </c>
      <c r="C31" s="8" t="s">
        <v>146</v>
      </c>
      <c r="D31" s="2" t="s">
        <v>299</v>
      </c>
      <c r="E31" s="176">
        <v>0.05</v>
      </c>
      <c r="F31" s="32">
        <v>56.24</v>
      </c>
      <c r="G31" s="32">
        <f t="shared" si="0"/>
        <v>2.81</v>
      </c>
      <c r="H31" s="186">
        <f t="shared" si="1"/>
        <v>1.6012481758022001E-4</v>
      </c>
      <c r="I31" s="32">
        <f>ROUND(F31*'Прил. 10'!$D$12,2)</f>
        <v>757.55</v>
      </c>
      <c r="J31" s="32">
        <f t="shared" si="2"/>
        <v>37.880000000000003</v>
      </c>
    </row>
    <row r="32" spans="1:10" s="12" customFormat="1" ht="25.5" customHeight="1" outlineLevel="1" x14ac:dyDescent="0.2">
      <c r="A32" s="2">
        <v>15</v>
      </c>
      <c r="B32" s="170" t="s">
        <v>147</v>
      </c>
      <c r="C32" s="8" t="s">
        <v>148</v>
      </c>
      <c r="D32" s="2" t="s">
        <v>299</v>
      </c>
      <c r="E32" s="176">
        <v>0.05</v>
      </c>
      <c r="F32" s="32">
        <v>16.920000000000002</v>
      </c>
      <c r="G32" s="32">
        <f t="shared" si="0"/>
        <v>0.85</v>
      </c>
      <c r="H32" s="186">
        <f t="shared" si="1"/>
        <v>4.8436332719995999E-5</v>
      </c>
      <c r="I32" s="32">
        <f>ROUND(F32*'Прил. 10'!$D$12,2)</f>
        <v>227.91</v>
      </c>
      <c r="J32" s="32">
        <f t="shared" si="2"/>
        <v>11.4</v>
      </c>
    </row>
    <row r="33" spans="1:10" s="12" customFormat="1" ht="38.25" customHeight="1" outlineLevel="1" x14ac:dyDescent="0.2">
      <c r="A33" s="2">
        <v>16</v>
      </c>
      <c r="B33" s="170" t="s">
        <v>149</v>
      </c>
      <c r="C33" s="8" t="s">
        <v>150</v>
      </c>
      <c r="D33" s="2" t="s">
        <v>299</v>
      </c>
      <c r="E33" s="176">
        <v>0.06</v>
      </c>
      <c r="F33" s="32">
        <v>6.82</v>
      </c>
      <c r="G33" s="32">
        <f t="shared" si="0"/>
        <v>0.41</v>
      </c>
      <c r="H33" s="186">
        <f t="shared" si="1"/>
        <v>2.3363407547291999E-5</v>
      </c>
      <c r="I33" s="32">
        <f>ROUND(F33*'Прил. 10'!$D$12,2)</f>
        <v>91.87</v>
      </c>
      <c r="J33" s="32">
        <f t="shared" si="2"/>
        <v>5.51</v>
      </c>
    </row>
    <row r="34" spans="1:10" s="12" customFormat="1" ht="14.25" customHeight="1" outlineLevel="1" x14ac:dyDescent="0.2">
      <c r="A34" s="2">
        <v>17</v>
      </c>
      <c r="B34" s="170" t="s">
        <v>151</v>
      </c>
      <c r="C34" s="8" t="s">
        <v>152</v>
      </c>
      <c r="D34" s="2" t="s">
        <v>299</v>
      </c>
      <c r="E34" s="176">
        <v>0.05</v>
      </c>
      <c r="F34" s="32">
        <v>2.36</v>
      </c>
      <c r="G34" s="32">
        <f t="shared" si="0"/>
        <v>0.12</v>
      </c>
      <c r="H34" s="186">
        <f t="shared" si="1"/>
        <v>6.8380705016464999E-6</v>
      </c>
      <c r="I34" s="32">
        <f>ROUND(F34*'Прил. 10'!$D$12,2)</f>
        <v>31.79</v>
      </c>
      <c r="J34" s="32">
        <f t="shared" si="2"/>
        <v>1.59</v>
      </c>
    </row>
    <row r="35" spans="1:10" s="12" customFormat="1" ht="14.25" customHeight="1" x14ac:dyDescent="0.2">
      <c r="A35" s="2"/>
      <c r="B35" s="2"/>
      <c r="C35" s="8" t="s">
        <v>302</v>
      </c>
      <c r="D35" s="2"/>
      <c r="E35" s="183"/>
      <c r="F35" s="32"/>
      <c r="G35" s="187">
        <f>SUM(G25:G34)</f>
        <v>2589.0300000000002</v>
      </c>
      <c r="H35" s="186">
        <f>G35/G36</f>
        <v>0.14753308059065001</v>
      </c>
      <c r="I35" s="32"/>
      <c r="J35" s="32">
        <f>SUM(J25:J34)</f>
        <v>34874.15</v>
      </c>
    </row>
    <row r="36" spans="1:10" s="12" customFormat="1" ht="25.5" customHeight="1" x14ac:dyDescent="0.2">
      <c r="A36" s="2"/>
      <c r="B36" s="2"/>
      <c r="C36" s="104" t="s">
        <v>303</v>
      </c>
      <c r="D36" s="2"/>
      <c r="E36" s="183"/>
      <c r="F36" s="32"/>
      <c r="G36" s="32">
        <f>G35+G24</f>
        <v>17548.810000000001</v>
      </c>
      <c r="H36" s="188">
        <v>1</v>
      </c>
      <c r="I36" s="189"/>
      <c r="J36" s="190">
        <f>J35+J24</f>
        <v>236382.39</v>
      </c>
    </row>
    <row r="37" spans="1:10" s="12" customFormat="1" ht="14.25" customHeight="1" x14ac:dyDescent="0.2">
      <c r="A37" s="2"/>
      <c r="B37" s="267" t="s">
        <v>43</v>
      </c>
      <c r="C37" s="267"/>
      <c r="D37" s="268"/>
      <c r="E37" s="269"/>
      <c r="F37" s="270"/>
      <c r="G37" s="270"/>
      <c r="H37" s="271"/>
      <c r="I37" s="185"/>
      <c r="J37" s="185"/>
    </row>
    <row r="38" spans="1:10" x14ac:dyDescent="0.25">
      <c r="A38" s="2"/>
      <c r="B38" s="262" t="s">
        <v>304</v>
      </c>
      <c r="C38" s="262"/>
      <c r="D38" s="263"/>
      <c r="E38" s="264"/>
      <c r="F38" s="265"/>
      <c r="G38" s="265"/>
      <c r="H38" s="266"/>
      <c r="I38" s="185"/>
      <c r="J38" s="185"/>
    </row>
    <row r="39" spans="1:10" ht="25.5" customHeight="1" x14ac:dyDescent="0.25">
      <c r="A39" s="2">
        <v>18</v>
      </c>
      <c r="B39" s="170" t="s">
        <v>305</v>
      </c>
      <c r="C39" s="8" t="s">
        <v>154</v>
      </c>
      <c r="D39" s="2" t="s">
        <v>155</v>
      </c>
      <c r="E39" s="225">
        <v>6</v>
      </c>
      <c r="F39" s="32">
        <f>I39/'Прил. 10'!$D$14</f>
        <v>202056.99680510999</v>
      </c>
      <c r="G39" s="32">
        <f>F39*E39</f>
        <v>1212341.9808306999</v>
      </c>
      <c r="H39" s="184">
        <f t="shared" ref="H39:H44" si="3">G39/$G$44</f>
        <v>0.98547492854844998</v>
      </c>
      <c r="I39" s="32">
        <v>1264876.8</v>
      </c>
      <c r="J39" s="191">
        <f>ROUND(I39*E39,2)</f>
        <v>7589260.7999999998</v>
      </c>
    </row>
    <row r="40" spans="1:10" x14ac:dyDescent="0.25">
      <c r="A40" s="2"/>
      <c r="B40" s="2"/>
      <c r="C40" s="8" t="s">
        <v>306</v>
      </c>
      <c r="D40" s="2"/>
      <c r="E40" s="225"/>
      <c r="F40" s="103"/>
      <c r="G40" s="32">
        <f>G39</f>
        <v>1212341.9808306999</v>
      </c>
      <c r="H40" s="184">
        <f t="shared" si="3"/>
        <v>0.98547492854844998</v>
      </c>
      <c r="I40" s="187"/>
      <c r="J40" s="32">
        <f>J39</f>
        <v>7589260.7999999998</v>
      </c>
    </row>
    <row r="41" spans="1:10" ht="25.5" customHeight="1" x14ac:dyDescent="0.25">
      <c r="A41" s="2">
        <v>19</v>
      </c>
      <c r="B41" s="170" t="s">
        <v>153</v>
      </c>
      <c r="C41" s="8" t="s">
        <v>156</v>
      </c>
      <c r="D41" s="2" t="s">
        <v>155</v>
      </c>
      <c r="E41" s="225">
        <v>2</v>
      </c>
      <c r="F41" s="32">
        <f>I41/'Прил. 10'!$D$14</f>
        <v>4887.5798722045001</v>
      </c>
      <c r="G41" s="32">
        <f>F41*E41</f>
        <v>9775.1597444089002</v>
      </c>
      <c r="H41" s="184">
        <f t="shared" si="3"/>
        <v>7.9459220277685993E-3</v>
      </c>
      <c r="I41" s="32">
        <v>30596.25</v>
      </c>
      <c r="J41" s="191">
        <f>ROUND(I41*E41,2)</f>
        <v>61192.5</v>
      </c>
    </row>
    <row r="42" spans="1:10" ht="38.25" customHeight="1" x14ac:dyDescent="0.25">
      <c r="A42" s="2">
        <v>20</v>
      </c>
      <c r="B42" s="170" t="s">
        <v>153</v>
      </c>
      <c r="C42" s="8" t="s">
        <v>157</v>
      </c>
      <c r="D42" s="2" t="s">
        <v>155</v>
      </c>
      <c r="E42" s="225">
        <v>2</v>
      </c>
      <c r="F42" s="32">
        <f>I42/'Прил. 10'!$D$14</f>
        <v>4046.8706070287999</v>
      </c>
      <c r="G42" s="32">
        <f>F42*E42</f>
        <v>8093.7412140574997</v>
      </c>
      <c r="H42" s="184">
        <f t="shared" si="3"/>
        <v>6.5791494237854003E-3</v>
      </c>
      <c r="I42" s="32">
        <v>25333.41</v>
      </c>
      <c r="J42" s="191">
        <f>ROUND(I42*E42,2)</f>
        <v>50666.82</v>
      </c>
    </row>
    <row r="43" spans="1:10" x14ac:dyDescent="0.25">
      <c r="A43" s="2"/>
      <c r="B43" s="2"/>
      <c r="C43" s="8" t="s">
        <v>307</v>
      </c>
      <c r="D43" s="2"/>
      <c r="E43" s="176"/>
      <c r="F43" s="103"/>
      <c r="G43" s="32">
        <f>SUM(G41:G42)</f>
        <v>17868.900958466002</v>
      </c>
      <c r="H43" s="184">
        <f t="shared" si="3"/>
        <v>1.4525071451554E-2</v>
      </c>
      <c r="I43" s="187"/>
      <c r="J43" s="32">
        <f>SUM(J41:J42)</f>
        <v>111859.32</v>
      </c>
    </row>
    <row r="44" spans="1:10" x14ac:dyDescent="0.25">
      <c r="A44" s="2"/>
      <c r="B44" s="2"/>
      <c r="C44" s="104" t="s">
        <v>308</v>
      </c>
      <c r="D44" s="2"/>
      <c r="E44" s="183"/>
      <c r="F44" s="103"/>
      <c r="G44" s="32">
        <f>G40+G43</f>
        <v>1230210.8817890999</v>
      </c>
      <c r="H44" s="184">
        <f t="shared" si="3"/>
        <v>1</v>
      </c>
      <c r="I44" s="187"/>
      <c r="J44" s="32">
        <f>J43+J40</f>
        <v>7701120.1200000001</v>
      </c>
    </row>
    <row r="45" spans="1:10" ht="25.5" customHeight="1" x14ac:dyDescent="0.25">
      <c r="A45" s="2"/>
      <c r="B45" s="2"/>
      <c r="C45" s="8" t="s">
        <v>309</v>
      </c>
      <c r="D45" s="2"/>
      <c r="E45" s="192"/>
      <c r="F45" s="103"/>
      <c r="G45" s="32">
        <f>G44</f>
        <v>1230210.8817890999</v>
      </c>
      <c r="H45" s="184"/>
      <c r="I45" s="187"/>
      <c r="J45" s="32">
        <f>J44</f>
        <v>7701120.1200000001</v>
      </c>
    </row>
    <row r="46" spans="1:10" s="12" customFormat="1" ht="14.25" customHeight="1" x14ac:dyDescent="0.2">
      <c r="A46" s="2"/>
      <c r="B46" s="267" t="s">
        <v>158</v>
      </c>
      <c r="C46" s="267"/>
      <c r="D46" s="268"/>
      <c r="E46" s="269"/>
      <c r="F46" s="270"/>
      <c r="G46" s="270"/>
      <c r="H46" s="271"/>
      <c r="I46" s="185"/>
      <c r="J46" s="185"/>
    </row>
    <row r="47" spans="1:10" s="12" customFormat="1" ht="14.25" customHeight="1" x14ac:dyDescent="0.2">
      <c r="A47" s="2"/>
      <c r="B47" s="262" t="s">
        <v>310</v>
      </c>
      <c r="C47" s="262"/>
      <c r="D47" s="263"/>
      <c r="E47" s="264"/>
      <c r="F47" s="265"/>
      <c r="G47" s="265"/>
      <c r="H47" s="266"/>
      <c r="I47" s="185"/>
      <c r="J47" s="185"/>
    </row>
    <row r="48" spans="1:10" s="12" customFormat="1" ht="25.5" customHeight="1" x14ac:dyDescent="0.2">
      <c r="A48" s="2">
        <v>21</v>
      </c>
      <c r="B48" s="170" t="s">
        <v>153</v>
      </c>
      <c r="C48" s="8" t="s">
        <v>159</v>
      </c>
      <c r="D48" s="2" t="s">
        <v>155</v>
      </c>
      <c r="E48" s="176">
        <v>6</v>
      </c>
      <c r="F48" s="32">
        <v>1642.73</v>
      </c>
      <c r="G48" s="32">
        <f t="shared" ref="G48:G53" si="4">ROUND(E48*F48,2)</f>
        <v>9856.3799999999992</v>
      </c>
      <c r="H48" s="186">
        <f t="shared" ref="H48:H62" si="5">G48/$G$84</f>
        <v>0.38074484975141998</v>
      </c>
      <c r="I48" s="32">
        <f>ROUND(F48*'Прил. 10'!$D$13,2)</f>
        <v>13207.55</v>
      </c>
      <c r="J48" s="32">
        <f t="shared" ref="J48:J53" si="6">ROUND(I48*E48,2)</f>
        <v>79245.3</v>
      </c>
    </row>
    <row r="49" spans="1:10" s="12" customFormat="1" ht="25.5" customHeight="1" x14ac:dyDescent="0.2">
      <c r="A49" s="2">
        <v>22</v>
      </c>
      <c r="B49" s="170" t="s">
        <v>160</v>
      </c>
      <c r="C49" s="8" t="s">
        <v>161</v>
      </c>
      <c r="D49" s="2" t="s">
        <v>162</v>
      </c>
      <c r="E49" s="176">
        <f>0.009*3*2</f>
        <v>5.3999999999999999E-2</v>
      </c>
      <c r="F49" s="32">
        <v>98440.41</v>
      </c>
      <c r="G49" s="32">
        <f t="shared" si="4"/>
        <v>5315.78</v>
      </c>
      <c r="H49" s="186">
        <f t="shared" si="5"/>
        <v>0.20534474699753999</v>
      </c>
      <c r="I49" s="32">
        <f>ROUND(F49*'Прил. 10'!$D$13,2)</f>
        <v>791460.9</v>
      </c>
      <c r="J49" s="32">
        <f t="shared" si="6"/>
        <v>42738.89</v>
      </c>
    </row>
    <row r="50" spans="1:10" s="12" customFormat="1" ht="14.25" customHeight="1" x14ac:dyDescent="0.2">
      <c r="A50" s="2">
        <v>23</v>
      </c>
      <c r="B50" s="170" t="s">
        <v>163</v>
      </c>
      <c r="C50" s="8" t="s">
        <v>164</v>
      </c>
      <c r="D50" s="2" t="s">
        <v>162</v>
      </c>
      <c r="E50" s="176">
        <f>0.016*3*2</f>
        <v>9.6000000000000002E-2</v>
      </c>
      <c r="F50" s="32">
        <v>38348.22</v>
      </c>
      <c r="G50" s="32">
        <f t="shared" si="4"/>
        <v>3681.43</v>
      </c>
      <c r="H50" s="186">
        <f t="shared" si="5"/>
        <v>0.14221098539426999</v>
      </c>
      <c r="I50" s="32">
        <f>ROUND(F50*'Прил. 10'!$D$13,2)</f>
        <v>308319.69</v>
      </c>
      <c r="J50" s="32">
        <f t="shared" si="6"/>
        <v>29598.69</v>
      </c>
    </row>
    <row r="51" spans="1:10" s="12" customFormat="1" ht="25.5" customHeight="1" x14ac:dyDescent="0.2">
      <c r="A51" s="2">
        <v>24</v>
      </c>
      <c r="B51" s="170" t="s">
        <v>165</v>
      </c>
      <c r="C51" s="8" t="s">
        <v>166</v>
      </c>
      <c r="D51" s="2" t="s">
        <v>167</v>
      </c>
      <c r="E51" s="176">
        <v>5.2150000000000002E-2</v>
      </c>
      <c r="F51" s="32">
        <v>34500.53</v>
      </c>
      <c r="G51" s="32">
        <f t="shared" si="4"/>
        <v>1799.2</v>
      </c>
      <c r="H51" s="186">
        <f t="shared" si="5"/>
        <v>6.9501798192922001E-2</v>
      </c>
      <c r="I51" s="32">
        <f>ROUND(F51*'Прил. 10'!$D$13,2)</f>
        <v>277384.26</v>
      </c>
      <c r="J51" s="32">
        <f t="shared" si="6"/>
        <v>14465.59</v>
      </c>
    </row>
    <row r="52" spans="1:10" s="12" customFormat="1" ht="25.5" customHeight="1" x14ac:dyDescent="0.2">
      <c r="A52" s="2">
        <v>25</v>
      </c>
      <c r="B52" s="170" t="s">
        <v>168</v>
      </c>
      <c r="C52" s="8" t="s">
        <v>169</v>
      </c>
      <c r="D52" s="2" t="s">
        <v>170</v>
      </c>
      <c r="E52" s="176">
        <v>0.18</v>
      </c>
      <c r="F52" s="32">
        <v>6505</v>
      </c>
      <c r="G52" s="32">
        <f t="shared" si="4"/>
        <v>1170.9000000000001</v>
      </c>
      <c r="H52" s="186">
        <f t="shared" si="5"/>
        <v>4.5231022401119002E-2</v>
      </c>
      <c r="I52" s="32">
        <f>ROUND(F52*'Прил. 10'!$D$13,2)</f>
        <v>52300.2</v>
      </c>
      <c r="J52" s="32">
        <f t="shared" si="6"/>
        <v>9414.0400000000009</v>
      </c>
    </row>
    <row r="53" spans="1:10" s="12" customFormat="1" ht="38.25" customHeight="1" x14ac:dyDescent="0.2">
      <c r="A53" s="2">
        <v>26</v>
      </c>
      <c r="B53" s="170" t="s">
        <v>171</v>
      </c>
      <c r="C53" s="8" t="s">
        <v>172</v>
      </c>
      <c r="D53" s="2" t="s">
        <v>173</v>
      </c>
      <c r="E53" s="176">
        <f>0.28*2</f>
        <v>0.56000000000000005</v>
      </c>
      <c r="F53" s="32">
        <v>1837.28</v>
      </c>
      <c r="G53" s="32">
        <f t="shared" si="4"/>
        <v>1028.8800000000001</v>
      </c>
      <c r="H53" s="186">
        <f t="shared" si="5"/>
        <v>3.9744892243626997E-2</v>
      </c>
      <c r="I53" s="32">
        <f>ROUND(F53*'Прил. 10'!$D$13,2)</f>
        <v>14771.73</v>
      </c>
      <c r="J53" s="32">
        <f t="shared" si="6"/>
        <v>8272.17</v>
      </c>
    </row>
    <row r="54" spans="1:10" s="12" customFormat="1" ht="14.25" customHeight="1" x14ac:dyDescent="0.2">
      <c r="A54" s="2"/>
      <c r="B54" s="170"/>
      <c r="C54" s="8" t="s">
        <v>311</v>
      </c>
      <c r="D54" s="2"/>
      <c r="E54" s="176"/>
      <c r="F54" s="32"/>
      <c r="G54" s="32">
        <f>SUM(G48:G53)</f>
        <v>22852.57</v>
      </c>
      <c r="H54" s="186">
        <f t="shared" si="5"/>
        <v>0.88277829498089999</v>
      </c>
      <c r="I54" s="32"/>
      <c r="J54" s="32">
        <f>SUM(J48:J53)</f>
        <v>183734.68</v>
      </c>
    </row>
    <row r="55" spans="1:10" s="12" customFormat="1" ht="14.25" customHeight="1" outlineLevel="1" x14ac:dyDescent="0.2">
      <c r="A55" s="2">
        <v>27</v>
      </c>
      <c r="B55" s="170" t="s">
        <v>174</v>
      </c>
      <c r="C55" s="8" t="s">
        <v>175</v>
      </c>
      <c r="D55" s="2" t="s">
        <v>176</v>
      </c>
      <c r="E55" s="176">
        <v>2</v>
      </c>
      <c r="F55" s="32">
        <v>485.39</v>
      </c>
      <c r="G55" s="32">
        <f t="shared" ref="G55:G62" si="7">ROUND(E55*F55,2)</f>
        <v>970.78</v>
      </c>
      <c r="H55" s="186">
        <f t="shared" si="5"/>
        <v>3.7500531152581999E-2</v>
      </c>
      <c r="I55" s="32">
        <f>ROUND(F55*'Прил. 10'!$D$13,2)</f>
        <v>3902.54</v>
      </c>
      <c r="J55" s="32">
        <f t="shared" ref="J55:J62" si="8">ROUND(I55*E55,2)</f>
        <v>7805.08</v>
      </c>
    </row>
    <row r="56" spans="1:10" s="12" customFormat="1" ht="51" customHeight="1" outlineLevel="1" x14ac:dyDescent="0.2">
      <c r="A56" s="2">
        <v>28</v>
      </c>
      <c r="B56" s="170" t="s">
        <v>177</v>
      </c>
      <c r="C56" s="8" t="s">
        <v>178</v>
      </c>
      <c r="D56" s="2" t="s">
        <v>155</v>
      </c>
      <c r="E56" s="176">
        <v>2</v>
      </c>
      <c r="F56" s="32">
        <v>240.8</v>
      </c>
      <c r="G56" s="32">
        <f t="shared" si="7"/>
        <v>481.6</v>
      </c>
      <c r="H56" s="186">
        <f t="shared" si="5"/>
        <v>1.8603860610111E-2</v>
      </c>
      <c r="I56" s="32">
        <f>ROUND(F56*'Прил. 10'!$D$13,2)</f>
        <v>1936.03</v>
      </c>
      <c r="J56" s="32">
        <f t="shared" si="8"/>
        <v>3872.06</v>
      </c>
    </row>
    <row r="57" spans="1:10" s="12" customFormat="1" ht="14.25" customHeight="1" outlineLevel="1" x14ac:dyDescent="0.2">
      <c r="A57" s="2">
        <v>29</v>
      </c>
      <c r="B57" s="170" t="s">
        <v>179</v>
      </c>
      <c r="C57" s="8" t="s">
        <v>180</v>
      </c>
      <c r="D57" s="2" t="s">
        <v>181</v>
      </c>
      <c r="E57" s="176">
        <v>8</v>
      </c>
      <c r="F57" s="32">
        <v>50</v>
      </c>
      <c r="G57" s="32">
        <f t="shared" si="7"/>
        <v>400</v>
      </c>
      <c r="H57" s="186">
        <f t="shared" si="5"/>
        <v>1.5451711470192E-2</v>
      </c>
      <c r="I57" s="32">
        <f>ROUND(F57*'Прил. 10'!$D$13,2)</f>
        <v>402</v>
      </c>
      <c r="J57" s="32">
        <f t="shared" si="8"/>
        <v>3216</v>
      </c>
    </row>
    <row r="58" spans="1:10" s="12" customFormat="1" ht="25.5" customHeight="1" outlineLevel="1" x14ac:dyDescent="0.2">
      <c r="A58" s="2">
        <v>30</v>
      </c>
      <c r="B58" s="170" t="s">
        <v>182</v>
      </c>
      <c r="C58" s="8" t="s">
        <v>183</v>
      </c>
      <c r="D58" s="2" t="s">
        <v>184</v>
      </c>
      <c r="E58" s="176">
        <v>236.2516</v>
      </c>
      <c r="F58" s="32">
        <v>1</v>
      </c>
      <c r="G58" s="32">
        <f t="shared" si="7"/>
        <v>236.25</v>
      </c>
      <c r="H58" s="186">
        <f t="shared" si="5"/>
        <v>9.1261670870820006E-3</v>
      </c>
      <c r="I58" s="32">
        <f>ROUND(F58*'Прил. 10'!$D$13,2)</f>
        <v>8.0399999999999991</v>
      </c>
      <c r="J58" s="32">
        <f t="shared" si="8"/>
        <v>1899.46</v>
      </c>
    </row>
    <row r="59" spans="1:10" s="12" customFormat="1" ht="25.5" customHeight="1" outlineLevel="1" x14ac:dyDescent="0.2">
      <c r="A59" s="2">
        <v>31</v>
      </c>
      <c r="B59" s="170" t="s">
        <v>185</v>
      </c>
      <c r="C59" s="8" t="s">
        <v>186</v>
      </c>
      <c r="D59" s="2" t="s">
        <v>173</v>
      </c>
      <c r="E59" s="176">
        <f>1*1*2</f>
        <v>2</v>
      </c>
      <c r="F59" s="32">
        <v>108.4</v>
      </c>
      <c r="G59" s="32">
        <f t="shared" si="7"/>
        <v>216.8</v>
      </c>
      <c r="H59" s="186">
        <f t="shared" si="5"/>
        <v>8.3748276168439002E-3</v>
      </c>
      <c r="I59" s="32">
        <f>ROUND(F59*'Прил. 10'!$D$13,2)</f>
        <v>871.54</v>
      </c>
      <c r="J59" s="32">
        <f t="shared" si="8"/>
        <v>1743.08</v>
      </c>
    </row>
    <row r="60" spans="1:10" s="12" customFormat="1" ht="25.5" customHeight="1" outlineLevel="1" x14ac:dyDescent="0.2">
      <c r="A60" s="2">
        <v>32</v>
      </c>
      <c r="B60" s="170" t="s">
        <v>187</v>
      </c>
      <c r="C60" s="8" t="s">
        <v>188</v>
      </c>
      <c r="D60" s="2" t="s">
        <v>167</v>
      </c>
      <c r="E60" s="176">
        <v>3.8600000000000002E-2</v>
      </c>
      <c r="F60" s="32">
        <v>5000</v>
      </c>
      <c r="G60" s="32">
        <f t="shared" si="7"/>
        <v>193</v>
      </c>
      <c r="H60" s="186">
        <f t="shared" si="5"/>
        <v>7.4554507843675004E-3</v>
      </c>
      <c r="I60" s="32">
        <f>ROUND(F60*'Прил. 10'!$D$13,2)</f>
        <v>40200</v>
      </c>
      <c r="J60" s="32">
        <f t="shared" si="8"/>
        <v>1551.72</v>
      </c>
    </row>
    <row r="61" spans="1:10" s="12" customFormat="1" ht="14.25" customHeight="1" outlineLevel="1" x14ac:dyDescent="0.2">
      <c r="A61" s="2">
        <v>33</v>
      </c>
      <c r="B61" s="170" t="s">
        <v>189</v>
      </c>
      <c r="C61" s="8" t="s">
        <v>190</v>
      </c>
      <c r="D61" s="2" t="s">
        <v>181</v>
      </c>
      <c r="E61" s="176">
        <v>15.378</v>
      </c>
      <c r="F61" s="32">
        <v>9.0399999999999991</v>
      </c>
      <c r="G61" s="32">
        <f t="shared" si="7"/>
        <v>139.02000000000001</v>
      </c>
      <c r="H61" s="186">
        <f t="shared" si="5"/>
        <v>5.3702423214651001E-3</v>
      </c>
      <c r="I61" s="32">
        <f>ROUND(F61*'Прил. 10'!$D$13,2)</f>
        <v>72.680000000000007</v>
      </c>
      <c r="J61" s="32">
        <f t="shared" si="8"/>
        <v>1117.67</v>
      </c>
    </row>
    <row r="62" spans="1:10" s="12" customFormat="1" ht="14.25" customHeight="1" outlineLevel="1" x14ac:dyDescent="0.2">
      <c r="A62" s="2">
        <v>34</v>
      </c>
      <c r="B62" s="170" t="s">
        <v>191</v>
      </c>
      <c r="C62" s="8" t="s">
        <v>192</v>
      </c>
      <c r="D62" s="2" t="s">
        <v>167</v>
      </c>
      <c r="E62" s="176">
        <v>1.8839999999999999E-2</v>
      </c>
      <c r="F62" s="32">
        <v>6159.22</v>
      </c>
      <c r="G62" s="32">
        <f t="shared" si="7"/>
        <v>116.04</v>
      </c>
      <c r="H62" s="186">
        <f t="shared" si="5"/>
        <v>4.4825414975026004E-3</v>
      </c>
      <c r="I62" s="32">
        <f>ROUND(F62*'Прил. 10'!$D$13,2)</f>
        <v>49520.13</v>
      </c>
      <c r="J62" s="32">
        <f t="shared" si="8"/>
        <v>932.96</v>
      </c>
    </row>
    <row r="63" spans="1:10" s="12" customFormat="1" ht="25.5" customHeight="1" outlineLevel="1" x14ac:dyDescent="0.2">
      <c r="A63" s="2">
        <v>35</v>
      </c>
      <c r="B63" s="170" t="s">
        <v>193</v>
      </c>
      <c r="C63" s="8" t="s">
        <v>194</v>
      </c>
      <c r="D63" s="2" t="s">
        <v>167</v>
      </c>
      <c r="E63" s="176">
        <v>0.01</v>
      </c>
      <c r="F63" s="32">
        <v>11500</v>
      </c>
      <c r="G63" s="32"/>
      <c r="H63" s="186"/>
      <c r="I63" s="32"/>
      <c r="J63" s="32"/>
    </row>
    <row r="64" spans="1:10" s="12" customFormat="1" ht="14.25" customHeight="1" outlineLevel="1" x14ac:dyDescent="0.2">
      <c r="A64" s="2">
        <v>36</v>
      </c>
      <c r="B64" s="170" t="s">
        <v>195</v>
      </c>
      <c r="C64" s="8" t="s">
        <v>196</v>
      </c>
      <c r="D64" s="2" t="s">
        <v>181</v>
      </c>
      <c r="E64" s="176">
        <v>2.6840000000000002</v>
      </c>
      <c r="F64" s="32">
        <v>28.6</v>
      </c>
      <c r="G64" s="32"/>
      <c r="H64" s="186"/>
      <c r="I64" s="32"/>
      <c r="J64" s="32"/>
    </row>
    <row r="65" spans="1:10" s="12" customFormat="1" ht="14.25" customHeight="1" outlineLevel="1" x14ac:dyDescent="0.2">
      <c r="A65" s="2">
        <v>37</v>
      </c>
      <c r="B65" s="170" t="s">
        <v>197</v>
      </c>
      <c r="C65" s="8" t="s">
        <v>198</v>
      </c>
      <c r="D65" s="2" t="s">
        <v>181</v>
      </c>
      <c r="E65" s="176">
        <v>0.27600000000000002</v>
      </c>
      <c r="F65" s="32">
        <v>238.48</v>
      </c>
      <c r="G65" s="32">
        <f t="shared" ref="G65:G82" si="9">ROUND(E65*F65,2)</f>
        <v>65.819999999999993</v>
      </c>
      <c r="H65" s="186">
        <f t="shared" ref="H65:H82" si="10">G65/$G$84</f>
        <v>2.54257912242E-3</v>
      </c>
      <c r="I65" s="32">
        <f>ROUND(F65*'Прил. 10'!$D$13,2)</f>
        <v>1917.38</v>
      </c>
      <c r="J65" s="32">
        <f t="shared" ref="J65:J82" si="11">ROUND(I65*E65,2)</f>
        <v>529.20000000000005</v>
      </c>
    </row>
    <row r="66" spans="1:10" s="12" customFormat="1" ht="14.25" customHeight="1" outlineLevel="1" x14ac:dyDescent="0.2">
      <c r="A66" s="2">
        <v>38</v>
      </c>
      <c r="B66" s="170" t="s">
        <v>199</v>
      </c>
      <c r="C66" s="8" t="s">
        <v>200</v>
      </c>
      <c r="D66" s="2" t="s">
        <v>170</v>
      </c>
      <c r="E66" s="176">
        <v>0.82</v>
      </c>
      <c r="F66" s="32">
        <v>63</v>
      </c>
      <c r="G66" s="32">
        <f t="shared" si="9"/>
        <v>51.66</v>
      </c>
      <c r="H66" s="186">
        <f t="shared" si="10"/>
        <v>1.9955885363753E-3</v>
      </c>
      <c r="I66" s="32">
        <f>ROUND(F66*'Прил. 10'!$D$13,2)</f>
        <v>506.52</v>
      </c>
      <c r="J66" s="32">
        <f t="shared" si="11"/>
        <v>415.35</v>
      </c>
    </row>
    <row r="67" spans="1:10" s="12" customFormat="1" ht="25.5" customHeight="1" outlineLevel="1" x14ac:dyDescent="0.2">
      <c r="A67" s="2">
        <v>39</v>
      </c>
      <c r="B67" s="170" t="s">
        <v>201</v>
      </c>
      <c r="C67" s="8" t="s">
        <v>202</v>
      </c>
      <c r="D67" s="2" t="s">
        <v>203</v>
      </c>
      <c r="E67" s="176">
        <v>0.2</v>
      </c>
      <c r="F67" s="32">
        <v>194.2</v>
      </c>
      <c r="G67" s="32">
        <f t="shared" si="9"/>
        <v>38.840000000000003</v>
      </c>
      <c r="H67" s="186">
        <f t="shared" si="10"/>
        <v>1.5003611837555999E-3</v>
      </c>
      <c r="I67" s="32">
        <f>ROUND(F67*'Прил. 10'!$D$13,2)</f>
        <v>1561.37</v>
      </c>
      <c r="J67" s="32">
        <f t="shared" si="11"/>
        <v>312.27</v>
      </c>
    </row>
    <row r="68" spans="1:10" s="12" customFormat="1" ht="25.5" customHeight="1" outlineLevel="1" x14ac:dyDescent="0.2">
      <c r="A68" s="2">
        <v>40</v>
      </c>
      <c r="B68" s="170" t="s">
        <v>204</v>
      </c>
      <c r="C68" s="8" t="s">
        <v>205</v>
      </c>
      <c r="D68" s="2" t="s">
        <v>167</v>
      </c>
      <c r="E68" s="176">
        <v>1.6000000000000001E-3</v>
      </c>
      <c r="F68" s="32">
        <v>17500</v>
      </c>
      <c r="G68" s="32">
        <f t="shared" si="9"/>
        <v>28</v>
      </c>
      <c r="H68" s="186">
        <f t="shared" si="10"/>
        <v>1.0816198029134001E-3</v>
      </c>
      <c r="I68" s="32">
        <f>ROUND(F68*'Прил. 10'!$D$13,2)</f>
        <v>140700</v>
      </c>
      <c r="J68" s="32">
        <f t="shared" si="11"/>
        <v>225.12</v>
      </c>
    </row>
    <row r="69" spans="1:10" s="12" customFormat="1" ht="14.25" customHeight="1" outlineLevel="1" x14ac:dyDescent="0.2">
      <c r="A69" s="2">
        <v>41</v>
      </c>
      <c r="B69" s="170" t="s">
        <v>206</v>
      </c>
      <c r="C69" s="8" t="s">
        <v>207</v>
      </c>
      <c r="D69" s="2" t="s">
        <v>181</v>
      </c>
      <c r="E69" s="176">
        <v>2.0960000000000001</v>
      </c>
      <c r="F69" s="32">
        <v>10.57</v>
      </c>
      <c r="G69" s="32">
        <f t="shared" si="9"/>
        <v>22.15</v>
      </c>
      <c r="H69" s="186">
        <f t="shared" si="10"/>
        <v>8.5563852266186998E-4</v>
      </c>
      <c r="I69" s="32">
        <f>ROUND(F69*'Прил. 10'!$D$13,2)</f>
        <v>84.98</v>
      </c>
      <c r="J69" s="32">
        <f t="shared" si="11"/>
        <v>178.12</v>
      </c>
    </row>
    <row r="70" spans="1:10" s="12" customFormat="1" ht="14.25" customHeight="1" outlineLevel="1" x14ac:dyDescent="0.2">
      <c r="A70" s="2">
        <v>42</v>
      </c>
      <c r="B70" s="170" t="s">
        <v>208</v>
      </c>
      <c r="C70" s="8" t="s">
        <v>209</v>
      </c>
      <c r="D70" s="2" t="s">
        <v>210</v>
      </c>
      <c r="E70" s="176">
        <v>0.252</v>
      </c>
      <c r="F70" s="32">
        <v>79.099999999999994</v>
      </c>
      <c r="G70" s="32">
        <f t="shared" si="9"/>
        <v>19.93</v>
      </c>
      <c r="H70" s="186">
        <f t="shared" si="10"/>
        <v>7.6988152400230003E-4</v>
      </c>
      <c r="I70" s="32">
        <f>ROUND(F70*'Прил. 10'!$D$13,2)</f>
        <v>635.96</v>
      </c>
      <c r="J70" s="32">
        <f t="shared" si="11"/>
        <v>160.26</v>
      </c>
    </row>
    <row r="71" spans="1:10" s="12" customFormat="1" ht="25.5" customHeight="1" outlineLevel="1" x14ac:dyDescent="0.2">
      <c r="A71" s="2">
        <v>43</v>
      </c>
      <c r="B71" s="170" t="s">
        <v>211</v>
      </c>
      <c r="C71" s="8" t="s">
        <v>212</v>
      </c>
      <c r="D71" s="2" t="s">
        <v>213</v>
      </c>
      <c r="E71" s="176">
        <v>0.95</v>
      </c>
      <c r="F71" s="32">
        <v>15.13</v>
      </c>
      <c r="G71" s="32">
        <f t="shared" si="9"/>
        <v>14.37</v>
      </c>
      <c r="H71" s="186">
        <f t="shared" si="10"/>
        <v>5.5510273456663996E-4</v>
      </c>
      <c r="I71" s="32">
        <f>ROUND(F71*'Прил. 10'!$D$13,2)</f>
        <v>121.65</v>
      </c>
      <c r="J71" s="32">
        <f t="shared" si="11"/>
        <v>115.57</v>
      </c>
    </row>
    <row r="72" spans="1:10" s="12" customFormat="1" ht="14.25" customHeight="1" outlineLevel="1" x14ac:dyDescent="0.2">
      <c r="A72" s="2">
        <v>44</v>
      </c>
      <c r="B72" s="170" t="s">
        <v>214</v>
      </c>
      <c r="C72" s="8" t="s">
        <v>215</v>
      </c>
      <c r="D72" s="2" t="s">
        <v>170</v>
      </c>
      <c r="E72" s="176">
        <v>0.15040000000000001</v>
      </c>
      <c r="F72" s="32">
        <v>86</v>
      </c>
      <c r="G72" s="32">
        <f t="shared" si="9"/>
        <v>12.93</v>
      </c>
      <c r="H72" s="186">
        <f t="shared" si="10"/>
        <v>4.9947657327395001E-4</v>
      </c>
      <c r="I72" s="32">
        <f>ROUND(F72*'Прил. 10'!$D$13,2)</f>
        <v>691.44</v>
      </c>
      <c r="J72" s="32">
        <f t="shared" si="11"/>
        <v>103.99</v>
      </c>
    </row>
    <row r="73" spans="1:10" s="12" customFormat="1" ht="14.25" customHeight="1" outlineLevel="1" x14ac:dyDescent="0.2">
      <c r="A73" s="2">
        <v>45</v>
      </c>
      <c r="B73" s="170" t="s">
        <v>216</v>
      </c>
      <c r="C73" s="8" t="s">
        <v>217</v>
      </c>
      <c r="D73" s="2" t="s">
        <v>203</v>
      </c>
      <c r="E73" s="176">
        <v>0.2</v>
      </c>
      <c r="F73" s="32">
        <v>39</v>
      </c>
      <c r="G73" s="32">
        <f t="shared" si="9"/>
        <v>7.8</v>
      </c>
      <c r="H73" s="186">
        <f t="shared" si="10"/>
        <v>3.0130837366874002E-4</v>
      </c>
      <c r="I73" s="32">
        <f>ROUND(F73*'Прил. 10'!$D$13,2)</f>
        <v>313.56</v>
      </c>
      <c r="J73" s="32">
        <f t="shared" si="11"/>
        <v>62.71</v>
      </c>
    </row>
    <row r="74" spans="1:10" s="12" customFormat="1" ht="25.5" customHeight="1" outlineLevel="1" x14ac:dyDescent="0.2">
      <c r="A74" s="2">
        <v>46</v>
      </c>
      <c r="B74" s="170" t="s">
        <v>218</v>
      </c>
      <c r="C74" s="8" t="s">
        <v>219</v>
      </c>
      <c r="D74" s="2" t="s">
        <v>167</v>
      </c>
      <c r="E74" s="176">
        <v>1E-3</v>
      </c>
      <c r="F74" s="32">
        <v>5941.89</v>
      </c>
      <c r="G74" s="32">
        <f t="shared" si="9"/>
        <v>5.94</v>
      </c>
      <c r="H74" s="186">
        <f t="shared" si="10"/>
        <v>2.2945791533235E-4</v>
      </c>
      <c r="I74" s="32">
        <f>ROUND(F74*'Прил. 10'!$D$13,2)</f>
        <v>47772.800000000003</v>
      </c>
      <c r="J74" s="32">
        <f t="shared" si="11"/>
        <v>47.77</v>
      </c>
    </row>
    <row r="75" spans="1:10" s="12" customFormat="1" ht="38.25" customHeight="1" outlineLevel="1" x14ac:dyDescent="0.2">
      <c r="A75" s="2">
        <v>47</v>
      </c>
      <c r="B75" s="170" t="s">
        <v>220</v>
      </c>
      <c r="C75" s="8" t="s">
        <v>221</v>
      </c>
      <c r="D75" s="2" t="s">
        <v>181</v>
      </c>
      <c r="E75" s="176">
        <v>0.16</v>
      </c>
      <c r="F75" s="32">
        <v>30.4</v>
      </c>
      <c r="G75" s="32">
        <f t="shared" si="9"/>
        <v>4.8600000000000003</v>
      </c>
      <c r="H75" s="186">
        <f t="shared" si="10"/>
        <v>1.8773829436282999E-4</v>
      </c>
      <c r="I75" s="32">
        <f>ROUND(F75*'Прил. 10'!$D$13,2)</f>
        <v>244.42</v>
      </c>
      <c r="J75" s="32">
        <f t="shared" si="11"/>
        <v>39.11</v>
      </c>
    </row>
    <row r="76" spans="1:10" s="12" customFormat="1" ht="14.25" customHeight="1" outlineLevel="1" x14ac:dyDescent="0.2">
      <c r="A76" s="2">
        <v>48</v>
      </c>
      <c r="B76" s="170" t="s">
        <v>222</v>
      </c>
      <c r="C76" s="8" t="s">
        <v>223</v>
      </c>
      <c r="D76" s="2" t="s">
        <v>181</v>
      </c>
      <c r="E76" s="176">
        <v>0.08</v>
      </c>
      <c r="F76" s="32">
        <v>44.97</v>
      </c>
      <c r="G76" s="32">
        <f t="shared" si="9"/>
        <v>3.6</v>
      </c>
      <c r="H76" s="186">
        <f t="shared" si="10"/>
        <v>1.3906540323173E-4</v>
      </c>
      <c r="I76" s="32">
        <f>ROUND(F76*'Прил. 10'!$D$13,2)</f>
        <v>361.56</v>
      </c>
      <c r="J76" s="32">
        <f t="shared" si="11"/>
        <v>28.92</v>
      </c>
    </row>
    <row r="77" spans="1:10" s="12" customFormat="1" ht="14.25" customHeight="1" outlineLevel="1" x14ac:dyDescent="0.2">
      <c r="A77" s="2">
        <v>49</v>
      </c>
      <c r="B77" s="170" t="s">
        <v>224</v>
      </c>
      <c r="C77" s="8" t="s">
        <v>225</v>
      </c>
      <c r="D77" s="2" t="s">
        <v>181</v>
      </c>
      <c r="E77" s="176">
        <v>0.08</v>
      </c>
      <c r="F77" s="32">
        <v>35.630000000000003</v>
      </c>
      <c r="G77" s="32">
        <f t="shared" si="9"/>
        <v>2.85</v>
      </c>
      <c r="H77" s="186">
        <f t="shared" si="10"/>
        <v>1.1009344422512E-4</v>
      </c>
      <c r="I77" s="32">
        <f>ROUND(F77*'Прил. 10'!$D$13,2)</f>
        <v>286.47000000000003</v>
      </c>
      <c r="J77" s="32">
        <f t="shared" si="11"/>
        <v>22.92</v>
      </c>
    </row>
    <row r="78" spans="1:10" s="12" customFormat="1" ht="14.25" customHeight="1" outlineLevel="1" x14ac:dyDescent="0.2">
      <c r="A78" s="2">
        <v>50</v>
      </c>
      <c r="B78" s="170" t="s">
        <v>226</v>
      </c>
      <c r="C78" s="8" t="s">
        <v>227</v>
      </c>
      <c r="D78" s="2" t="s">
        <v>181</v>
      </c>
      <c r="E78" s="176">
        <v>8.0000000000000002E-3</v>
      </c>
      <c r="F78" s="32">
        <v>133.05000000000001</v>
      </c>
      <c r="G78" s="32">
        <f t="shared" si="9"/>
        <v>1.06</v>
      </c>
      <c r="H78" s="186">
        <f t="shared" si="10"/>
        <v>4.0947035396008003E-5</v>
      </c>
      <c r="I78" s="32">
        <f>ROUND(F78*'Прил. 10'!$D$13,2)</f>
        <v>1069.72</v>
      </c>
      <c r="J78" s="32">
        <f t="shared" si="11"/>
        <v>8.56</v>
      </c>
    </row>
    <row r="79" spans="1:10" s="12" customFormat="1" ht="14.25" customHeight="1" outlineLevel="1" x14ac:dyDescent="0.2">
      <c r="A79" s="2">
        <v>51</v>
      </c>
      <c r="B79" s="170" t="s">
        <v>228</v>
      </c>
      <c r="C79" s="8" t="s">
        <v>229</v>
      </c>
      <c r="D79" s="2" t="s">
        <v>170</v>
      </c>
      <c r="E79" s="176">
        <v>0.02</v>
      </c>
      <c r="F79" s="32">
        <v>26.6</v>
      </c>
      <c r="G79" s="32">
        <f t="shared" si="9"/>
        <v>0.53</v>
      </c>
      <c r="H79" s="186">
        <f t="shared" si="10"/>
        <v>2.0473517698004002E-5</v>
      </c>
      <c r="I79" s="32">
        <f>ROUND(F79*'Прил. 10'!$D$13,2)</f>
        <v>213.86</v>
      </c>
      <c r="J79" s="32">
        <f t="shared" si="11"/>
        <v>4.28</v>
      </c>
    </row>
    <row r="80" spans="1:10" s="12" customFormat="1" ht="25.5" customHeight="1" outlineLevel="1" x14ac:dyDescent="0.2">
      <c r="A80" s="2">
        <v>52</v>
      </c>
      <c r="B80" s="170" t="s">
        <v>230</v>
      </c>
      <c r="C80" s="8" t="s">
        <v>231</v>
      </c>
      <c r="D80" s="2" t="s">
        <v>181</v>
      </c>
      <c r="E80" s="176">
        <v>0.01</v>
      </c>
      <c r="F80" s="32">
        <v>28.22</v>
      </c>
      <c r="G80" s="32">
        <f t="shared" si="9"/>
        <v>0.28000000000000003</v>
      </c>
      <c r="H80" s="186">
        <f t="shared" si="10"/>
        <v>1.0816198029133999E-5</v>
      </c>
      <c r="I80" s="32">
        <f>ROUND(F80*'Прил. 10'!$D$13,2)</f>
        <v>226.89</v>
      </c>
      <c r="J80" s="32">
        <f t="shared" si="11"/>
        <v>2.27</v>
      </c>
    </row>
    <row r="81" spans="1:12" s="12" customFormat="1" ht="14.25" customHeight="1" outlineLevel="1" x14ac:dyDescent="0.2">
      <c r="A81" s="2">
        <v>53</v>
      </c>
      <c r="B81" s="170" t="s">
        <v>232</v>
      </c>
      <c r="C81" s="8" t="s">
        <v>233</v>
      </c>
      <c r="D81" s="2" t="s">
        <v>170</v>
      </c>
      <c r="E81" s="176">
        <v>0.12239999999999999</v>
      </c>
      <c r="F81" s="32">
        <v>2</v>
      </c>
      <c r="G81" s="32">
        <f t="shared" si="9"/>
        <v>0.24</v>
      </c>
      <c r="H81" s="186">
        <f t="shared" si="10"/>
        <v>9.2710268821149997E-6</v>
      </c>
      <c r="I81" s="32">
        <f>ROUND(F81*'Прил. 10'!$D$13,2)</f>
        <v>16.079999999999998</v>
      </c>
      <c r="J81" s="32">
        <f t="shared" si="11"/>
        <v>1.97</v>
      </c>
    </row>
    <row r="82" spans="1:12" s="12" customFormat="1" ht="14.25" customHeight="1" outlineLevel="1" x14ac:dyDescent="0.2">
      <c r="A82" s="2">
        <v>54</v>
      </c>
      <c r="B82" s="170" t="s">
        <v>234</v>
      </c>
      <c r="C82" s="8" t="s">
        <v>235</v>
      </c>
      <c r="D82" s="2" t="s">
        <v>181</v>
      </c>
      <c r="E82" s="176">
        <v>1.6E-2</v>
      </c>
      <c r="F82" s="32">
        <v>11.5</v>
      </c>
      <c r="G82" s="32">
        <f t="shared" si="9"/>
        <v>0.18</v>
      </c>
      <c r="H82" s="186">
        <f t="shared" si="10"/>
        <v>6.9532701615862997E-6</v>
      </c>
      <c r="I82" s="32">
        <f>ROUND(F82*'Прил. 10'!$D$13,2)</f>
        <v>92.46</v>
      </c>
      <c r="J82" s="32">
        <f t="shared" si="11"/>
        <v>1.48</v>
      </c>
    </row>
    <row r="83" spans="1:12" s="12" customFormat="1" ht="14.25" customHeight="1" x14ac:dyDescent="0.2">
      <c r="A83" s="2"/>
      <c r="B83" s="2"/>
      <c r="C83" s="8" t="s">
        <v>312</v>
      </c>
      <c r="D83" s="2"/>
      <c r="E83" s="183"/>
      <c r="F83" s="32"/>
      <c r="G83" s="32">
        <f>SUM(G55:G82)</f>
        <v>3034.53</v>
      </c>
      <c r="H83" s="184">
        <f>G83/G84</f>
        <v>0.11722170501909999</v>
      </c>
      <c r="I83" s="32"/>
      <c r="J83" s="32">
        <f>SUM(J55:J82)</f>
        <v>24397.9</v>
      </c>
    </row>
    <row r="84" spans="1:12" s="12" customFormat="1" ht="14.25" customHeight="1" x14ac:dyDescent="0.2">
      <c r="A84" s="2"/>
      <c r="B84" s="2"/>
      <c r="C84" s="104" t="s">
        <v>313</v>
      </c>
      <c r="D84" s="2"/>
      <c r="E84" s="183"/>
      <c r="F84" s="103"/>
      <c r="G84" s="32">
        <f>G54+G83</f>
        <v>25887.1</v>
      </c>
      <c r="H84" s="184">
        <v>1</v>
      </c>
      <c r="I84" s="32"/>
      <c r="J84" s="32">
        <f>J54+J83</f>
        <v>208132.58</v>
      </c>
    </row>
    <row r="85" spans="1:12" s="12" customFormat="1" ht="14.25" customHeight="1" x14ac:dyDescent="0.2">
      <c r="A85" s="2"/>
      <c r="B85" s="2"/>
      <c r="C85" s="8" t="s">
        <v>314</v>
      </c>
      <c r="D85" s="2"/>
      <c r="E85" s="183"/>
      <c r="F85" s="103"/>
      <c r="G85" s="32">
        <f>G16+G36+G84</f>
        <v>58340.03</v>
      </c>
      <c r="H85" s="184"/>
      <c r="I85" s="32"/>
      <c r="J85" s="32">
        <f>J16+J36+J84</f>
        <v>1131921.29</v>
      </c>
    </row>
    <row r="86" spans="1:12" s="12" customFormat="1" ht="14.25" customHeight="1" x14ac:dyDescent="0.2">
      <c r="A86" s="2"/>
      <c r="B86" s="2"/>
      <c r="C86" s="8" t="s">
        <v>315</v>
      </c>
      <c r="D86" s="193">
        <v>0.63</v>
      </c>
      <c r="E86" s="183"/>
      <c r="F86" s="103"/>
      <c r="G86" s="32">
        <f>ROUND(D86*(G16+G18),2)</f>
        <v>9708.18</v>
      </c>
      <c r="H86" s="184"/>
      <c r="I86" s="32"/>
      <c r="J86" s="32">
        <f>ROUND(D86*(J16+J18),2)</f>
        <v>447176.09</v>
      </c>
    </row>
    <row r="87" spans="1:12" s="12" customFormat="1" ht="14.25" customHeight="1" x14ac:dyDescent="0.2">
      <c r="A87" s="2"/>
      <c r="B87" s="2"/>
      <c r="C87" s="8" t="s">
        <v>316</v>
      </c>
      <c r="D87" s="193">
        <v>0.46</v>
      </c>
      <c r="E87" s="183"/>
      <c r="F87" s="103"/>
      <c r="G87" s="32">
        <f>ROUND(D87*(G16+G18),2)</f>
        <v>7088.51</v>
      </c>
      <c r="H87" s="184"/>
      <c r="I87" s="32"/>
      <c r="J87" s="32">
        <f>ROUND(D87*(J16+J18),2)</f>
        <v>326509.53000000003</v>
      </c>
    </row>
    <row r="88" spans="1:12" s="12" customFormat="1" ht="14.25" customHeight="1" x14ac:dyDescent="0.2">
      <c r="A88" s="2"/>
      <c r="B88" s="2"/>
      <c r="C88" s="8" t="s">
        <v>317</v>
      </c>
      <c r="D88" s="2"/>
      <c r="E88" s="183"/>
      <c r="F88" s="103"/>
      <c r="G88" s="32">
        <f>G16+G36+G84+G86+G87</f>
        <v>75136.72</v>
      </c>
      <c r="H88" s="184"/>
      <c r="I88" s="32"/>
      <c r="J88" s="32">
        <f>J16+J36+J84+J86+J87</f>
        <v>1905606.91</v>
      </c>
    </row>
    <row r="89" spans="1:12" s="12" customFormat="1" ht="14.25" customHeight="1" x14ac:dyDescent="0.2">
      <c r="A89" s="2"/>
      <c r="B89" s="2"/>
      <c r="C89" s="8" t="s">
        <v>318</v>
      </c>
      <c r="D89" s="2"/>
      <c r="E89" s="183"/>
      <c r="F89" s="103"/>
      <c r="G89" s="32">
        <f>G88+G44</f>
        <v>1305347.6017891001</v>
      </c>
      <c r="H89" s="184"/>
      <c r="I89" s="32"/>
      <c r="J89" s="32">
        <f>J88+J44</f>
        <v>9606727.0299999993</v>
      </c>
    </row>
    <row r="90" spans="1:12" s="12" customFormat="1" ht="14.25" customHeight="1" x14ac:dyDescent="0.2">
      <c r="A90" s="2"/>
      <c r="B90" s="2"/>
      <c r="C90" s="8" t="s">
        <v>266</v>
      </c>
      <c r="D90" s="2" t="s">
        <v>319</v>
      </c>
      <c r="E90" s="183">
        <v>2</v>
      </c>
      <c r="F90" s="103"/>
      <c r="G90" s="32">
        <f>G89/E90</f>
        <v>652673.80089456995</v>
      </c>
      <c r="H90" s="184"/>
      <c r="I90" s="32"/>
      <c r="J90" s="32">
        <f>J89/E90</f>
        <v>4803363.5149999997</v>
      </c>
    </row>
    <row r="92" spans="1:12" x14ac:dyDescent="0.25">
      <c r="A92"/>
      <c r="B92" s="4" t="s">
        <v>75</v>
      </c>
      <c r="D92"/>
      <c r="E92"/>
      <c r="F92"/>
      <c r="G92"/>
      <c r="H92"/>
      <c r="I92"/>
      <c r="J92"/>
      <c r="K92"/>
      <c r="L92"/>
    </row>
    <row r="93" spans="1:12" x14ac:dyDescent="0.25">
      <c r="A93"/>
      <c r="B93" s="33" t="s">
        <v>76</v>
      </c>
      <c r="D93"/>
      <c r="E93"/>
      <c r="F93"/>
      <c r="G93"/>
      <c r="H93"/>
      <c r="I93"/>
      <c r="J93"/>
      <c r="K93"/>
      <c r="L93"/>
    </row>
    <row r="94" spans="1:12" x14ac:dyDescent="0.25">
      <c r="A94"/>
      <c r="B94" s="4"/>
      <c r="D94"/>
      <c r="E94"/>
      <c r="F94"/>
      <c r="G94"/>
      <c r="H94"/>
      <c r="I94"/>
      <c r="J94"/>
      <c r="K94"/>
      <c r="L94"/>
    </row>
    <row r="95" spans="1:12" x14ac:dyDescent="0.25">
      <c r="A95"/>
      <c r="B95" s="4" t="s">
        <v>77</v>
      </c>
      <c r="D95"/>
      <c r="E95"/>
      <c r="F95"/>
      <c r="G95"/>
      <c r="H95"/>
      <c r="I95"/>
      <c r="J95"/>
      <c r="K95"/>
      <c r="L95"/>
    </row>
    <row r="96" spans="1:12" x14ac:dyDescent="0.25">
      <c r="A96"/>
      <c r="B96" s="33" t="s">
        <v>78</v>
      </c>
      <c r="D96"/>
      <c r="E96"/>
      <c r="F96"/>
      <c r="G96"/>
      <c r="H96"/>
      <c r="I96"/>
      <c r="J96"/>
      <c r="K96"/>
      <c r="L96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7:H47"/>
    <mergeCell ref="B12:H12"/>
    <mergeCell ref="B17:H17"/>
    <mergeCell ref="B19:H19"/>
    <mergeCell ref="B20:H20"/>
    <mergeCell ref="B38:H38"/>
    <mergeCell ref="B46:H46"/>
    <mergeCell ref="B37:H37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ФОТи1.тек.</vt:lpstr>
      <vt:lpstr>ФОТи2.тек.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ФОТи1.тек.!Область_печати</vt:lpstr>
      <vt:lpstr>ФОТи2.тек.!Область_печати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2023-11-30T09:36:10Z</cp:lastPrinted>
  <dcterms:created xsi:type="dcterms:W3CDTF">2020-09-30T08:50:27Z</dcterms:created>
  <dcterms:modified xsi:type="dcterms:W3CDTF">2023-11-30T09:36:13Z</dcterms:modified>
  <cp:category/>
</cp:coreProperties>
</file>