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5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3'!$A$1:$H$63</definedName>
    <definedName name="_xlnm.Print_Area" localSheetId="7">'Прил.4 РМ'!$A$1:$E$48</definedName>
    <definedName name="_xlnm.Print_Area" localSheetId="8">'Прил.5 Расчет СМР и ОБ'!$A$1:$J$79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G13" i="10"/>
  <c r="G12" i="10"/>
  <c r="J94" i="9"/>
  <c r="G94" i="9"/>
  <c r="J93" i="9"/>
  <c r="G93" i="9"/>
  <c r="J92" i="9"/>
  <c r="G92" i="9"/>
  <c r="J91" i="9"/>
  <c r="G91" i="9"/>
  <c r="J90" i="9"/>
  <c r="G90" i="9"/>
  <c r="J89" i="9"/>
  <c r="G89" i="9"/>
  <c r="J88" i="9"/>
  <c r="G88" i="9"/>
  <c r="J87" i="9"/>
  <c r="H87" i="9"/>
  <c r="G87" i="9"/>
  <c r="J86" i="9"/>
  <c r="I86" i="9"/>
  <c r="H86" i="9"/>
  <c r="G86" i="9"/>
  <c r="J85" i="9"/>
  <c r="I85" i="9"/>
  <c r="H85" i="9"/>
  <c r="G85" i="9"/>
  <c r="J84" i="9"/>
  <c r="I84" i="9"/>
  <c r="H84" i="9"/>
  <c r="G84" i="9"/>
  <c r="J83" i="9"/>
  <c r="I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E59" i="9"/>
  <c r="J58" i="9"/>
  <c r="I58" i="9"/>
  <c r="H58" i="9"/>
  <c r="G58" i="9"/>
  <c r="J57" i="9"/>
  <c r="I57" i="9"/>
  <c r="H57" i="9"/>
  <c r="G57" i="9"/>
  <c r="J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E51" i="9"/>
  <c r="J50" i="9"/>
  <c r="I50" i="9"/>
  <c r="H50" i="9"/>
  <c r="G50" i="9"/>
  <c r="J49" i="9"/>
  <c r="I49" i="9"/>
  <c r="H49" i="9"/>
  <c r="G49" i="9"/>
  <c r="E49" i="9"/>
  <c r="J48" i="9"/>
  <c r="I48" i="9"/>
  <c r="H48" i="9"/>
  <c r="G48" i="9"/>
  <c r="E48" i="9"/>
  <c r="J45" i="9"/>
  <c r="G45" i="9"/>
  <c r="J44" i="9"/>
  <c r="H44" i="9"/>
  <c r="G44" i="9"/>
  <c r="J43" i="9"/>
  <c r="H43" i="9"/>
  <c r="G43" i="9"/>
  <c r="J42" i="9"/>
  <c r="H42" i="9"/>
  <c r="G42" i="9"/>
  <c r="F42" i="9"/>
  <c r="J41" i="9"/>
  <c r="H41" i="9"/>
  <c r="G41" i="9"/>
  <c r="F41" i="9"/>
  <c r="J40" i="9"/>
  <c r="H40" i="9"/>
  <c r="G40" i="9"/>
  <c r="J39" i="9"/>
  <c r="H39" i="9"/>
  <c r="G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78" i="6"/>
  <c r="A78" i="6"/>
  <c r="H77" i="6"/>
  <c r="A77" i="6"/>
  <c r="H76" i="6"/>
  <c r="A76" i="6"/>
  <c r="H75" i="6"/>
  <c r="A75" i="6"/>
  <c r="H74" i="6"/>
  <c r="A74" i="6"/>
  <c r="H73" i="6"/>
  <c r="A73" i="6"/>
  <c r="H72" i="6"/>
  <c r="A72" i="6"/>
  <c r="H71" i="6"/>
  <c r="A71" i="6"/>
  <c r="H70" i="6"/>
  <c r="A70" i="6"/>
  <c r="H69" i="6"/>
  <c r="A69" i="6"/>
  <c r="H68" i="6"/>
  <c r="A68" i="6"/>
  <c r="H67" i="6"/>
  <c r="A67" i="6"/>
  <c r="H66" i="6"/>
  <c r="A66" i="6"/>
  <c r="H65" i="6"/>
  <c r="A65" i="6"/>
  <c r="H64" i="6"/>
  <c r="A64" i="6"/>
  <c r="H63" i="6"/>
  <c r="A63" i="6"/>
  <c r="H62" i="6"/>
  <c r="A62" i="6"/>
  <c r="H61" i="6"/>
  <c r="A61" i="6"/>
  <c r="H60" i="6"/>
  <c r="A60" i="6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F51" i="6"/>
  <c r="A51" i="6"/>
  <c r="H50" i="6"/>
  <c r="A50" i="6"/>
  <c r="H49" i="6"/>
  <c r="A49" i="6"/>
  <c r="H48" i="6"/>
  <c r="A48" i="6"/>
  <c r="H47" i="6"/>
  <c r="A47" i="6"/>
  <c r="H46" i="6"/>
  <c r="A46" i="6"/>
  <c r="H45" i="6"/>
  <c r="A45" i="6"/>
  <c r="H44" i="6"/>
  <c r="F44" i="6"/>
  <c r="A44" i="6"/>
  <c r="H43" i="6"/>
  <c r="A43" i="6"/>
  <c r="H42" i="6"/>
  <c r="F42" i="6"/>
  <c r="A42" i="6"/>
  <c r="H41" i="6"/>
  <c r="F41" i="6"/>
  <c r="A41" i="6"/>
  <c r="H40" i="6"/>
  <c r="H39" i="6"/>
  <c r="A39" i="6"/>
  <c r="H38" i="6"/>
  <c r="A38" i="6"/>
  <c r="H37" i="6"/>
  <c r="A37" i="6"/>
  <c r="H36" i="6"/>
  <c r="H35" i="6"/>
  <c r="A35" i="6"/>
  <c r="H34" i="6"/>
  <c r="A34" i="6"/>
  <c r="H33" i="6"/>
  <c r="A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1" i="6"/>
  <c r="H20" i="6"/>
  <c r="H19" i="6"/>
  <c r="H18" i="6"/>
  <c r="H17" i="6"/>
  <c r="H16" i="6"/>
  <c r="H15" i="6"/>
  <c r="H14" i="6"/>
  <c r="H13" i="6"/>
  <c r="H12" i="6"/>
  <c r="F12" i="6"/>
  <c r="I14" i="5"/>
  <c r="J13" i="5"/>
  <c r="H13" i="5"/>
  <c r="H14" i="5" s="1"/>
  <c r="G13" i="5"/>
  <c r="G14" i="5" s="1"/>
  <c r="F13" i="5"/>
  <c r="F14" i="5" s="1"/>
  <c r="J12" i="5"/>
  <c r="D24" i="4"/>
  <c r="D23" i="4"/>
  <c r="D21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14" i="5" l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<sst xmlns="http://schemas.openxmlformats.org/spreadsheetml/2006/main" count="1048" uniqueCount="507">
  <si>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</si>
  <si>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</si>
  <si>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</si>
  <si>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</si>
  <si>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</si>
  <si>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</si>
  <si>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</si>
  <si>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</si>
  <si>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</si>
  <si>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</si>
  <si>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</si>
  <si>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</si>
  <si>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</si>
  <si>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</si>
  <si>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</si>
  <si>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</si>
  <si>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</si>
  <si>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</si>
  <si>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</si>
  <si>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</si>
  <si>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</si>
  <si>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</si>
  <si>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</si>
  <si>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</si>
  <si>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</si>
  <si>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</si>
  <si>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</si>
  <si>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</si>
  <si>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</si>
  <si>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</si>
  <si>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</si>
  <si>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</si>
  <si>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</si>
  <si>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</si>
  <si>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</si>
  <si>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</si>
  <si>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</si>
  <si>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</si>
  <si>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</si>
  <si>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</si>
  <si>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</si>
  <si>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</si>
  <si>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</si>
  <si>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</si>
  <si>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</si>
  <si>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</si>
  <si>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</si>
  <si>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</si>
  <si>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Элементы ПС без устройства фундаментов. Цифровой ТН на три фазы 220 (150) кВ.</t>
  </si>
  <si>
    <t>Сопоставимый уровень цен: 3 кв. 2016 г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</si>
  <si>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</si>
  <si>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</si>
  <si>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</si>
  <si>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</si>
  <si>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220 кВ Надым. Реконструкция ОРУ 220 кВ и ОРУ 110 кВ</t>
  </si>
  <si>
    <t>Наименование субъекта Российской Федерации</t>
  </si>
  <si>
    <t>Надымский район 
Ямало-Ненецкого автономного округа</t>
  </si>
  <si>
    <t>Климатический район и подрайон</t>
  </si>
  <si>
    <t>IГ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</si>
  <si>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</si>
  <si>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</si>
  <si>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Трансформатор тока электронный оптический типа ТТЭО-220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</si>
  <si>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</si>
  <si>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</si>
  <si>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</si>
  <si>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</si>
  <si>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</si>
  <si>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</si>
  <si>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</si>
  <si>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</si>
  <si>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</si>
  <si>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</si>
  <si>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</si>
  <si>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</si>
  <si>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</si>
  <si>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</si>
  <si>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</si>
  <si>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</si>
  <si>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</si>
  <si>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</si>
  <si>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</si>
  <si>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</si>
  <si>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</si>
  <si>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</si>
  <si>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</si>
  <si>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2016 г, тыс. руб.</t>
  </si>
  <si>
    <t>Строительные работы</t>
  </si>
  <si>
    <t>Монтажные работы</t>
  </si>
  <si>
    <t>Прочее</t>
  </si>
  <si>
    <t>Всего</t>
  </si>
  <si>
    <t xml:space="preserve"> 02-07-02</t>
  </si>
  <si>
    <t>Электромонтажные работы ПС 220 кВ Надым Второй этап</t>
  </si>
  <si>
    <t>Всего по объекту:</t>
  </si>
  <si>
    <t>Всего по объекту в сопоставимом уровне цен 3 кв. 2016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</si>
  <si>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</si>
  <si>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</si>
  <si>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</si>
  <si>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</si>
  <si>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</si>
  <si>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</si>
  <si>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</si>
  <si>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</si>
  <si>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</si>
  <si>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</si>
  <si>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</si>
  <si>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</si>
  <si>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</si>
  <si>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</si>
  <si>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1-6-0</t>
  </si>
  <si>
    <t>Затраты труда рабочих (средний разряд работы 6,0)</t>
  </si>
  <si>
    <t>чел.час</t>
  </si>
  <si>
    <t>2</t>
  </si>
  <si>
    <t>10-30-1</t>
  </si>
  <si>
    <t>Инженер I категории</t>
  </si>
  <si>
    <t>3</t>
  </si>
  <si>
    <t>10-30-2</t>
  </si>
  <si>
    <t>Инженер II категории</t>
  </si>
  <si>
    <t>4</t>
  </si>
  <si>
    <t>1-4-0</t>
  </si>
  <si>
    <t>Затраты труда рабочих (средний разряд работы 4,0)</t>
  </si>
  <si>
    <t>5</t>
  </si>
  <si>
    <t>1-3-8</t>
  </si>
  <si>
    <t>Затраты труда рабочих (средний разряд работы 3,8)</t>
  </si>
  <si>
    <t>6</t>
  </si>
  <si>
    <t>1-3-2</t>
  </si>
  <si>
    <t>Затраты труда рабочих (средний разряд работы 3,2)</t>
  </si>
  <si>
    <t>7</t>
  </si>
  <si>
    <t>1-3-9</t>
  </si>
  <si>
    <t>Затраты труда рабочих (средний разряд работы 3,9)</t>
  </si>
  <si>
    <t>Затраты труда машинистов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</si>
  <si>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</si>
  <si>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</si>
  <si>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</si>
  <si>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</si>
  <si>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91.10.01-002</t>
  </si>
  <si>
    <t>Агрегаты наполнительно-опрессовочные: до 300 м3/ч</t>
  </si>
  <si>
    <t>91.05.05-014</t>
  </si>
  <si>
    <t>Краны на автомобильном ходу, грузоподъемность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</si>
  <si>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</si>
  <si>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</si>
  <si>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</si>
  <si>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</si>
  <si>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</si>
  <si>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</si>
  <si>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</si>
  <si>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</si>
  <si>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</si>
  <si>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</si>
  <si>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</si>
  <si>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</si>
  <si>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91.06.01-003</t>
  </si>
  <si>
    <t>Домкраты гидравлические, грузоподъемность 63-100 т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</si>
  <si>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</si>
  <si>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</si>
  <si>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</si>
  <si>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</si>
  <si>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</si>
  <si>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</si>
  <si>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</si>
  <si>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Цифровой трансформатор напряжения 220, 2000 ВА.</t>
  </si>
  <si>
    <t>шт.</t>
  </si>
  <si>
    <t>Ящик цепей напряжения ЯЗН-11-АСКУЭ</t>
  </si>
  <si>
    <t>Ящик АВР цепей напряжения ЯАВР2.1-АСКУЭ-220В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</si>
  <si>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</si>
  <si>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</si>
  <si>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</si>
  <si>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</si>
  <si>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</si>
  <si>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</si>
  <si>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21.2.01.02-0098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</si>
  <si>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</si>
  <si>
    <t>т</t>
  </si>
  <si>
    <t>05.1.01.10-0131</t>
  </si>
  <si>
    <t>Лотки каналов и тоннелей железобетонные для прокладки коммуникаций</t>
  </si>
  <si>
    <t>м3</t>
  </si>
  <si>
    <t>999-9950</t>
  </si>
  <si>
    <t>Вспомогательные ненормируемые ресурсы (2% от Оплаты труда рабочих)</t>
  </si>
  <si>
    <t>руб</t>
  </si>
  <si>
    <t>20.1.01.02-0067</t>
  </si>
  <si>
    <t>Зажим аппаратный прессуемый: А4А-400-2</t>
  </si>
  <si>
    <t>100 шт.</t>
  </si>
  <si>
    <t>20.2.08.05-0017</t>
  </si>
  <si>
    <t>Профиль монтажный</t>
  </si>
  <si>
    <t>20.1.01.03-0002</t>
  </si>
  <si>
    <t>Зажим винтовой ЗВИ-10 2,5-6 мм2 12 пар (прим. Зажим винтовой для кабеля диаметром 2-6 мм KLBU 2х2-6, код заказа 1675350000)</t>
  </si>
  <si>
    <t>01.7.15.03-0042</t>
  </si>
  <si>
    <t>Болты с гайками и шайбами строительные</t>
  </si>
  <si>
    <t>кг</t>
  </si>
  <si>
    <t>01.7.17.11-0001</t>
  </si>
  <si>
    <t>Бумага шлифовальная</t>
  </si>
  <si>
    <t>02.2.05.04-1777</t>
  </si>
  <si>
    <t>Щебень М 800, фракция 20-40 мм, группа 2</t>
  </si>
  <si>
    <t>20.2.08.07-0072</t>
  </si>
  <si>
    <t>Скобы металлические для крепления проводов</t>
  </si>
  <si>
    <t>10 шт.</t>
  </si>
  <si>
    <t>08.3.08.02-0091</t>
  </si>
  <si>
    <t>Сталь угловая, марки Ст3, перфорированная УП 35х35 мм</t>
  </si>
  <si>
    <t>м</t>
  </si>
  <si>
    <t>01.7.15.07-0014</t>
  </si>
  <si>
    <t>Дюбели распорные полипропиленовые</t>
  </si>
  <si>
    <t>14.4.02.09-0301</t>
  </si>
  <si>
    <t>Краска "Цинол"</t>
  </si>
  <si>
    <t>14.4.02.09-0001</t>
  </si>
  <si>
    <t>Краска</t>
  </si>
  <si>
    <t>08.3.07.01-0076</t>
  </si>
  <si>
    <t>Сталь полосовая, марка стали: Ст3сп шириной 50-200 мм толщиной 4-5 мм</t>
  </si>
  <si>
    <t>01.7.11.07-0034</t>
  </si>
  <si>
    <t>Электроды диаметром: 4 мм Э42А</t>
  </si>
  <si>
    <t>08.3.05.02-0052</t>
  </si>
  <si>
    <t>Сталь листовая горячекатаная марки Ст3 толщиной: 2-6 мм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</si>
  <si>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</si>
  <si>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</si>
  <si>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</si>
  <si>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бездобавочный, марки: 500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</si>
  <si>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</si>
  <si>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</si>
  <si>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</si>
  <si>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</si>
  <si>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</si>
  <si>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14.4.04.09-0017</t>
  </si>
  <si>
    <t>Эмаль ХВ-124 защитная, зеленая</t>
  </si>
  <si>
    <t>20.1.02.23-0082</t>
  </si>
  <si>
    <t>Перемычки гибкие, тип ПГС-50</t>
  </si>
  <si>
    <t>08.3.07.01-0043</t>
  </si>
  <si>
    <t>Сталь полосовая: 40х5 мм, марка Ст3сп</t>
  </si>
  <si>
    <t>01.7.15.07-0007</t>
  </si>
  <si>
    <t>Дюбели пластмассовые диаметр 14 мм</t>
  </si>
  <si>
    <t>02.3.01.02-0020</t>
  </si>
  <si>
    <t>Песок природный для строительных: растворов средний</t>
  </si>
  <si>
    <t>14.4.01.01-0003</t>
  </si>
  <si>
    <t>Грунтовка: ГФ-021 красно-коричневая</t>
  </si>
  <si>
    <t>01.7.11.07-0032</t>
  </si>
  <si>
    <t>Электроды диаметром: 4 мм Э42</t>
  </si>
  <si>
    <t>01.7.15.14-0043</t>
  </si>
  <si>
    <t>Шуруп самонарезающий: (LN) 3,5/11 мм</t>
  </si>
  <si>
    <t>01.7.15.03-0031</t>
  </si>
  <si>
    <t>Болты с гайками и шайбами оцинкованные, диаметр: 6 мм</t>
  </si>
  <si>
    <t>14.5.09.07-0029</t>
  </si>
  <si>
    <t>Растворитель марки: Р-4</t>
  </si>
  <si>
    <t>01.7.06.05-0041</t>
  </si>
  <si>
    <t>Лента изоляционная прорезиненная односторонняя ширина 20 мм, толщина 0,25-0,35 мм</t>
  </si>
  <si>
    <t>14.5.09.11-0101</t>
  </si>
  <si>
    <t>Уайт-спирит</t>
  </si>
  <si>
    <t>01.3.01.02-0002</t>
  </si>
  <si>
    <t>Вазелин технический</t>
  </si>
  <si>
    <t>14.4.03.17-0011</t>
  </si>
  <si>
    <t>Лак электроизоляционный 318</t>
  </si>
  <si>
    <t>01.7.20.04-0005</t>
  </si>
  <si>
    <t>Нитки швейные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</si>
  <si>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</si>
  <si>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</si>
  <si>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</si>
  <si>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</si>
  <si>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</si>
  <si>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</si>
  <si>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</si>
  <si>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</si>
  <si>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</si>
  <si>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</si>
  <si>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</si>
  <si>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</si>
  <si>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</si>
  <si>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</si>
  <si>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</si>
  <si>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</si>
  <si>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</si>
  <si>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</si>
  <si>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</si>
  <si>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</si>
  <si>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</si>
  <si>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</si>
  <si>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</si>
  <si>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</si>
  <si>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</si>
  <si>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</si>
  <si>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</si>
  <si>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</si>
  <si>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</si>
  <si>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</si>
  <si>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</si>
  <si>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</si>
  <si>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</si>
  <si>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</si>
  <si>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</si>
  <si>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</si>
  <si>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</si>
  <si>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</si>
  <si>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</si>
  <si>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</si>
  <si>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</si>
  <si>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</si>
  <si>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</si>
  <si>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</si>
  <si>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</si>
  <si>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</si>
  <si>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</si>
  <si>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</si>
  <si>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</si>
  <si>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</si>
  <si>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</si>
  <si>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Элементы ПС без устройства фундаментов. Цифровой ТН на три фазы 220 (150) кВ.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</si>
  <si>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</si>
  <si>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</si>
  <si>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</si>
  <si>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</si>
  <si>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</si>
  <si>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</si>
  <si>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1-5-7</t>
  </si>
  <si>
    <t>Затраты труда рабочих-строителей среднего разряда (5,7)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</si>
  <si>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</si>
  <si>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</si>
  <si>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</si>
  <si>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</si>
  <si>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</si>
  <si>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</si>
  <si>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</si>
  <si>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БЦ.16_1.161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</si>
  <si>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</si>
  <si>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</si>
  <si>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</si>
  <si>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</si>
  <si>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</si>
  <si>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</si>
  <si>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</si>
  <si>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</si>
  <si>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</si>
  <si>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</si>
  <si>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</si>
  <si>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</si>
  <si>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</si>
  <si>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</si>
  <si>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</si>
  <si>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</si>
  <si>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</si>
  <si>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</si>
  <si>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</si>
  <si>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БЦ.16.1.161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</si>
  <si>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</si>
  <si>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</si>
  <si>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</si>
  <si>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</si>
  <si>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</si>
  <si>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</si>
  <si>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И10-08-4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</si>
  <si>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</si>
  <si>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</si>
  <si>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</si>
  <si>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</si>
  <si>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</si>
  <si>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</si>
  <si>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</si>
  <si>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</si>
  <si>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</si>
  <si>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</si>
  <si>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</si>
  <si>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</si>
  <si>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</si>
  <si>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</si>
  <si>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</si>
  <si>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</si>
  <si>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</si>
  <si>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</si>
  <si>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</si>
  <si>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</si>
  <si>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</si>
  <si>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</si>
  <si>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</si>
  <si>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</si>
  <si>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</si>
  <si>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</si>
  <si>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</si>
  <si>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</si>
  <si>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</si>
  <si>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</si>
  <si>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</si>
  <si>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</si>
  <si>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</si>
  <si>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</si>
  <si>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</si>
  <si>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</si>
  <si>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</si>
  <si>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</si>
  <si>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</si>
  <si>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</si>
  <si>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</si>
  <si>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</si>
  <si>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</si>
  <si>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</si>
  <si>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</si>
  <si>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</si>
  <si>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</si>
  <si>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</si>
  <si>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</si>
  <si>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</si>
  <si>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</si>
  <si>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</si>
  <si>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</si>
  <si>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</si>
  <si>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</si>
  <si>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</si>
  <si>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</si>
  <si>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</si>
  <si>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</si>
  <si>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</si>
  <si>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</si>
  <si>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</si>
  <si>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</si>
  <si>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</si>
  <si>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</si>
  <si>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</si>
  <si>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</si>
  <si>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</si>
  <si>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</si>
  <si>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</si>
  <si>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</si>
  <si>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</si>
  <si>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</si>
  <si>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</si>
  <si>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</si>
  <si>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</si>
  <si>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</si>
  <si>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</si>
  <si>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</si>
  <si>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</si>
  <si>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</si>
  <si>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</si>
  <si>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</si>
  <si>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</si>
  <si>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</si>
  <si>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</si>
  <si>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</si>
  <si>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</si>
  <si>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</si>
  <si>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</si>
  <si>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</si>
  <si>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</si>
  <si>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</si>
  <si>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</si>
  <si>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</si>
  <si>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</si>
  <si>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</si>
  <si>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</si>
  <si>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</si>
  <si>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</si>
  <si>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</si>
  <si>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</si>
  <si>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</si>
  <si>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</si>
  <si>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</si>
  <si>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</si>
  <si>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</si>
  <si>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</si>
  <si>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</si>
  <si>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</si>
  <si>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</si>
  <si>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</si>
  <si>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</si>
  <si>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</si>
  <si>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</si>
  <si>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</si>
  <si>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</si>
  <si>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</si>
  <si>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</si>
  <si>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</si>
  <si>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</si>
  <si>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</si>
  <si>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</si>
  <si>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</si>
  <si>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</si>
  <si>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</si>
  <si>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</si>
  <si>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</si>
  <si>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</si>
  <si>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</si>
  <si>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</si>
  <si>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</si>
  <si>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</si>
  <si>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</si>
  <si>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</si>
  <si>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</si>
  <si>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</si>
  <si>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</si>
  <si>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</si>
  <si>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</si>
  <si>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</si>
  <si>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</si>
  <si>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</si>
  <si>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</si>
  <si>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</si>
  <si>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</si>
  <si>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</si>
  <si>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</si>
  <si>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</si>
  <si>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</si>
  <si>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</si>
  <si>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</si>
  <si>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</si>
  <si>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</si>
  <si>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</si>
  <si>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</si>
  <si>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</si>
  <si>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</si>
  <si>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</si>
  <si>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</si>
  <si>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</si>
  <si>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</si>
  <si>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Трансформатор напряжения цифровой 110 кВ, 2000 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</si>
</sst>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\ _₽"/>
    <numFmt numFmtId="170" formatCode="#,##0.0000"/>
  </numFmts>
  <fonts count="3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i/>
      <sz val="10"/>
      <color rgb="FF000000"/>
      <name val="Arial Cyr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0"/>
      <color rgb="FF000000"/>
      <name val="Arial Cyr"/>
    </font>
    <font>
      <sz val="11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Arial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169" fontId="23" fillId="0" borderId="1" xfId="0" applyNumberFormat="1" applyFont="1" applyBorder="1" applyAlignment="1">
      <alignment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168" fontId="0" fillId="0" borderId="0" xfId="0" applyNumberFormat="1"/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1" fillId="4" borderId="0" xfId="0" applyFont="1" applyFill="1" applyAlignment="1">
      <alignment vertical="top"/>
    </xf>
    <xf numFmtId="0" fontId="26" fillId="4" borderId="0" xfId="0" applyFont="1" applyFill="1" applyAlignment="1">
      <alignment horizontal="center" vertical="center"/>
    </xf>
    <xf numFmtId="2" fontId="26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0" fontId="17" fillId="4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justify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vertical="center" wrapText="1"/>
    </xf>
    <xf numFmtId="4" fontId="27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23" fillId="0" borderId="1" xfId="0" applyNumberFormat="1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 wrapText="1"/>
    </xf>
    <xf numFmtId="4" fontId="23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4" borderId="0" xfId="0" applyFont="1" applyFill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" fontId="4" fillId="4" borderId="0" xfId="0" applyNumberFormat="1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28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460376</xdr:colOff>
      <xdr:row>16</xdr:row>
      <xdr:rowOff>38660</xdr:rowOff>
    </xdr:from>
    <xdr:to>
      <xdr:col>2</xdr:col>
      <xdr:colOff>1363570</xdr:colOff>
      <xdr:row>17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451" y="40867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205442</xdr:colOff>
      <xdr:row>84</xdr:row>
      <xdr:rowOff>62193</xdr:rowOff>
    </xdr:from>
    <xdr:to>
      <xdr:col>3</xdr:col>
      <xdr:colOff>19984</xdr:colOff>
      <xdr:row>87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192" y="1977894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203201</xdr:colOff>
      <xdr:row>82</xdr:row>
      <xdr:rowOff>19610</xdr:rowOff>
    </xdr:from>
    <xdr:to>
      <xdr:col>2</xdr:col>
      <xdr:colOff>1106395</xdr:colOff>
      <xdr:row>83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951" y="1935536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1053167</xdr:colOff>
      <xdr:row>43</xdr:row>
      <xdr:rowOff>43143</xdr:rowOff>
    </xdr:from>
    <xdr:to>
      <xdr:col>1</xdr:col>
      <xdr:colOff>1991659</xdr:colOff>
      <xdr:row>45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392" y="117969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1003301</xdr:colOff>
      <xdr:row>41</xdr:row>
      <xdr:rowOff>19610</xdr:rowOff>
    </xdr:from>
    <xdr:to>
      <xdr:col>1</xdr:col>
      <xdr:colOff>1906495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526" y="113924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957917</xdr:colOff>
      <xdr:row>96</xdr:row>
      <xdr:rowOff>33618</xdr:rowOff>
    </xdr:from>
    <xdr:to>
      <xdr:col>2</xdr:col>
      <xdr:colOff>391459</xdr:colOff>
      <xdr:row>99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917" y="1426396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1069976</xdr:colOff>
      <xdr:row>94</xdr:row>
      <xdr:rowOff>29135</xdr:rowOff>
    </xdr:from>
    <xdr:to>
      <xdr:col>2</xdr:col>
      <xdr:colOff>468220</xdr:colOff>
      <xdr:row>95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976" y="138784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948392</xdr:colOff>
      <xdr:row>18</xdr:row>
      <xdr:rowOff>33618</xdr:rowOff>
    </xdr:from>
    <xdr:to>
      <xdr:col>2</xdr:col>
      <xdr:colOff>715309</xdr:colOff>
      <xdr:row>20</xdr:row>
      <xdr:rowOff>179668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392" y="44817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16</xdr:row>
      <xdr:rowOff>38660</xdr:rowOff>
    </xdr:from>
    <xdr:to>
      <xdr:col>2</xdr:col>
      <xdr:colOff>715870</xdr:colOff>
      <xdr:row>17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1" y="41058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1062692</xdr:colOff>
      <xdr:row>13</xdr:row>
      <xdr:rowOff>43143</xdr:rowOff>
    </xdr:from>
    <xdr:to>
      <xdr:col>2</xdr:col>
      <xdr:colOff>19984</xdr:colOff>
      <xdr:row>15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717" y="36531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11</xdr:row>
      <xdr:rowOff>19610</xdr:rowOff>
    </xdr:from>
    <xdr:to>
      <xdr:col>1</xdr:col>
      <xdr:colOff>1868395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226" y="3248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1061010</xdr:colOff>
      <xdr:row>27</xdr:row>
      <xdr:rowOff>57150</xdr:rowOff>
    </xdr:from>
    <xdr:to>
      <xdr:col>1</xdr:col>
      <xdr:colOff>1999502</xdr:colOff>
      <xdr:row>30</xdr:row>
      <xdr:rowOff>12700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128" y="9021856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1069976</xdr:colOff>
      <xdr:row>24</xdr:row>
      <xdr:rowOff>179854</xdr:rowOff>
    </xdr:from>
    <xdr:to>
      <xdr:col>1</xdr:col>
      <xdr:colOff>1973170</xdr:colOff>
      <xdr:row>26</xdr:row>
      <xdr:rowOff>135442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094" y="857306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2" t="s">
        <v>0</v>
      </c>
      <c r="B2" s="232"/>
      <c r="C2" s="232"/>
    </row>
    <row r="3" spans="1:3" x14ac:dyDescent="0.25">
      <c r="A3" s="1"/>
      <c r="B3" s="1"/>
      <c r="C3" s="1"/>
    </row>
    <row r="4" spans="1:3" x14ac:dyDescent="0.25">
      <c r="A4" s="233" t="s">
        <v>1</v>
      </c>
      <c r="B4" s="233"/>
      <c r="C4" s="23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4" t="s">
        <v>3</v>
      </c>
      <c r="C6" s="234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3549.4255347931999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43.28515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0" t="s">
        <v>331</v>
      </c>
      <c r="B1" s="280"/>
      <c r="C1" s="280"/>
      <c r="D1" s="280"/>
      <c r="E1" s="280"/>
      <c r="F1" s="280"/>
      <c r="G1" s="280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2" t="s">
        <v>332</v>
      </c>
      <c r="B3" s="232"/>
      <c r="C3" s="232"/>
      <c r="D3" s="232"/>
      <c r="E3" s="232"/>
      <c r="F3" s="232"/>
      <c r="G3" s="232"/>
    </row>
    <row r="4" spans="1:7" ht="25.5" customHeight="1" x14ac:dyDescent="0.25">
      <c r="A4" s="235" t="s">
        <v>48</v>
      </c>
      <c r="B4" s="235"/>
      <c r="C4" s="235"/>
      <c r="D4" s="235"/>
      <c r="E4" s="235"/>
      <c r="F4" s="235"/>
      <c r="G4" s="235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6" t="s">
        <v>13</v>
      </c>
      <c r="B6" s="266" t="s">
        <v>98</v>
      </c>
      <c r="C6" s="266" t="s">
        <v>250</v>
      </c>
      <c r="D6" s="266" t="s">
        <v>100</v>
      </c>
      <c r="E6" s="278" t="s">
        <v>302</v>
      </c>
      <c r="F6" s="285" t="s">
        <v>102</v>
      </c>
      <c r="G6" s="285"/>
    </row>
    <row r="7" spans="1:7" x14ac:dyDescent="0.25">
      <c r="A7" s="266"/>
      <c r="B7" s="266"/>
      <c r="C7" s="266"/>
      <c r="D7" s="266"/>
      <c r="E7" s="279"/>
      <c r="F7" s="2" t="s">
        <v>305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81" t="s">
        <v>333</v>
      </c>
      <c r="C9" s="282"/>
      <c r="D9" s="282"/>
      <c r="E9" s="282"/>
      <c r="F9" s="282"/>
      <c r="G9" s="283"/>
    </row>
    <row r="10" spans="1:7" ht="27" customHeight="1" x14ac:dyDescent="0.25">
      <c r="A10" s="2"/>
      <c r="B10" s="104"/>
      <c r="C10" s="8" t="s">
        <v>334</v>
      </c>
      <c r="D10" s="104"/>
      <c r="E10" s="105"/>
      <c r="F10" s="103"/>
      <c r="G10" s="103">
        <v>0</v>
      </c>
    </row>
    <row r="11" spans="1:7" x14ac:dyDescent="0.25">
      <c r="A11" s="2"/>
      <c r="B11" s="265" t="s">
        <v>335</v>
      </c>
      <c r="C11" s="265"/>
      <c r="D11" s="265"/>
      <c r="E11" s="284"/>
      <c r="F11" s="268"/>
      <c r="G11" s="268"/>
    </row>
    <row r="12" spans="1:7" ht="25.5" customHeight="1" x14ac:dyDescent="0.25">
      <c r="A12" s="2">
        <v>1</v>
      </c>
      <c r="B12" s="171" t="s">
        <v>336</v>
      </c>
      <c r="C12" s="8" t="s">
        <v>159</v>
      </c>
      <c r="D12" s="199" t="s">
        <v>160</v>
      </c>
      <c r="E12" s="199">
        <v>12</v>
      </c>
      <c r="F12" s="32">
        <v>267900.95846644999</v>
      </c>
      <c r="G12" s="32">
        <f>E12*F12</f>
        <v>3214811.5015973998</v>
      </c>
    </row>
    <row r="13" spans="1:7" x14ac:dyDescent="0.25">
      <c r="A13" s="2">
        <v>2</v>
      </c>
      <c r="B13" s="171" t="s">
        <v>158</v>
      </c>
      <c r="C13" s="198" t="s">
        <v>161</v>
      </c>
      <c r="D13" s="199" t="s">
        <v>160</v>
      </c>
      <c r="E13" s="199">
        <v>4</v>
      </c>
      <c r="F13" s="32">
        <v>4887.5798722045001</v>
      </c>
      <c r="G13" s="32">
        <f>E13*F13</f>
        <v>19550.319488818001</v>
      </c>
    </row>
    <row r="14" spans="1:7" ht="25.5" customHeight="1" x14ac:dyDescent="0.25">
      <c r="A14" s="2">
        <v>3</v>
      </c>
      <c r="B14" s="171" t="s">
        <v>158</v>
      </c>
      <c r="C14" s="198" t="s">
        <v>162</v>
      </c>
      <c r="D14" s="199" t="s">
        <v>160</v>
      </c>
      <c r="E14" s="199">
        <v>3</v>
      </c>
      <c r="F14" s="32">
        <v>4046.8706070287999</v>
      </c>
      <c r="G14" s="32">
        <f>E14*F14</f>
        <v>12140.611821086</v>
      </c>
    </row>
    <row r="15" spans="1:7" ht="25.5" customHeight="1" x14ac:dyDescent="0.25">
      <c r="A15" s="2"/>
      <c r="B15" s="198"/>
      <c r="C15" s="198" t="s">
        <v>337</v>
      </c>
      <c r="D15" s="198"/>
      <c r="E15" s="200"/>
      <c r="F15" s="103"/>
      <c r="G15" s="32">
        <f>SUM(G12:G14)</f>
        <v>3246502.4329073001</v>
      </c>
    </row>
    <row r="16" spans="1:7" ht="19.5" customHeight="1" x14ac:dyDescent="0.25">
      <c r="A16" s="2"/>
      <c r="B16" s="8"/>
      <c r="C16" s="8" t="s">
        <v>338</v>
      </c>
      <c r="D16" s="8"/>
      <c r="E16" s="47"/>
      <c r="F16" s="103"/>
      <c r="G16" s="32">
        <f>G10+G15</f>
        <v>3246502.4329073001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4" t="s">
        <v>75</v>
      </c>
      <c r="C18" s="12"/>
    </row>
    <row r="19" spans="1:7" x14ac:dyDescent="0.25">
      <c r="B19" s="33" t="s">
        <v>76</v>
      </c>
      <c r="C19" s="12"/>
    </row>
    <row r="20" spans="1:7" x14ac:dyDescent="0.25">
      <c r="B20" s="4"/>
      <c r="C20" s="12"/>
    </row>
    <row r="21" spans="1:7" x14ac:dyDescent="0.25">
      <c r="B21" s="4" t="s">
        <v>77</v>
      </c>
      <c r="C21" s="12"/>
    </row>
    <row r="22" spans="1:7" x14ac:dyDescent="0.25">
      <c r="B22" s="33" t="s">
        <v>78</v>
      </c>
      <c r="C22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339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2" t="s">
        <v>340</v>
      </c>
      <c r="B3" s="232"/>
      <c r="C3" s="232"/>
      <c r="D3" s="232"/>
    </row>
    <row r="4" spans="1:5" ht="24.75" customHeight="1" x14ac:dyDescent="0.25">
      <c r="A4" s="143"/>
      <c r="B4" s="143"/>
      <c r="C4" s="143"/>
      <c r="D4" s="143"/>
    </row>
    <row r="5" spans="1:5" ht="54.75" customHeight="1" x14ac:dyDescent="0.25">
      <c r="A5" s="235" t="s">
        <v>299</v>
      </c>
      <c r="B5" s="235"/>
      <c r="C5" s="235"/>
      <c r="D5" s="216" t="str">
        <f>'Прил.5 Расчет СМР и ОБ'!D6</f>
        <v>Элементы ПС без устройства фундаментов. Цифровой ТН на три фазы 220 (150) кВ.</v>
      </c>
    </row>
    <row r="6" spans="1:5" ht="19.899999999999999" customHeight="1" x14ac:dyDescent="0.25">
      <c r="A6" s="235" t="s">
        <v>50</v>
      </c>
      <c r="B6" s="235"/>
      <c r="C6" s="235"/>
      <c r="D6" s="216"/>
    </row>
    <row r="7" spans="1:5" x14ac:dyDescent="0.25">
      <c r="A7" s="4"/>
      <c r="B7" s="4"/>
      <c r="C7" s="4"/>
      <c r="D7" s="4"/>
    </row>
    <row r="8" spans="1:5" ht="14.45" customHeight="1" x14ac:dyDescent="0.25">
      <c r="A8" s="247" t="s">
        <v>5</v>
      </c>
      <c r="B8" s="247" t="s">
        <v>6</v>
      </c>
      <c r="C8" s="247" t="s">
        <v>341</v>
      </c>
      <c r="D8" s="247" t="s">
        <v>342</v>
      </c>
    </row>
    <row r="9" spans="1:5" ht="15" customHeight="1" x14ac:dyDescent="0.25">
      <c r="A9" s="247"/>
      <c r="B9" s="247"/>
      <c r="C9" s="247"/>
      <c r="D9" s="247"/>
    </row>
    <row r="10" spans="1:5" x14ac:dyDescent="0.25">
      <c r="A10" s="217">
        <v>1</v>
      </c>
      <c r="B10" s="217">
        <v>2</v>
      </c>
      <c r="C10" s="217">
        <v>3</v>
      </c>
      <c r="D10" s="217">
        <v>4</v>
      </c>
    </row>
    <row r="11" spans="1:5" ht="41.45" customHeight="1" x14ac:dyDescent="0.25">
      <c r="A11" s="217" t="s">
        <v>343</v>
      </c>
      <c r="B11" s="217" t="s">
        <v>344</v>
      </c>
      <c r="C11" s="218" t="str">
        <f>D5</f>
        <v>Элементы ПС без устройства фундаментов. Цифровой ТН на три фазы 220 (150) кВ.</v>
      </c>
      <c r="D11" s="219">
        <f>'Прил.4 РМ'!C41/1000</f>
        <v>7097.7663124999999</v>
      </c>
      <c r="E11" s="142"/>
    </row>
    <row r="12" spans="1:5" x14ac:dyDescent="0.25">
      <c r="A12" s="30"/>
      <c r="B12" s="106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3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7109375" customWidth="1"/>
    <col min="4" max="4" width="32" customWidth="1"/>
    <col min="5" max="5" width="9.140625" customWidth="1"/>
  </cols>
  <sheetData>
    <row r="4" spans="2:5" ht="15.75" customHeight="1" x14ac:dyDescent="0.25">
      <c r="B4" s="240" t="s">
        <v>345</v>
      </c>
      <c r="C4" s="240"/>
      <c r="D4" s="240"/>
    </row>
    <row r="5" spans="2:5" ht="18.75" customHeight="1" x14ac:dyDescent="0.25">
      <c r="B5" s="137"/>
    </row>
    <row r="6" spans="2:5" ht="15.75" customHeight="1" x14ac:dyDescent="0.25">
      <c r="B6" s="245" t="s">
        <v>346</v>
      </c>
      <c r="C6" s="245"/>
      <c r="D6" s="245"/>
    </row>
    <row r="7" spans="2:5" x14ac:dyDescent="0.25">
      <c r="B7" s="286" t="s">
        <v>347</v>
      </c>
      <c r="C7" s="286"/>
      <c r="D7" s="286"/>
      <c r="E7" s="286"/>
    </row>
    <row r="8" spans="2:5" x14ac:dyDescent="0.25">
      <c r="B8" s="158"/>
      <c r="C8" s="158"/>
      <c r="D8" s="158"/>
      <c r="E8" s="158"/>
    </row>
    <row r="9" spans="2:5" ht="47.25" customHeight="1" x14ac:dyDescent="0.25">
      <c r="B9" s="117" t="s">
        <v>348</v>
      </c>
      <c r="C9" s="117" t="s">
        <v>349</v>
      </c>
      <c r="D9" s="117" t="s">
        <v>350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31.5" customHeight="1" x14ac:dyDescent="0.25">
      <c r="B11" s="117" t="s">
        <v>351</v>
      </c>
      <c r="C11" s="117" t="s">
        <v>352</v>
      </c>
      <c r="D11" s="117">
        <v>44.29</v>
      </c>
    </row>
    <row r="12" spans="2:5" ht="31.5" customHeight="1" x14ac:dyDescent="0.25">
      <c r="B12" s="117" t="s">
        <v>353</v>
      </c>
      <c r="C12" s="117" t="s">
        <v>352</v>
      </c>
      <c r="D12" s="117">
        <v>13.47</v>
      </c>
    </row>
    <row r="13" spans="2:5" ht="31.5" customHeight="1" x14ac:dyDescent="0.25">
      <c r="B13" s="117" t="s">
        <v>354</v>
      </c>
      <c r="C13" s="117" t="s">
        <v>352</v>
      </c>
      <c r="D13" s="117">
        <v>8.0399999999999991</v>
      </c>
    </row>
    <row r="14" spans="2:5" ht="31.5" customHeight="1" x14ac:dyDescent="0.25">
      <c r="B14" s="117" t="s">
        <v>355</v>
      </c>
      <c r="C14" s="117" t="s">
        <v>356</v>
      </c>
      <c r="D14" s="117">
        <v>6.26</v>
      </c>
    </row>
    <row r="15" spans="2:5" ht="89.25" customHeight="1" x14ac:dyDescent="0.25">
      <c r="B15" s="117" t="s">
        <v>357</v>
      </c>
      <c r="C15" s="117" t="s">
        <v>358</v>
      </c>
      <c r="D15" s="138">
        <v>3.9E-2</v>
      </c>
    </row>
    <row r="16" spans="2:5" ht="78.75" customHeight="1" x14ac:dyDescent="0.25">
      <c r="B16" s="117" t="s">
        <v>359</v>
      </c>
      <c r="C16" s="117" t="s">
        <v>360</v>
      </c>
      <c r="D16" s="138">
        <v>2.1000000000000001E-2</v>
      </c>
    </row>
    <row r="17" spans="2:4" ht="15.75" customHeight="1" x14ac:dyDescent="0.25">
      <c r="B17" s="117" t="s">
        <v>361</v>
      </c>
      <c r="C17" s="117"/>
      <c r="D17" s="117" t="s">
        <v>362</v>
      </c>
    </row>
    <row r="18" spans="2:4" ht="31.5" customHeight="1" x14ac:dyDescent="0.25">
      <c r="B18" s="117" t="s">
        <v>274</v>
      </c>
      <c r="C18" s="117" t="s">
        <v>363</v>
      </c>
      <c r="D18" s="138">
        <v>2.1399999999999999E-2</v>
      </c>
    </row>
    <row r="19" spans="2:4" ht="31.5" customHeight="1" x14ac:dyDescent="0.25">
      <c r="B19" s="117" t="s">
        <v>296</v>
      </c>
      <c r="C19" s="117" t="s">
        <v>364</v>
      </c>
      <c r="D19" s="138">
        <v>2E-3</v>
      </c>
    </row>
    <row r="20" spans="2:4" ht="24" customHeight="1" x14ac:dyDescent="0.25">
      <c r="B20" s="117" t="s">
        <v>277</v>
      </c>
      <c r="C20" s="117" t="s">
        <v>365</v>
      </c>
      <c r="D20" s="138">
        <v>0.03</v>
      </c>
    </row>
    <row r="21" spans="2:4" ht="18.75" customHeight="1" x14ac:dyDescent="0.25">
      <c r="B21" s="116"/>
    </row>
    <row r="22" spans="2:4" ht="18.75" customHeight="1" x14ac:dyDescent="0.25">
      <c r="B22" s="116"/>
    </row>
    <row r="23" spans="2:4" ht="18.75" customHeight="1" x14ac:dyDescent="0.25">
      <c r="B23" s="116"/>
    </row>
    <row r="24" spans="2:4" ht="18.75" customHeight="1" x14ac:dyDescent="0.25">
      <c r="B24" s="116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5" t="s">
        <v>366</v>
      </c>
      <c r="B2" s="245"/>
      <c r="C2" s="245"/>
      <c r="D2" s="245"/>
      <c r="E2" s="245"/>
      <c r="F2" s="245"/>
    </row>
    <row r="4" spans="1:7" ht="18" customHeight="1" x14ac:dyDescent="0.25">
      <c r="A4" s="124" t="s">
        <v>367</v>
      </c>
      <c r="B4" s="125"/>
      <c r="C4" s="125"/>
      <c r="D4" s="125"/>
      <c r="E4" s="125"/>
      <c r="F4" s="125"/>
      <c r="G4" s="125"/>
    </row>
    <row r="5" spans="1:7" ht="15.75" customHeight="1" x14ac:dyDescent="0.25">
      <c r="A5" s="126" t="s">
        <v>13</v>
      </c>
      <c r="B5" s="126" t="s">
        <v>368</v>
      </c>
      <c r="C5" s="126" t="s">
        <v>369</v>
      </c>
      <c r="D5" s="126" t="s">
        <v>370</v>
      </c>
      <c r="E5" s="126" t="s">
        <v>371</v>
      </c>
      <c r="F5" s="126" t="s">
        <v>372</v>
      </c>
      <c r="G5" s="125"/>
    </row>
    <row r="6" spans="1:7" ht="15.75" customHeight="1" x14ac:dyDescent="0.25">
      <c r="A6" s="126">
        <v>1</v>
      </c>
      <c r="B6" s="126">
        <v>2</v>
      </c>
      <c r="C6" s="126">
        <v>3</v>
      </c>
      <c r="D6" s="126">
        <v>4</v>
      </c>
      <c r="E6" s="126">
        <v>5</v>
      </c>
      <c r="F6" s="126">
        <v>6</v>
      </c>
      <c r="G6" s="125"/>
    </row>
    <row r="7" spans="1:7" ht="110.25" customHeight="1" x14ac:dyDescent="0.25">
      <c r="A7" s="127" t="s">
        <v>373</v>
      </c>
      <c r="B7" s="128" t="s">
        <v>374</v>
      </c>
      <c r="C7" s="117" t="s">
        <v>375</v>
      </c>
      <c r="D7" s="117" t="s">
        <v>376</v>
      </c>
      <c r="E7" s="129">
        <v>47872.94</v>
      </c>
      <c r="F7" s="128" t="s">
        <v>377</v>
      </c>
      <c r="G7" s="125"/>
    </row>
    <row r="8" spans="1:7" ht="31.5" customHeight="1" x14ac:dyDescent="0.25">
      <c r="A8" s="127" t="s">
        <v>378</v>
      </c>
      <c r="B8" s="128" t="s">
        <v>379</v>
      </c>
      <c r="C8" s="117" t="s">
        <v>380</v>
      </c>
      <c r="D8" s="117" t="s">
        <v>381</v>
      </c>
      <c r="E8" s="129">
        <f>1973/12</f>
        <v>164.41666666667001</v>
      </c>
      <c r="F8" s="128" t="s">
        <v>382</v>
      </c>
      <c r="G8" s="130"/>
    </row>
    <row r="9" spans="1:7" ht="15.75" customHeight="1" x14ac:dyDescent="0.25">
      <c r="A9" s="127" t="s">
        <v>383</v>
      </c>
      <c r="B9" s="128" t="s">
        <v>384</v>
      </c>
      <c r="C9" s="117" t="s">
        <v>385</v>
      </c>
      <c r="D9" s="117" t="s">
        <v>376</v>
      </c>
      <c r="E9" s="129">
        <v>1</v>
      </c>
      <c r="F9" s="128"/>
      <c r="G9" s="130"/>
    </row>
    <row r="10" spans="1:7" ht="15.75" customHeight="1" x14ac:dyDescent="0.25">
      <c r="A10" s="127" t="s">
        <v>386</v>
      </c>
      <c r="B10" s="128" t="s">
        <v>387</v>
      </c>
      <c r="C10" s="117"/>
      <c r="D10" s="117"/>
      <c r="E10" s="131">
        <v>5.7</v>
      </c>
      <c r="F10" s="128" t="s">
        <v>388</v>
      </c>
      <c r="G10" s="130"/>
    </row>
    <row r="11" spans="1:7" ht="78.75" customHeight="1" x14ac:dyDescent="0.25">
      <c r="A11" s="127" t="s">
        <v>389</v>
      </c>
      <c r="B11" s="128" t="s">
        <v>390</v>
      </c>
      <c r="C11" s="117" t="s">
        <v>391</v>
      </c>
      <c r="D11" s="117" t="s">
        <v>376</v>
      </c>
      <c r="E11" s="132">
        <v>1.7210000000000001</v>
      </c>
      <c r="F11" s="128" t="s">
        <v>392</v>
      </c>
      <c r="G11" s="125"/>
    </row>
    <row r="12" spans="1:7" ht="78.75" customHeight="1" x14ac:dyDescent="0.25">
      <c r="A12" s="127" t="s">
        <v>393</v>
      </c>
      <c r="B12" s="118" t="s">
        <v>394</v>
      </c>
      <c r="C12" s="117" t="s">
        <v>395</v>
      </c>
      <c r="D12" s="117" t="s">
        <v>376</v>
      </c>
      <c r="E12" s="133">
        <v>1.139</v>
      </c>
      <c r="F12" s="134" t="s">
        <v>396</v>
      </c>
      <c r="G12" s="130" t="s">
        <v>397</v>
      </c>
    </row>
    <row r="13" spans="1:7" ht="63" customHeight="1" x14ac:dyDescent="0.25">
      <c r="A13" s="127" t="s">
        <v>398</v>
      </c>
      <c r="B13" s="135" t="s">
        <v>399</v>
      </c>
      <c r="C13" s="117" t="s">
        <v>400</v>
      </c>
      <c r="D13" s="117" t="s">
        <v>401</v>
      </c>
      <c r="E13" s="136">
        <f>((E7*E9/E8)*E11)*E12</f>
        <v>570.75385650599003</v>
      </c>
      <c r="F13" s="128" t="s">
        <v>402</v>
      </c>
      <c r="G13" s="125"/>
    </row>
    <row r="14" spans="1:7" ht="15.75" customHeight="1" x14ac:dyDescent="0.25">
      <c r="A14" s="125"/>
      <c r="B14" s="121" t="s">
        <v>113</v>
      </c>
      <c r="C14" s="125"/>
      <c r="D14" s="125"/>
      <c r="E14" s="125"/>
      <c r="F14" s="125"/>
    </row>
    <row r="15" spans="1:7" ht="110.25" customHeight="1" x14ac:dyDescent="0.25">
      <c r="A15" s="127" t="s">
        <v>373</v>
      </c>
      <c r="B15" s="128" t="s">
        <v>374</v>
      </c>
      <c r="C15" s="117" t="s">
        <v>375</v>
      </c>
      <c r="D15" s="117" t="s">
        <v>376</v>
      </c>
      <c r="E15" s="129">
        <v>47872.94</v>
      </c>
      <c r="F15" s="128" t="s">
        <v>377</v>
      </c>
    </row>
    <row r="16" spans="1:7" ht="31.5" customHeight="1" x14ac:dyDescent="0.25">
      <c r="A16" s="127" t="s">
        <v>378</v>
      </c>
      <c r="B16" s="128" t="s">
        <v>379</v>
      </c>
      <c r="C16" s="117" t="s">
        <v>380</v>
      </c>
      <c r="D16" s="117" t="s">
        <v>381</v>
      </c>
      <c r="E16" s="129">
        <f>1973/12</f>
        <v>164.41666666667001</v>
      </c>
      <c r="F16" s="128" t="s">
        <v>382</v>
      </c>
    </row>
    <row r="17" spans="1:6" ht="15.75" customHeight="1" x14ac:dyDescent="0.25">
      <c r="A17" s="127" t="s">
        <v>383</v>
      </c>
      <c r="B17" s="128" t="s">
        <v>384</v>
      </c>
      <c r="C17" s="117" t="s">
        <v>385</v>
      </c>
      <c r="D17" s="117" t="s">
        <v>376</v>
      </c>
      <c r="E17" s="129">
        <v>1</v>
      </c>
      <c r="F17" s="128"/>
    </row>
    <row r="18" spans="1:6" ht="15.75" customHeight="1" x14ac:dyDescent="0.25">
      <c r="A18" s="127" t="s">
        <v>386</v>
      </c>
      <c r="B18" s="128" t="s">
        <v>387</v>
      </c>
      <c r="C18" s="117"/>
      <c r="D18" s="117"/>
      <c r="E18" s="131">
        <v>1</v>
      </c>
      <c r="F18" s="128" t="s">
        <v>388</v>
      </c>
    </row>
    <row r="19" spans="1:6" ht="78.75" customHeight="1" x14ac:dyDescent="0.25">
      <c r="A19" s="127" t="s">
        <v>389</v>
      </c>
      <c r="B19" s="128" t="s">
        <v>390</v>
      </c>
      <c r="C19" s="117" t="s">
        <v>391</v>
      </c>
      <c r="D19" s="117" t="s">
        <v>376</v>
      </c>
      <c r="E19" s="132">
        <v>2.15</v>
      </c>
      <c r="F19" s="128" t="s">
        <v>403</v>
      </c>
    </row>
    <row r="20" spans="1:6" ht="78.75" customHeight="1" x14ac:dyDescent="0.25">
      <c r="A20" s="127" t="s">
        <v>393</v>
      </c>
      <c r="B20" s="118" t="s">
        <v>394</v>
      </c>
      <c r="C20" s="117" t="s">
        <v>395</v>
      </c>
      <c r="D20" s="117" t="s">
        <v>376</v>
      </c>
      <c r="E20" s="133">
        <v>1.139</v>
      </c>
      <c r="F20" s="134" t="s">
        <v>396</v>
      </c>
    </row>
    <row r="21" spans="1:6" ht="63" customHeight="1" x14ac:dyDescent="0.25">
      <c r="A21" s="127" t="s">
        <v>398</v>
      </c>
      <c r="B21" s="135" t="s">
        <v>404</v>
      </c>
      <c r="C21" s="117" t="s">
        <v>400</v>
      </c>
      <c r="D21" s="117" t="s">
        <v>401</v>
      </c>
      <c r="E21" s="136">
        <f>((E15*E17/E16)*E19)*E20</f>
        <v>713.02776960364997</v>
      </c>
      <c r="F21" s="128" t="s">
        <v>402</v>
      </c>
    </row>
    <row r="22" spans="1:6" ht="15.75" customHeight="1" x14ac:dyDescent="0.25">
      <c r="A22" s="125"/>
      <c r="B22" s="121" t="s">
        <v>116</v>
      </c>
      <c r="C22" s="125"/>
      <c r="D22" s="125"/>
      <c r="E22" s="125"/>
      <c r="F22" s="125"/>
    </row>
    <row r="23" spans="1:6" ht="110.25" customHeight="1" x14ac:dyDescent="0.25">
      <c r="A23" s="127" t="s">
        <v>373</v>
      </c>
      <c r="B23" s="128" t="s">
        <v>374</v>
      </c>
      <c r="C23" s="117" t="s">
        <v>375</v>
      </c>
      <c r="D23" s="117" t="s">
        <v>376</v>
      </c>
      <c r="E23" s="129">
        <v>47872.94</v>
      </c>
      <c r="F23" s="128" t="s">
        <v>377</v>
      </c>
    </row>
    <row r="24" spans="1:6" ht="31.5" customHeight="1" x14ac:dyDescent="0.25">
      <c r="A24" s="127" t="s">
        <v>378</v>
      </c>
      <c r="B24" s="128" t="s">
        <v>379</v>
      </c>
      <c r="C24" s="117" t="s">
        <v>380</v>
      </c>
      <c r="D24" s="117" t="s">
        <v>381</v>
      </c>
      <c r="E24" s="129">
        <f>1973/12</f>
        <v>164.41666666667001</v>
      </c>
      <c r="F24" s="128" t="s">
        <v>382</v>
      </c>
    </row>
    <row r="25" spans="1:6" ht="15.75" customHeight="1" x14ac:dyDescent="0.25">
      <c r="A25" s="127" t="s">
        <v>383</v>
      </c>
      <c r="B25" s="128" t="s">
        <v>384</v>
      </c>
      <c r="C25" s="117" t="s">
        <v>385</v>
      </c>
      <c r="D25" s="117" t="s">
        <v>376</v>
      </c>
      <c r="E25" s="129">
        <v>1</v>
      </c>
      <c r="F25" s="128"/>
    </row>
    <row r="26" spans="1:6" ht="15.75" customHeight="1" x14ac:dyDescent="0.25">
      <c r="A26" s="127" t="s">
        <v>386</v>
      </c>
      <c r="B26" s="128" t="s">
        <v>387</v>
      </c>
      <c r="C26" s="117"/>
      <c r="D26" s="117"/>
      <c r="E26" s="131">
        <v>1</v>
      </c>
      <c r="F26" s="128" t="s">
        <v>388</v>
      </c>
    </row>
    <row r="27" spans="1:6" ht="78.75" customHeight="1" x14ac:dyDescent="0.25">
      <c r="A27" s="127" t="s">
        <v>389</v>
      </c>
      <c r="B27" s="128" t="s">
        <v>390</v>
      </c>
      <c r="C27" s="117" t="s">
        <v>391</v>
      </c>
      <c r="D27" s="117" t="s">
        <v>376</v>
      </c>
      <c r="E27" s="132">
        <v>1.96</v>
      </c>
      <c r="F27" s="128" t="s">
        <v>403</v>
      </c>
    </row>
    <row r="28" spans="1:6" ht="78.75" customHeight="1" x14ac:dyDescent="0.25">
      <c r="A28" s="127" t="s">
        <v>393</v>
      </c>
      <c r="B28" s="118" t="s">
        <v>394</v>
      </c>
      <c r="C28" s="117" t="s">
        <v>395</v>
      </c>
      <c r="D28" s="117" t="s">
        <v>376</v>
      </c>
      <c r="E28" s="133">
        <v>1.139</v>
      </c>
      <c r="F28" s="134" t="s">
        <v>396</v>
      </c>
    </row>
    <row r="29" spans="1:6" ht="63" customHeight="1" x14ac:dyDescent="0.25">
      <c r="A29" s="127" t="s">
        <v>398</v>
      </c>
      <c r="B29" s="135" t="s">
        <v>404</v>
      </c>
      <c r="C29" s="117" t="s">
        <v>400</v>
      </c>
      <c r="D29" s="117" t="s">
        <v>401</v>
      </c>
      <c r="E29" s="136">
        <f>((E23*E25/E24)*E27)*E28</f>
        <v>650.01601322007002</v>
      </c>
      <c r="F29" s="128" t="s">
        <v>402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6" sqref="G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7" t="s">
        <v>405</v>
      </c>
      <c r="B2" s="287"/>
      <c r="C2" s="287"/>
      <c r="D2" s="287"/>
      <c r="E2" s="287"/>
      <c r="F2" s="287"/>
    </row>
    <row r="4" spans="1:7" ht="18" customHeight="1" x14ac:dyDescent="0.25">
      <c r="A4" s="160" t="s">
        <v>367</v>
      </c>
    </row>
    <row r="5" spans="1:7" x14ac:dyDescent="0.25">
      <c r="A5" s="58" t="s">
        <v>13</v>
      </c>
      <c r="B5" s="58" t="s">
        <v>368</v>
      </c>
      <c r="C5" s="58" t="s">
        <v>369</v>
      </c>
      <c r="D5" s="58" t="s">
        <v>370</v>
      </c>
      <c r="E5" s="58" t="s">
        <v>371</v>
      </c>
      <c r="F5" s="58" t="s">
        <v>372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1" t="s">
        <v>373</v>
      </c>
      <c r="B7" s="63" t="s">
        <v>374</v>
      </c>
      <c r="C7" s="54" t="s">
        <v>406</v>
      </c>
      <c r="D7" s="54" t="s">
        <v>376</v>
      </c>
      <c r="E7" s="61">
        <v>43361</v>
      </c>
      <c r="F7" s="63" t="s">
        <v>377</v>
      </c>
    </row>
    <row r="8" spans="1:7" ht="30" customHeight="1" x14ac:dyDescent="0.25">
      <c r="A8" s="161" t="s">
        <v>378</v>
      </c>
      <c r="B8" s="63" t="s">
        <v>379</v>
      </c>
      <c r="C8" s="54" t="s">
        <v>407</v>
      </c>
      <c r="D8" s="54" t="s">
        <v>381</v>
      </c>
      <c r="E8" s="61">
        <f>1973/12</f>
        <v>164.41666666667001</v>
      </c>
      <c r="F8" s="63" t="s">
        <v>382</v>
      </c>
      <c r="G8" s="162"/>
    </row>
    <row r="9" spans="1:7" x14ac:dyDescent="0.25">
      <c r="A9" s="161" t="s">
        <v>383</v>
      </c>
      <c r="B9" s="63" t="s">
        <v>384</v>
      </c>
      <c r="C9" s="54" t="s">
        <v>385</v>
      </c>
      <c r="D9" s="54" t="s">
        <v>376</v>
      </c>
      <c r="E9" s="61">
        <v>1</v>
      </c>
      <c r="F9" s="63"/>
      <c r="G9" s="163"/>
    </row>
    <row r="10" spans="1:7" x14ac:dyDescent="0.25">
      <c r="A10" s="161" t="s">
        <v>386</v>
      </c>
      <c r="B10" s="63" t="s">
        <v>387</v>
      </c>
      <c r="C10" s="54"/>
      <c r="D10" s="54"/>
      <c r="E10" s="164">
        <v>1</v>
      </c>
      <c r="F10" s="63" t="s">
        <v>388</v>
      </c>
      <c r="G10" s="163"/>
    </row>
    <row r="11" spans="1:7" ht="75" customHeight="1" x14ac:dyDescent="0.25">
      <c r="A11" s="161" t="s">
        <v>389</v>
      </c>
      <c r="B11" s="63" t="s">
        <v>390</v>
      </c>
      <c r="C11" s="54" t="s">
        <v>408</v>
      </c>
      <c r="D11" s="54" t="s">
        <v>376</v>
      </c>
      <c r="E11" s="165">
        <v>2.15</v>
      </c>
      <c r="F11" s="63" t="s">
        <v>403</v>
      </c>
    </row>
    <row r="12" spans="1:7" ht="75" customHeight="1" x14ac:dyDescent="0.25">
      <c r="A12" s="161" t="s">
        <v>393</v>
      </c>
      <c r="B12" s="166" t="s">
        <v>394</v>
      </c>
      <c r="C12" s="54" t="s">
        <v>409</v>
      </c>
      <c r="D12" s="54" t="s">
        <v>376</v>
      </c>
      <c r="E12" s="167">
        <v>1.139</v>
      </c>
      <c r="F12" s="168" t="s">
        <v>396</v>
      </c>
      <c r="G12" s="163" t="s">
        <v>397</v>
      </c>
    </row>
    <row r="13" spans="1:7" ht="60" customHeight="1" x14ac:dyDescent="0.25">
      <c r="A13" s="161" t="s">
        <v>398</v>
      </c>
      <c r="B13" s="169" t="s">
        <v>410</v>
      </c>
      <c r="C13" s="54" t="s">
        <v>411</v>
      </c>
      <c r="D13" s="54" t="s">
        <v>412</v>
      </c>
      <c r="E13" s="170">
        <f>((E7*E9/E8)*E11)*E12</f>
        <v>645.82616229093003</v>
      </c>
      <c r="F13" s="63" t="s">
        <v>402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7" t="s">
        <v>405</v>
      </c>
      <c r="B2" s="287"/>
      <c r="C2" s="287"/>
      <c r="D2" s="287"/>
      <c r="E2" s="287"/>
      <c r="F2" s="287"/>
    </row>
    <row r="4" spans="1:7" ht="18" customHeight="1" x14ac:dyDescent="0.25">
      <c r="A4" s="160" t="s">
        <v>367</v>
      </c>
    </row>
    <row r="5" spans="1:7" x14ac:dyDescent="0.25">
      <c r="A5" s="58" t="s">
        <v>13</v>
      </c>
      <c r="B5" s="58" t="s">
        <v>368</v>
      </c>
      <c r="C5" s="58" t="s">
        <v>369</v>
      </c>
      <c r="D5" s="58" t="s">
        <v>370</v>
      </c>
      <c r="E5" s="58" t="s">
        <v>371</v>
      </c>
      <c r="F5" s="58" t="s">
        <v>372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1" t="s">
        <v>373</v>
      </c>
      <c r="B7" s="63" t="s">
        <v>374</v>
      </c>
      <c r="C7" s="54" t="s">
        <v>406</v>
      </c>
      <c r="D7" s="54" t="s">
        <v>376</v>
      </c>
      <c r="E7" s="61">
        <v>43361</v>
      </c>
      <c r="F7" s="63" t="s">
        <v>377</v>
      </c>
    </row>
    <row r="8" spans="1:7" ht="30" customHeight="1" x14ac:dyDescent="0.25">
      <c r="A8" s="161" t="s">
        <v>378</v>
      </c>
      <c r="B8" s="63" t="s">
        <v>379</v>
      </c>
      <c r="C8" s="54" t="s">
        <v>407</v>
      </c>
      <c r="D8" s="54" t="s">
        <v>381</v>
      </c>
      <c r="E8" s="61">
        <f>1973/12</f>
        <v>164.41666666667001</v>
      </c>
      <c r="F8" s="63" t="s">
        <v>382</v>
      </c>
      <c r="G8" s="162"/>
    </row>
    <row r="9" spans="1:7" x14ac:dyDescent="0.25">
      <c r="A9" s="161" t="s">
        <v>383</v>
      </c>
      <c r="B9" s="63" t="s">
        <v>384</v>
      </c>
      <c r="C9" s="54" t="s">
        <v>385</v>
      </c>
      <c r="D9" s="54" t="s">
        <v>376</v>
      </c>
      <c r="E9" s="61">
        <v>1</v>
      </c>
      <c r="F9" s="63"/>
      <c r="G9" s="163"/>
    </row>
    <row r="10" spans="1:7" x14ac:dyDescent="0.25">
      <c r="A10" s="161" t="s">
        <v>386</v>
      </c>
      <c r="B10" s="63" t="s">
        <v>387</v>
      </c>
      <c r="C10" s="54"/>
      <c r="D10" s="54"/>
      <c r="E10" s="164">
        <v>1</v>
      </c>
      <c r="F10" s="63" t="s">
        <v>388</v>
      </c>
      <c r="G10" s="163"/>
    </row>
    <row r="11" spans="1:7" ht="75" customHeight="1" x14ac:dyDescent="0.25">
      <c r="A11" s="161" t="s">
        <v>389</v>
      </c>
      <c r="B11" s="63" t="s">
        <v>390</v>
      </c>
      <c r="C11" s="54" t="s">
        <v>408</v>
      </c>
      <c r="D11" s="54" t="s">
        <v>376</v>
      </c>
      <c r="E11" s="165">
        <v>1.96</v>
      </c>
      <c r="F11" s="63" t="s">
        <v>403</v>
      </c>
    </row>
    <row r="12" spans="1:7" ht="75" customHeight="1" x14ac:dyDescent="0.25">
      <c r="A12" s="161" t="s">
        <v>393</v>
      </c>
      <c r="B12" s="166" t="s">
        <v>394</v>
      </c>
      <c r="C12" s="54" t="s">
        <v>409</v>
      </c>
      <c r="D12" s="54" t="s">
        <v>376</v>
      </c>
      <c r="E12" s="167">
        <v>1.139</v>
      </c>
      <c r="F12" s="168" t="s">
        <v>396</v>
      </c>
      <c r="G12" s="163" t="s">
        <v>397</v>
      </c>
    </row>
    <row r="13" spans="1:7" ht="60" customHeight="1" x14ac:dyDescent="0.25">
      <c r="A13" s="161" t="s">
        <v>398</v>
      </c>
      <c r="B13" s="169" t="s">
        <v>410</v>
      </c>
      <c r="C13" s="54" t="s">
        <v>411</v>
      </c>
      <c r="D13" s="54" t="s">
        <v>412</v>
      </c>
      <c r="E13" s="170">
        <f>((E7*E9/E8)*E11)*E12</f>
        <v>588.75315260009995</v>
      </c>
      <c r="F13" s="63" t="s">
        <v>402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8" t="s">
        <v>413</v>
      </c>
      <c r="B1" s="288"/>
      <c r="C1" s="288"/>
      <c r="D1" s="288"/>
      <c r="E1" s="288"/>
      <c r="F1" s="288"/>
      <c r="G1" s="288"/>
      <c r="H1" s="288"/>
      <c r="I1" s="288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5" t="str">
        <f>'Прил. 3'!A6</f>
        <v>Наименование разрабатываемого показателя УНЦ - Элементы ПС без устройства фундаментов. Цифровой ТН на три фазы 220 (150) кВ.</v>
      </c>
      <c r="B3" s="235"/>
      <c r="C3" s="235"/>
      <c r="D3" s="235"/>
      <c r="E3" s="235"/>
      <c r="F3" s="235"/>
      <c r="G3" s="235"/>
      <c r="H3" s="235"/>
      <c r="I3" s="235"/>
    </row>
    <row r="4" spans="1:13" s="4" customFormat="1" ht="15.75" customHeight="1" x14ac:dyDescent="0.2">
      <c r="A4" s="261"/>
      <c r="B4" s="261"/>
      <c r="C4" s="261"/>
      <c r="D4" s="261"/>
      <c r="E4" s="261"/>
      <c r="F4" s="261"/>
      <c r="G4" s="261"/>
      <c r="H4" s="261"/>
      <c r="I4" s="261"/>
    </row>
    <row r="5" spans="1:13" s="36" customFormat="1" ht="36.6" customHeight="1" x14ac:dyDescent="0.35">
      <c r="A5" s="289" t="s">
        <v>13</v>
      </c>
      <c r="B5" s="289" t="s">
        <v>414</v>
      </c>
      <c r="C5" s="289" t="s">
        <v>415</v>
      </c>
      <c r="D5" s="289" t="s">
        <v>416</v>
      </c>
      <c r="E5" s="285" t="s">
        <v>417</v>
      </c>
      <c r="F5" s="285"/>
      <c r="G5" s="285"/>
      <c r="H5" s="285"/>
      <c r="I5" s="285"/>
    </row>
    <row r="6" spans="1:13" s="30" customFormat="1" ht="31.5" customHeight="1" x14ac:dyDescent="0.2">
      <c r="A6" s="289"/>
      <c r="B6" s="289"/>
      <c r="C6" s="289"/>
      <c r="D6" s="289"/>
      <c r="E6" s="37" t="s">
        <v>86</v>
      </c>
      <c r="F6" s="37" t="s">
        <v>87</v>
      </c>
      <c r="G6" s="37" t="s">
        <v>43</v>
      </c>
      <c r="H6" s="37" t="s">
        <v>418</v>
      </c>
      <c r="I6" s="37" t="s">
        <v>419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269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420</v>
      </c>
      <c r="C9" s="8" t="s">
        <v>421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422</v>
      </c>
      <c r="C11" s="8" t="s">
        <v>359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423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424</v>
      </c>
      <c r="C12" s="8" t="s">
        <v>425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426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363</v>
      </c>
      <c r="C14" s="8" t="s">
        <v>427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428</v>
      </c>
      <c r="C16" s="8" t="s">
        <v>429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430</v>
      </c>
    </row>
    <row r="17" spans="1:10" s="30" customFormat="1" ht="81.75" customHeight="1" x14ac:dyDescent="0.2">
      <c r="A17" s="38">
        <v>7</v>
      </c>
      <c r="B17" s="8" t="s">
        <v>428</v>
      </c>
      <c r="C17" s="8" t="s">
        <v>431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432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433</v>
      </c>
      <c r="C20" s="8" t="s">
        <v>277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434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280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281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282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283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1" t="s">
        <v>435</v>
      </c>
      <c r="O2" s="291"/>
    </row>
    <row r="3" spans="1:16" x14ac:dyDescent="0.25">
      <c r="A3" s="287" t="s">
        <v>436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</row>
    <row r="5" spans="1:16" ht="37.5" customHeight="1" x14ac:dyDescent="0.25">
      <c r="A5" s="292" t="s">
        <v>437</v>
      </c>
      <c r="B5" s="295" t="s">
        <v>438</v>
      </c>
      <c r="C5" s="298" t="s">
        <v>439</v>
      </c>
      <c r="D5" s="301" t="s">
        <v>440</v>
      </c>
      <c r="E5" s="302"/>
      <c r="F5" s="302"/>
      <c r="G5" s="302"/>
      <c r="H5" s="302"/>
      <c r="I5" s="301" t="s">
        <v>441</v>
      </c>
      <c r="J5" s="302"/>
      <c r="K5" s="302"/>
      <c r="L5" s="302"/>
      <c r="M5" s="302"/>
      <c r="N5" s="302"/>
      <c r="O5" s="54" t="s">
        <v>442</v>
      </c>
    </row>
    <row r="6" spans="1:16" s="57" customFormat="1" ht="150" customHeight="1" x14ac:dyDescent="0.25">
      <c r="A6" s="293"/>
      <c r="B6" s="296"/>
      <c r="C6" s="299"/>
      <c r="D6" s="298" t="s">
        <v>443</v>
      </c>
      <c r="E6" s="303" t="s">
        <v>444</v>
      </c>
      <c r="F6" s="304"/>
      <c r="G6" s="305"/>
      <c r="H6" s="55" t="s">
        <v>445</v>
      </c>
      <c r="I6" s="306" t="s">
        <v>446</v>
      </c>
      <c r="J6" s="306" t="s">
        <v>443</v>
      </c>
      <c r="K6" s="307" t="s">
        <v>444</v>
      </c>
      <c r="L6" s="307"/>
      <c r="M6" s="307"/>
      <c r="N6" s="55" t="s">
        <v>445</v>
      </c>
      <c r="O6" s="56" t="s">
        <v>447</v>
      </c>
    </row>
    <row r="7" spans="1:16" s="57" customFormat="1" ht="30.75" customHeight="1" x14ac:dyDescent="0.25">
      <c r="A7" s="294"/>
      <c r="B7" s="297"/>
      <c r="C7" s="300"/>
      <c r="D7" s="300"/>
      <c r="E7" s="54" t="s">
        <v>86</v>
      </c>
      <c r="F7" s="54" t="s">
        <v>87</v>
      </c>
      <c r="G7" s="54" t="s">
        <v>43</v>
      </c>
      <c r="H7" s="58" t="s">
        <v>448</v>
      </c>
      <c r="I7" s="306"/>
      <c r="J7" s="306"/>
      <c r="K7" s="54" t="s">
        <v>86</v>
      </c>
      <c r="L7" s="54" t="s">
        <v>87</v>
      </c>
      <c r="M7" s="54" t="s">
        <v>43</v>
      </c>
      <c r="N7" s="58" t="s">
        <v>448</v>
      </c>
      <c r="O7" s="54" t="s">
        <v>449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2" t="s">
        <v>450</v>
      </c>
      <c r="C9" s="60" t="s">
        <v>451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4"/>
      <c r="C10" s="63" t="s">
        <v>452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2" t="s">
        <v>453</v>
      </c>
      <c r="C11" s="63" t="s">
        <v>454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4"/>
      <c r="C12" s="63" t="s">
        <v>455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2" t="s">
        <v>456</v>
      </c>
      <c r="C13" s="60" t="s">
        <v>457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4"/>
      <c r="C14" s="63" t="s">
        <v>458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459</v>
      </c>
      <c r="C15" s="63" t="s">
        <v>460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461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462</v>
      </c>
    </row>
    <row r="19" spans="1:15" ht="30.75" customHeight="1" x14ac:dyDescent="0.25">
      <c r="L19" s="75"/>
    </row>
    <row r="20" spans="1:15" ht="15" customHeight="1" outlineLevel="1" x14ac:dyDescent="0.25">
      <c r="G20" s="290" t="s">
        <v>463</v>
      </c>
      <c r="H20" s="290"/>
      <c r="I20" s="290"/>
      <c r="J20" s="290"/>
      <c r="K20" s="290"/>
      <c r="L20" s="290"/>
      <c r="M20" s="290"/>
      <c r="N20" s="290"/>
    </row>
    <row r="21" spans="1:15" ht="15.75" customHeight="1" outlineLevel="1" x14ac:dyDescent="0.25">
      <c r="G21" s="76"/>
      <c r="H21" s="76" t="s">
        <v>464</v>
      </c>
      <c r="I21" s="76" t="s">
        <v>465</v>
      </c>
      <c r="J21" s="76" t="s">
        <v>466</v>
      </c>
      <c r="K21" s="77" t="s">
        <v>467</v>
      </c>
      <c r="L21" s="76" t="s">
        <v>468</v>
      </c>
      <c r="M21" s="76" t="s">
        <v>469</v>
      </c>
      <c r="N21" s="76" t="s">
        <v>470</v>
      </c>
      <c r="O21" s="70"/>
    </row>
    <row r="22" spans="1:15" ht="15.75" customHeight="1" outlineLevel="1" x14ac:dyDescent="0.25">
      <c r="G22" s="309" t="s">
        <v>471</v>
      </c>
      <c r="H22" s="308">
        <v>6.09</v>
      </c>
      <c r="I22" s="310">
        <v>6.44</v>
      </c>
      <c r="J22" s="308">
        <v>5.77</v>
      </c>
      <c r="K22" s="310">
        <v>5.77</v>
      </c>
      <c r="L22" s="308">
        <v>5.23</v>
      </c>
      <c r="M22" s="308">
        <v>5.77</v>
      </c>
      <c r="N22" s="78">
        <v>6.29</v>
      </c>
      <c r="O22" t="s">
        <v>472</v>
      </c>
    </row>
    <row r="23" spans="1:15" ht="15.75" customHeight="1" outlineLevel="1" x14ac:dyDescent="0.25">
      <c r="G23" s="309"/>
      <c r="H23" s="308"/>
      <c r="I23" s="310"/>
      <c r="J23" s="308"/>
      <c r="K23" s="310"/>
      <c r="L23" s="308"/>
      <c r="M23" s="308"/>
      <c r="N23" s="78">
        <v>6.56</v>
      </c>
      <c r="O23" t="s">
        <v>473</v>
      </c>
    </row>
    <row r="24" spans="1:15" ht="15.75" customHeight="1" outlineLevel="1" x14ac:dyDescent="0.25">
      <c r="G24" s="79" t="s">
        <v>474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448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475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476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418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26" t="s">
        <v>477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</row>
    <row r="4" spans="1:18" ht="36.75" customHeight="1" x14ac:dyDescent="0.25">
      <c r="A4" s="292" t="s">
        <v>437</v>
      </c>
      <c r="B4" s="295" t="s">
        <v>438</v>
      </c>
      <c r="C4" s="298" t="s">
        <v>478</v>
      </c>
      <c r="D4" s="298" t="s">
        <v>479</v>
      </c>
      <c r="E4" s="301" t="s">
        <v>480</v>
      </c>
      <c r="F4" s="302"/>
      <c r="G4" s="302"/>
      <c r="H4" s="302"/>
      <c r="I4" s="302"/>
      <c r="J4" s="302"/>
      <c r="K4" s="302"/>
      <c r="L4" s="302"/>
      <c r="M4" s="302"/>
      <c r="N4" s="327" t="s">
        <v>481</v>
      </c>
      <c r="O4" s="328"/>
      <c r="P4" s="328"/>
      <c r="Q4" s="328"/>
      <c r="R4" s="329"/>
    </row>
    <row r="5" spans="1:18" ht="60" customHeight="1" x14ac:dyDescent="0.25">
      <c r="A5" s="293"/>
      <c r="B5" s="296"/>
      <c r="C5" s="299"/>
      <c r="D5" s="299"/>
      <c r="E5" s="306" t="s">
        <v>482</v>
      </c>
      <c r="F5" s="306" t="s">
        <v>483</v>
      </c>
      <c r="G5" s="303" t="s">
        <v>444</v>
      </c>
      <c r="H5" s="304"/>
      <c r="I5" s="304"/>
      <c r="J5" s="305"/>
      <c r="K5" s="306" t="s">
        <v>484</v>
      </c>
      <c r="L5" s="306"/>
      <c r="M5" s="306"/>
      <c r="N5" s="81" t="s">
        <v>485</v>
      </c>
      <c r="O5" s="81" t="s">
        <v>486</v>
      </c>
      <c r="P5" s="81" t="s">
        <v>487</v>
      </c>
      <c r="Q5" s="82" t="s">
        <v>488</v>
      </c>
      <c r="R5" s="81" t="s">
        <v>489</v>
      </c>
    </row>
    <row r="6" spans="1:18" ht="49.5" customHeight="1" x14ac:dyDescent="0.25">
      <c r="A6" s="294"/>
      <c r="B6" s="297"/>
      <c r="C6" s="300"/>
      <c r="D6" s="300"/>
      <c r="E6" s="306"/>
      <c r="F6" s="306"/>
      <c r="G6" s="54" t="s">
        <v>86</v>
      </c>
      <c r="H6" s="54" t="s">
        <v>87</v>
      </c>
      <c r="I6" s="54" t="s">
        <v>43</v>
      </c>
      <c r="J6" s="54" t="s">
        <v>418</v>
      </c>
      <c r="K6" s="54" t="s">
        <v>485</v>
      </c>
      <c r="L6" s="54" t="s">
        <v>486</v>
      </c>
      <c r="M6" s="54" t="s">
        <v>487</v>
      </c>
      <c r="N6" s="54" t="s">
        <v>490</v>
      </c>
      <c r="O6" s="54" t="s">
        <v>491</v>
      </c>
      <c r="P6" s="54" t="s">
        <v>492</v>
      </c>
      <c r="Q6" s="55" t="s">
        <v>493</v>
      </c>
      <c r="R6" s="54" t="s">
        <v>494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2">
        <v>1</v>
      </c>
      <c r="B9" s="292" t="s">
        <v>495</v>
      </c>
      <c r="C9" s="319" t="s">
        <v>451</v>
      </c>
      <c r="D9" s="60" t="s">
        <v>496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4"/>
      <c r="B10" s="293"/>
      <c r="C10" s="320"/>
      <c r="D10" s="60" t="s">
        <v>497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2">
        <v>2</v>
      </c>
      <c r="B11" s="293"/>
      <c r="C11" s="319" t="s">
        <v>498</v>
      </c>
      <c r="D11" s="60" t="s">
        <v>496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4"/>
      <c r="B12" s="294"/>
      <c r="C12" s="320"/>
      <c r="D12" s="60" t="s">
        <v>497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2">
        <v>3</v>
      </c>
      <c r="B13" s="292" t="s">
        <v>453</v>
      </c>
      <c r="C13" s="322" t="s">
        <v>454</v>
      </c>
      <c r="D13" s="60" t="s">
        <v>499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4"/>
      <c r="B14" s="293"/>
      <c r="C14" s="323"/>
      <c r="D14" s="60" t="s">
        <v>497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2">
        <v>4</v>
      </c>
      <c r="B15" s="293"/>
      <c r="C15" s="324" t="s">
        <v>455</v>
      </c>
      <c r="D15" s="63" t="s">
        <v>499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4"/>
      <c r="B16" s="294"/>
      <c r="C16" s="325"/>
      <c r="D16" s="63" t="s">
        <v>497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2">
        <v>5</v>
      </c>
      <c r="B17" s="307" t="s">
        <v>456</v>
      </c>
      <c r="C17" s="319" t="s">
        <v>500</v>
      </c>
      <c r="D17" s="60" t="s">
        <v>501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4"/>
      <c r="B18" s="307"/>
      <c r="C18" s="320"/>
      <c r="D18" s="60" t="s">
        <v>497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2">
        <v>6</v>
      </c>
      <c r="B19" s="307"/>
      <c r="C19" s="319" t="s">
        <v>458</v>
      </c>
      <c r="D19" s="63" t="s">
        <v>499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4"/>
      <c r="B20" s="307"/>
      <c r="C20" s="320"/>
      <c r="D20" s="63" t="s">
        <v>497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2">
        <v>7</v>
      </c>
      <c r="B21" s="292" t="s">
        <v>459</v>
      </c>
      <c r="C21" s="319" t="s">
        <v>460</v>
      </c>
      <c r="D21" s="63" t="s">
        <v>502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4"/>
      <c r="B22" s="294"/>
      <c r="C22" s="320"/>
      <c r="D22" s="86" t="s">
        <v>497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503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1" t="s">
        <v>504</v>
      </c>
      <c r="E26" s="321"/>
      <c r="F26" s="321"/>
      <c r="G26" s="321"/>
      <c r="H26" s="321"/>
      <c r="I26" s="321"/>
      <c r="J26" s="321"/>
      <c r="K26" s="321"/>
      <c r="L26" s="75"/>
      <c r="R26" s="93"/>
    </row>
    <row r="27" spans="1:18" outlineLevel="1" x14ac:dyDescent="0.25">
      <c r="D27" s="94"/>
      <c r="E27" s="94" t="s">
        <v>464</v>
      </c>
      <c r="F27" s="94" t="s">
        <v>465</v>
      </c>
      <c r="G27" s="94" t="s">
        <v>466</v>
      </c>
      <c r="H27" s="95" t="s">
        <v>467</v>
      </c>
      <c r="I27" s="95" t="s">
        <v>468</v>
      </c>
      <c r="J27" s="95" t="s">
        <v>469</v>
      </c>
      <c r="K27" s="66" t="s">
        <v>470</v>
      </c>
    </row>
    <row r="28" spans="1:18" outlineLevel="1" x14ac:dyDescent="0.25">
      <c r="D28" s="315" t="s">
        <v>471</v>
      </c>
      <c r="E28" s="313">
        <v>6.09</v>
      </c>
      <c r="F28" s="317">
        <v>6.63</v>
      </c>
      <c r="G28" s="313">
        <v>5.77</v>
      </c>
      <c r="H28" s="311">
        <v>5.77</v>
      </c>
      <c r="I28" s="311">
        <v>6.35</v>
      </c>
      <c r="J28" s="313">
        <v>5.77</v>
      </c>
      <c r="K28" s="96">
        <v>6.29</v>
      </c>
      <c r="L28" t="s">
        <v>472</v>
      </c>
    </row>
    <row r="29" spans="1:18" outlineLevel="1" x14ac:dyDescent="0.25">
      <c r="D29" s="316"/>
      <c r="E29" s="314"/>
      <c r="F29" s="318"/>
      <c r="G29" s="314"/>
      <c r="H29" s="312"/>
      <c r="I29" s="312"/>
      <c r="J29" s="314"/>
      <c r="K29" s="96">
        <v>6.56</v>
      </c>
      <c r="L29" t="s">
        <v>473</v>
      </c>
    </row>
    <row r="30" spans="1:18" outlineLevel="1" x14ac:dyDescent="0.25">
      <c r="D30" s="97" t="s">
        <v>474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5" t="s">
        <v>448</v>
      </c>
      <c r="E31" s="313">
        <v>11.37</v>
      </c>
      <c r="F31" s="317">
        <v>13.56</v>
      </c>
      <c r="G31" s="313">
        <v>15.91</v>
      </c>
      <c r="H31" s="311">
        <v>15.91</v>
      </c>
      <c r="I31" s="311">
        <v>14.03</v>
      </c>
      <c r="J31" s="313">
        <v>15.91</v>
      </c>
      <c r="K31" s="96">
        <v>8.2899999999999991</v>
      </c>
      <c r="L31" t="s">
        <v>472</v>
      </c>
    </row>
    <row r="32" spans="1:18" outlineLevel="1" x14ac:dyDescent="0.25">
      <c r="D32" s="316"/>
      <c r="E32" s="314"/>
      <c r="F32" s="318"/>
      <c r="G32" s="314"/>
      <c r="H32" s="312"/>
      <c r="I32" s="312"/>
      <c r="J32" s="314"/>
      <c r="K32" s="96">
        <v>11.84</v>
      </c>
      <c r="L32" t="s">
        <v>473</v>
      </c>
    </row>
    <row r="33" spans="4:12" ht="15" customHeight="1" outlineLevel="1" x14ac:dyDescent="0.25">
      <c r="D33" s="98" t="s">
        <v>475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505</v>
      </c>
    </row>
    <row r="34" spans="4:12" outlineLevel="1" x14ac:dyDescent="0.25">
      <c r="D34" s="98" t="s">
        <v>476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505</v>
      </c>
    </row>
    <row r="35" spans="4:12" outlineLevel="1" x14ac:dyDescent="0.25">
      <c r="D35" s="97" t="s">
        <v>418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2" t="s">
        <v>10</v>
      </c>
      <c r="B2" s="232"/>
      <c r="C2" s="232"/>
      <c r="D2" s="23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5"/>
    </row>
    <row r="5" spans="1:4" x14ac:dyDescent="0.25">
      <c r="A5" s="5"/>
      <c r="B5" s="1"/>
      <c r="C5" s="1"/>
    </row>
    <row r="6" spans="1:4" x14ac:dyDescent="0.25">
      <c r="A6" s="232" t="s">
        <v>12</v>
      </c>
      <c r="B6" s="232"/>
      <c r="C6" s="232"/>
      <c r="D6" s="23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3549.4255347931999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3246.5024329072999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3549.4255347931999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6" t="s">
        <v>5</v>
      </c>
      <c r="B15" s="237" t="s">
        <v>15</v>
      </c>
      <c r="C15" s="237"/>
      <c r="D15" s="237"/>
    </row>
    <row r="16" spans="1:4" x14ac:dyDescent="0.25">
      <c r="A16" s="236"/>
      <c r="B16" s="236" t="s">
        <v>17</v>
      </c>
      <c r="C16" s="237" t="s">
        <v>28</v>
      </c>
      <c r="D16" s="237"/>
    </row>
    <row r="17" spans="1:4" ht="39" customHeight="1" x14ac:dyDescent="0.25">
      <c r="A17" s="236"/>
      <c r="B17" s="236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3549.4255347931999</v>
      </c>
      <c r="C18" s="3">
        <f>C11</f>
        <v>0</v>
      </c>
      <c r="D18" s="3">
        <f>C12</f>
        <v>3246.5024329072999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8" t="s">
        <v>29</v>
      </c>
      <c r="B2" s="238"/>
      <c r="C2" s="238"/>
      <c r="D2" s="238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9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40" t="s">
        <v>45</v>
      </c>
      <c r="C3" s="240"/>
      <c r="D3" s="240"/>
    </row>
    <row r="4" spans="2:4" ht="18.75" customHeight="1" x14ac:dyDescent="0.25">
      <c r="B4" s="241" t="s">
        <v>46</v>
      </c>
      <c r="C4" s="241"/>
      <c r="D4" s="241"/>
    </row>
    <row r="5" spans="2:4" ht="84" customHeight="1" x14ac:dyDescent="0.25">
      <c r="B5" s="242" t="s">
        <v>47</v>
      </c>
      <c r="C5" s="242"/>
      <c r="D5" s="242"/>
    </row>
    <row r="6" spans="2:4" ht="18.75" customHeight="1" x14ac:dyDescent="0.25">
      <c r="B6" s="214"/>
      <c r="C6" s="214"/>
      <c r="D6" s="214"/>
    </row>
    <row r="7" spans="2:4" ht="42" customHeight="1" x14ac:dyDescent="0.25">
      <c r="B7" s="239" t="s">
        <v>48</v>
      </c>
      <c r="C7" s="239"/>
      <c r="D7" s="239"/>
    </row>
    <row r="8" spans="2:4" ht="31.5" customHeight="1" x14ac:dyDescent="0.25">
      <c r="B8" s="239" t="s">
        <v>49</v>
      </c>
      <c r="C8" s="239"/>
      <c r="D8" s="239"/>
    </row>
    <row r="9" spans="2:4" ht="15.75" customHeight="1" x14ac:dyDescent="0.25">
      <c r="B9" s="239" t="s">
        <v>50</v>
      </c>
      <c r="C9" s="239"/>
      <c r="D9" s="239"/>
    </row>
    <row r="10" spans="2:4" ht="18.75" customHeight="1" x14ac:dyDescent="0.25">
      <c r="B10" s="215"/>
      <c r="C10" s="203"/>
      <c r="D10" s="203"/>
    </row>
    <row r="11" spans="2:4" ht="15.75" customHeight="1" x14ac:dyDescent="0.25">
      <c r="B11" s="117" t="s">
        <v>33</v>
      </c>
      <c r="C11" s="117" t="s">
        <v>51</v>
      </c>
      <c r="D11" s="117" t="s">
        <v>52</v>
      </c>
    </row>
    <row r="12" spans="2:4" ht="31.5" customHeight="1" x14ac:dyDescent="0.25">
      <c r="B12" s="117">
        <v>1</v>
      </c>
      <c r="C12" s="118" t="s">
        <v>53</v>
      </c>
      <c r="D12" s="181" t="s">
        <v>54</v>
      </c>
    </row>
    <row r="13" spans="2:4" ht="31.5" customHeight="1" x14ac:dyDescent="0.25">
      <c r="B13" s="117">
        <v>2</v>
      </c>
      <c r="C13" s="118" t="s">
        <v>55</v>
      </c>
      <c r="D13" s="181" t="s">
        <v>56</v>
      </c>
    </row>
    <row r="14" spans="2:4" ht="15.75" customHeight="1" x14ac:dyDescent="0.25">
      <c r="B14" s="117">
        <v>3</v>
      </c>
      <c r="C14" s="118" t="s">
        <v>57</v>
      </c>
      <c r="D14" s="181" t="s">
        <v>58</v>
      </c>
    </row>
    <row r="15" spans="2:4" ht="15.75" customHeight="1" x14ac:dyDescent="0.25">
      <c r="B15" s="117">
        <v>4</v>
      </c>
      <c r="C15" s="118" t="s">
        <v>59</v>
      </c>
      <c r="D15" s="181">
        <v>4</v>
      </c>
    </row>
    <row r="16" spans="2:4" ht="94.5" customHeight="1" x14ac:dyDescent="0.25">
      <c r="B16" s="117">
        <v>5</v>
      </c>
      <c r="C16" s="119" t="s">
        <v>60</v>
      </c>
      <c r="D16" s="181" t="s">
        <v>61</v>
      </c>
    </row>
    <row r="17" spans="2:4" ht="78.75" customHeight="1" x14ac:dyDescent="0.25">
      <c r="B17" s="117">
        <v>6</v>
      </c>
      <c r="C17" s="119" t="s">
        <v>62</v>
      </c>
      <c r="D17" s="221">
        <f>SUM(D18:D21)</f>
        <v>21171.872474196</v>
      </c>
    </row>
    <row r="18" spans="2:4" ht="15.75" customHeight="1" x14ac:dyDescent="0.25">
      <c r="B18" s="120" t="s">
        <v>63</v>
      </c>
      <c r="C18" s="118" t="s">
        <v>64</v>
      </c>
      <c r="D18" s="221">
        <f>'Прил.2 Расч стоим'!G13</f>
        <v>1747.5310281</v>
      </c>
    </row>
    <row r="19" spans="2:4" ht="15.75" customHeight="1" x14ac:dyDescent="0.25">
      <c r="B19" s="120" t="s">
        <v>65</v>
      </c>
      <c r="C19" s="118" t="s">
        <v>66</v>
      </c>
      <c r="D19" s="221">
        <f>'Прил.2 Расч стоим'!H13</f>
        <v>19284.581323999999</v>
      </c>
    </row>
    <row r="20" spans="2:4" ht="15.75" customHeight="1" x14ac:dyDescent="0.25">
      <c r="B20" s="120" t="s">
        <v>67</v>
      </c>
      <c r="C20" s="118" t="s">
        <v>68</v>
      </c>
      <c r="D20" s="221"/>
    </row>
    <row r="21" spans="2:4" ht="15.75" customHeight="1" x14ac:dyDescent="0.25">
      <c r="B21" s="120" t="s">
        <v>69</v>
      </c>
      <c r="C21" s="118" t="s">
        <v>70</v>
      </c>
      <c r="D21" s="221">
        <f>D18*3.9%*0.8+(D18*3.9%*0.8+D18)*4.73%</f>
        <v>139.76012209588001</v>
      </c>
    </row>
    <row r="22" spans="2:4" ht="15.75" customHeight="1" x14ac:dyDescent="0.25">
      <c r="B22" s="117">
        <v>7</v>
      </c>
      <c r="C22" s="118" t="s">
        <v>71</v>
      </c>
      <c r="D22" s="120" t="s">
        <v>72</v>
      </c>
    </row>
    <row r="23" spans="2:4" ht="110.25" customHeight="1" x14ac:dyDescent="0.25">
      <c r="B23" s="117">
        <v>8</v>
      </c>
      <c r="C23" s="119" t="s">
        <v>73</v>
      </c>
      <c r="D23" s="221">
        <f>D17</f>
        <v>21171.872474196</v>
      </c>
    </row>
    <row r="24" spans="2:4" ht="47.25" customHeight="1" x14ac:dyDescent="0.25">
      <c r="B24" s="117">
        <v>9</v>
      </c>
      <c r="C24" s="119" t="s">
        <v>74</v>
      </c>
      <c r="D24" s="221">
        <f>D23/4</f>
        <v>5292.9681185489999</v>
      </c>
    </row>
    <row r="25" spans="2:4" ht="37.5" customHeight="1" x14ac:dyDescent="0.25">
      <c r="B25" s="121"/>
      <c r="C25" s="122"/>
      <c r="D25" s="122"/>
    </row>
    <row r="26" spans="2:4" x14ac:dyDescent="0.25">
      <c r="B26" s="4" t="s">
        <v>75</v>
      </c>
      <c r="C26" s="12"/>
    </row>
    <row r="27" spans="2:4" x14ac:dyDescent="0.25">
      <c r="B27" s="33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33" t="s">
        <v>78</v>
      </c>
      <c r="C30" s="12"/>
    </row>
    <row r="31" spans="2:4" ht="15.75" customHeight="1" x14ac:dyDescent="0.25">
      <c r="B31" s="122"/>
      <c r="C31" s="122"/>
      <c r="D31" s="122"/>
    </row>
  </sheetData>
  <mergeCells count="6">
    <mergeCell ref="B9:D9"/>
    <mergeCell ref="B3:D3"/>
    <mergeCell ref="B4:D4"/>
    <mergeCell ref="B5:D5"/>
    <mergeCell ref="B8:D8"/>
    <mergeCell ref="B7:D7"/>
  </mergeCells>
  <pageMargins left="0.7" right="0.7" top="0.75" bottom="0.75" header="0.3" footer="0.3"/>
  <pageSetup paperSize="9" scale="84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0" t="s">
        <v>79</v>
      </c>
      <c r="C3" s="240"/>
      <c r="D3" s="240"/>
      <c r="E3" s="240"/>
      <c r="F3" s="240"/>
      <c r="G3" s="240"/>
      <c r="H3" s="240"/>
      <c r="I3" s="240"/>
      <c r="J3" s="240"/>
      <c r="K3" s="240"/>
    </row>
    <row r="4" spans="2:11" ht="15.75" customHeight="1" x14ac:dyDescent="0.25">
      <c r="B4" s="245" t="s">
        <v>80</v>
      </c>
      <c r="C4" s="245"/>
      <c r="D4" s="245"/>
      <c r="E4" s="245"/>
      <c r="F4" s="245"/>
      <c r="G4" s="245"/>
      <c r="H4" s="245"/>
      <c r="I4" s="245"/>
      <c r="J4" s="245"/>
      <c r="K4" s="245"/>
    </row>
    <row r="5" spans="2:11" ht="15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1" ht="15.75" customHeight="1" x14ac:dyDescent="0.25">
      <c r="B6" s="246" t="s">
        <v>48</v>
      </c>
      <c r="C6" s="246"/>
      <c r="D6" s="246"/>
      <c r="E6" s="246"/>
      <c r="F6" s="246"/>
      <c r="G6" s="246"/>
      <c r="H6" s="246"/>
      <c r="I6" s="246"/>
      <c r="J6" s="246"/>
      <c r="K6" s="246"/>
    </row>
    <row r="7" spans="2:11" ht="15.75" customHeight="1" x14ac:dyDescent="0.25">
      <c r="B7" s="246" t="s">
        <v>50</v>
      </c>
      <c r="C7" s="246"/>
      <c r="D7" s="246"/>
      <c r="E7" s="246"/>
      <c r="F7" s="246"/>
      <c r="G7" s="246"/>
      <c r="H7" s="246"/>
      <c r="I7" s="246"/>
      <c r="J7" s="246"/>
      <c r="K7" s="246"/>
    </row>
    <row r="8" spans="2:11" ht="18.75" customHeight="1" x14ac:dyDescent="0.25">
      <c r="B8" s="116"/>
    </row>
    <row r="9" spans="2:11" ht="15.75" customHeight="1" x14ac:dyDescent="0.25">
      <c r="B9" s="247" t="s">
        <v>33</v>
      </c>
      <c r="C9" s="247" t="s">
        <v>81</v>
      </c>
      <c r="D9" s="247" t="s">
        <v>82</v>
      </c>
      <c r="E9" s="247"/>
      <c r="F9" s="247"/>
      <c r="G9" s="247"/>
      <c r="H9" s="247"/>
      <c r="I9" s="247"/>
      <c r="J9" s="247"/>
    </row>
    <row r="10" spans="2:11" ht="15.75" customHeight="1" x14ac:dyDescent="0.25">
      <c r="B10" s="247"/>
      <c r="C10" s="247"/>
      <c r="D10" s="247" t="s">
        <v>83</v>
      </c>
      <c r="E10" s="247" t="s">
        <v>84</v>
      </c>
      <c r="F10" s="247" t="s">
        <v>85</v>
      </c>
      <c r="G10" s="247"/>
      <c r="H10" s="247"/>
      <c r="I10" s="247"/>
      <c r="J10" s="247"/>
    </row>
    <row r="11" spans="2:11" ht="31.5" customHeight="1" x14ac:dyDescent="0.25">
      <c r="B11" s="247"/>
      <c r="C11" s="247"/>
      <c r="D11" s="247"/>
      <c r="E11" s="247"/>
      <c r="F11" s="117" t="s">
        <v>86</v>
      </c>
      <c r="G11" s="117" t="s">
        <v>87</v>
      </c>
      <c r="H11" s="117" t="s">
        <v>43</v>
      </c>
      <c r="I11" s="117" t="s">
        <v>88</v>
      </c>
      <c r="J11" s="117" t="s">
        <v>89</v>
      </c>
    </row>
    <row r="12" spans="2:11" ht="63" customHeight="1" x14ac:dyDescent="0.25">
      <c r="B12" s="222">
        <v>1</v>
      </c>
      <c r="C12" s="117" t="s">
        <v>506</v>
      </c>
      <c r="D12" s="222" t="s">
        <v>90</v>
      </c>
      <c r="E12" s="128" t="s">
        <v>91</v>
      </c>
      <c r="F12" s="223"/>
      <c r="G12" s="223">
        <v>1747.5310281</v>
      </c>
      <c r="H12" s="223">
        <v>19284.581323999999</v>
      </c>
      <c r="I12" s="223"/>
      <c r="J12" s="223">
        <f>SUM(F12:I12)</f>
        <v>21032.112352099997</v>
      </c>
    </row>
    <row r="13" spans="2:11" ht="15.75" customHeight="1" x14ac:dyDescent="0.25">
      <c r="B13" s="243" t="s">
        <v>92</v>
      </c>
      <c r="C13" s="243"/>
      <c r="D13" s="243"/>
      <c r="E13" s="243"/>
      <c r="F13" s="224">
        <f>SUM(F12)</f>
        <v>0</v>
      </c>
      <c r="G13" s="224">
        <f>SUM(G12)</f>
        <v>1747.5310281</v>
      </c>
      <c r="H13" s="224">
        <f>SUM(H12)</f>
        <v>19284.581323999999</v>
      </c>
      <c r="I13" s="224"/>
      <c r="J13" s="225">
        <f>SUM(F13:I13)</f>
        <v>21032.112352099997</v>
      </c>
    </row>
    <row r="14" spans="2:11" ht="15.75" customHeight="1" x14ac:dyDescent="0.25">
      <c r="B14" s="244" t="s">
        <v>93</v>
      </c>
      <c r="C14" s="244"/>
      <c r="D14" s="244"/>
      <c r="E14" s="244"/>
      <c r="F14" s="225">
        <f>F13</f>
        <v>0</v>
      </c>
      <c r="G14" s="225">
        <f>G13</f>
        <v>1747.5310281</v>
      </c>
      <c r="H14" s="225">
        <f>H13</f>
        <v>19284.581323999999</v>
      </c>
      <c r="I14" s="225">
        <f>'Прил.1 Сравнит табл'!D21</f>
        <v>139.76012209588001</v>
      </c>
      <c r="J14" s="225">
        <f>SUM(F14:I14)</f>
        <v>21171.872474195876</v>
      </c>
    </row>
    <row r="15" spans="2:11" ht="18.75" customHeight="1" x14ac:dyDescent="0.25">
      <c r="B15" s="215"/>
      <c r="C15" s="203"/>
      <c r="D15" s="203"/>
      <c r="E15" s="203"/>
      <c r="F15" s="203"/>
      <c r="G15" s="203"/>
      <c r="H15" s="203"/>
      <c r="I15" s="203"/>
      <c r="J15" s="203"/>
    </row>
    <row r="16" spans="2:11" x14ac:dyDescent="0.25">
      <c r="B16" s="203"/>
      <c r="C16" s="203"/>
      <c r="D16" s="203"/>
      <c r="E16" s="203"/>
      <c r="F16" s="203"/>
      <c r="G16" s="203"/>
      <c r="H16" s="203"/>
      <c r="I16" s="203"/>
      <c r="J16" s="203"/>
    </row>
    <row r="18" spans="2:3" x14ac:dyDescent="0.25">
      <c r="B18" s="4" t="s">
        <v>75</v>
      </c>
      <c r="C18" s="12"/>
    </row>
    <row r="19" spans="2:3" x14ac:dyDescent="0.25">
      <c r="B19" s="33" t="s">
        <v>76</v>
      </c>
      <c r="C19" s="12"/>
    </row>
    <row r="20" spans="2:3" x14ac:dyDescent="0.25">
      <c r="B20" s="4"/>
      <c r="C20" s="12"/>
    </row>
    <row r="21" spans="2:3" x14ac:dyDescent="0.25">
      <c r="B21" s="4" t="s">
        <v>77</v>
      </c>
      <c r="C21" s="12"/>
    </row>
    <row r="22" spans="2:3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8"/>
  <sheetViews>
    <sheetView tabSelected="1" view="pageBreakPreview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7" customWidth="1"/>
    <col min="10" max="11" width="9.7109375" customWidth="1"/>
  </cols>
  <sheetData>
    <row r="2" spans="1:12" ht="15.75" customHeight="1" x14ac:dyDescent="0.25">
      <c r="A2" s="240" t="s">
        <v>94</v>
      </c>
      <c r="B2" s="240"/>
      <c r="C2" s="240"/>
      <c r="D2" s="240"/>
      <c r="E2" s="240"/>
      <c r="F2" s="240"/>
      <c r="G2" s="240"/>
      <c r="H2" s="240"/>
    </row>
    <row r="3" spans="1:12" ht="18.75" customHeight="1" x14ac:dyDescent="0.25">
      <c r="A3" s="260" t="s">
        <v>95</v>
      </c>
      <c r="B3" s="260"/>
      <c r="C3" s="260"/>
      <c r="D3" s="260"/>
      <c r="E3" s="260"/>
      <c r="F3" s="260"/>
      <c r="G3" s="260"/>
      <c r="H3" s="260"/>
    </row>
    <row r="4" spans="1:12" x14ac:dyDescent="0.25">
      <c r="A4" s="203"/>
      <c r="B4" s="204"/>
      <c r="C4" s="257"/>
      <c r="D4" s="257"/>
      <c r="E4" s="257"/>
      <c r="F4" s="257"/>
      <c r="G4" s="257"/>
      <c r="H4" s="257"/>
    </row>
    <row r="5" spans="1:12" ht="15.75" customHeight="1" x14ac:dyDescent="0.25">
      <c r="A5" s="203"/>
      <c r="B5" s="203"/>
      <c r="C5" s="205"/>
      <c r="D5" s="205"/>
      <c r="E5" s="205"/>
      <c r="F5" s="205"/>
      <c r="G5" s="205"/>
      <c r="H5" s="206"/>
    </row>
    <row r="6" spans="1:12" ht="15" customHeight="1" x14ac:dyDescent="0.25">
      <c r="A6" s="258" t="s">
        <v>48</v>
      </c>
      <c r="B6" s="258"/>
      <c r="C6" s="258"/>
      <c r="D6" s="258"/>
      <c r="E6" s="258"/>
      <c r="F6" s="258"/>
      <c r="G6" s="258"/>
      <c r="H6" s="258"/>
    </row>
    <row r="7" spans="1:12" ht="14.25" customHeight="1" x14ac:dyDescent="0.25">
      <c r="A7" s="258"/>
      <c r="B7" s="258"/>
      <c r="C7" s="258"/>
      <c r="D7" s="258"/>
      <c r="E7" s="258"/>
      <c r="F7" s="258"/>
      <c r="G7" s="258"/>
      <c r="H7" s="258"/>
    </row>
    <row r="8" spans="1:12" ht="15.75" customHeight="1" x14ac:dyDescent="0.25">
      <c r="A8" s="203"/>
      <c r="B8" s="203"/>
      <c r="C8" s="207"/>
      <c r="D8" s="208"/>
      <c r="E8" s="209"/>
      <c r="F8" s="210"/>
      <c r="G8" s="211"/>
      <c r="H8" s="212"/>
    </row>
    <row r="9" spans="1:12" ht="38.25" customHeight="1" x14ac:dyDescent="0.25">
      <c r="A9" s="255" t="s">
        <v>96</v>
      </c>
      <c r="B9" s="255" t="s">
        <v>97</v>
      </c>
      <c r="C9" s="255" t="s">
        <v>98</v>
      </c>
      <c r="D9" s="255" t="s">
        <v>99</v>
      </c>
      <c r="E9" s="255" t="s">
        <v>100</v>
      </c>
      <c r="F9" s="255" t="s">
        <v>101</v>
      </c>
      <c r="G9" s="255" t="s">
        <v>102</v>
      </c>
      <c r="H9" s="255"/>
    </row>
    <row r="10" spans="1:12" ht="40.5" customHeight="1" x14ac:dyDescent="0.25">
      <c r="A10" s="255"/>
      <c r="B10" s="255"/>
      <c r="C10" s="255"/>
      <c r="D10" s="255"/>
      <c r="E10" s="255"/>
      <c r="F10" s="255"/>
      <c r="G10" s="213" t="s">
        <v>103</v>
      </c>
      <c r="H10" s="213" t="s">
        <v>104</v>
      </c>
    </row>
    <row r="11" spans="1:12" ht="15.75" customHeight="1" x14ac:dyDescent="0.25">
      <c r="A11" s="117">
        <v>1</v>
      </c>
      <c r="B11" s="149"/>
      <c r="C11" s="117">
        <v>2</v>
      </c>
      <c r="D11" s="117" t="s">
        <v>105</v>
      </c>
      <c r="E11" s="117">
        <v>4</v>
      </c>
      <c r="F11" s="117">
        <v>5</v>
      </c>
      <c r="G11" s="149">
        <v>6</v>
      </c>
      <c r="H11" s="149">
        <v>7</v>
      </c>
    </row>
    <row r="12" spans="1:12" ht="15" customHeight="1" x14ac:dyDescent="0.25">
      <c r="A12" s="256" t="s">
        <v>106</v>
      </c>
      <c r="B12" s="250"/>
      <c r="C12" s="250"/>
      <c r="D12" s="251"/>
      <c r="E12" s="150"/>
      <c r="F12" s="228">
        <f>SUM(F13:F19)</f>
        <v>4175.3402352941002</v>
      </c>
      <c r="G12" s="229"/>
      <c r="H12" s="230">
        <f>SUM(H13:H19)</f>
        <v>53777.54</v>
      </c>
    </row>
    <row r="13" spans="1:12" x14ac:dyDescent="0.25">
      <c r="A13" s="171" t="s">
        <v>107</v>
      </c>
      <c r="B13" s="171"/>
      <c r="C13" s="179" t="s">
        <v>108</v>
      </c>
      <c r="D13" s="180" t="s">
        <v>109</v>
      </c>
      <c r="E13" s="7" t="s">
        <v>110</v>
      </c>
      <c r="F13" s="3">
        <v>2807.3176470588</v>
      </c>
      <c r="G13" s="231">
        <v>12.92</v>
      </c>
      <c r="H13" s="32">
        <f t="shared" ref="H13:H19" si="0">ROUND(F13*G13,2)</f>
        <v>36270.54</v>
      </c>
      <c r="I13" s="152"/>
      <c r="J13" s="152"/>
    </row>
    <row r="14" spans="1:12" x14ac:dyDescent="0.25">
      <c r="A14" s="171" t="s">
        <v>111</v>
      </c>
      <c r="B14" s="171"/>
      <c r="C14" s="179" t="s">
        <v>112</v>
      </c>
      <c r="D14" s="180" t="s">
        <v>113</v>
      </c>
      <c r="E14" s="7" t="s">
        <v>110</v>
      </c>
      <c r="F14" s="3">
        <v>422.35294117646998</v>
      </c>
      <c r="G14" s="231">
        <v>15.49</v>
      </c>
      <c r="H14" s="32">
        <f t="shared" si="0"/>
        <v>6542.25</v>
      </c>
      <c r="I14" s="152"/>
      <c r="J14" s="152"/>
    </row>
    <row r="15" spans="1:12" x14ac:dyDescent="0.25">
      <c r="A15" s="171" t="s">
        <v>114</v>
      </c>
      <c r="B15" s="171"/>
      <c r="C15" s="179" t="s">
        <v>115</v>
      </c>
      <c r="D15" s="180" t="s">
        <v>116</v>
      </c>
      <c r="E15" s="7" t="s">
        <v>110</v>
      </c>
      <c r="F15" s="3">
        <v>422.35294117646998</v>
      </c>
      <c r="G15" s="231">
        <v>14.09</v>
      </c>
      <c r="H15" s="32">
        <f t="shared" si="0"/>
        <v>5950.95</v>
      </c>
      <c r="I15" s="152"/>
      <c r="J15" s="152"/>
    </row>
    <row r="16" spans="1:12" x14ac:dyDescent="0.25">
      <c r="A16" s="171" t="s">
        <v>117</v>
      </c>
      <c r="B16" s="171"/>
      <c r="C16" s="179" t="s">
        <v>118</v>
      </c>
      <c r="D16" s="180" t="s">
        <v>119</v>
      </c>
      <c r="E16" s="7" t="s">
        <v>110</v>
      </c>
      <c r="F16" s="3">
        <v>455.76594117646999</v>
      </c>
      <c r="G16" s="231">
        <v>9.6199999999999992</v>
      </c>
      <c r="H16" s="32">
        <f t="shared" si="0"/>
        <v>4384.47</v>
      </c>
      <c r="I16" s="152"/>
      <c r="J16" s="196"/>
      <c r="L16" s="152"/>
    </row>
    <row r="17" spans="1:12" x14ac:dyDescent="0.25">
      <c r="A17" s="171" t="s">
        <v>120</v>
      </c>
      <c r="B17" s="171"/>
      <c r="C17" s="179" t="s">
        <v>121</v>
      </c>
      <c r="D17" s="180" t="s">
        <v>122</v>
      </c>
      <c r="E17" s="7" t="s">
        <v>110</v>
      </c>
      <c r="F17" s="3">
        <v>52.969705882352997</v>
      </c>
      <c r="G17" s="231">
        <v>9.4</v>
      </c>
      <c r="H17" s="32">
        <f t="shared" si="0"/>
        <v>497.92</v>
      </c>
      <c r="I17" s="152"/>
      <c r="L17" s="152"/>
    </row>
    <row r="18" spans="1:12" x14ac:dyDescent="0.25">
      <c r="A18" s="171" t="s">
        <v>123</v>
      </c>
      <c r="B18" s="171"/>
      <c r="C18" s="179" t="s">
        <v>124</v>
      </c>
      <c r="D18" s="180" t="s">
        <v>125</v>
      </c>
      <c r="E18" s="7" t="s">
        <v>110</v>
      </c>
      <c r="F18" s="3">
        <v>9.4309999999999992</v>
      </c>
      <c r="G18" s="231">
        <v>8.74</v>
      </c>
      <c r="H18" s="32">
        <f t="shared" si="0"/>
        <v>82.43</v>
      </c>
      <c r="I18" s="152"/>
      <c r="J18" s="152"/>
    </row>
    <row r="19" spans="1:12" x14ac:dyDescent="0.25">
      <c r="A19" s="171" t="s">
        <v>126</v>
      </c>
      <c r="B19" s="171"/>
      <c r="C19" s="179" t="s">
        <v>127</v>
      </c>
      <c r="D19" s="180" t="s">
        <v>128</v>
      </c>
      <c r="E19" s="7" t="s">
        <v>110</v>
      </c>
      <c r="F19" s="3">
        <v>5.1500588235293998</v>
      </c>
      <c r="G19" s="231">
        <v>9.51</v>
      </c>
      <c r="H19" s="32">
        <f t="shared" si="0"/>
        <v>48.98</v>
      </c>
      <c r="I19" s="152"/>
      <c r="J19" s="152"/>
    </row>
    <row r="20" spans="1:12" x14ac:dyDescent="0.25">
      <c r="A20" s="248" t="s">
        <v>129</v>
      </c>
      <c r="B20" s="249"/>
      <c r="C20" s="250"/>
      <c r="D20" s="251"/>
      <c r="E20" s="153"/>
      <c r="F20" s="177"/>
      <c r="G20" s="151"/>
      <c r="H20" s="174">
        <f>H21</f>
        <v>91.881600000000006</v>
      </c>
      <c r="J20" s="152"/>
    </row>
    <row r="21" spans="1:12" x14ac:dyDescent="0.25">
      <c r="A21" s="171">
        <f>A19+1</f>
        <v>8</v>
      </c>
      <c r="B21" s="173"/>
      <c r="C21" s="171">
        <v>2</v>
      </c>
      <c r="D21" s="8" t="s">
        <v>129</v>
      </c>
      <c r="E21" s="2" t="s">
        <v>110</v>
      </c>
      <c r="F21" s="176">
        <v>373.17720000000003</v>
      </c>
      <c r="G21" s="32"/>
      <c r="H21" s="32">
        <v>91.881600000000006</v>
      </c>
    </row>
    <row r="22" spans="1:12" ht="15" customHeight="1" x14ac:dyDescent="0.25">
      <c r="A22" s="252" t="s">
        <v>130</v>
      </c>
      <c r="B22" s="252"/>
      <c r="C22" s="252"/>
      <c r="D22" s="252"/>
      <c r="E22" s="150"/>
      <c r="F22" s="150"/>
      <c r="G22" s="150"/>
      <c r="H22" s="175">
        <f>SUM(H23:H35)</f>
        <v>43269.91</v>
      </c>
      <c r="I22" s="152"/>
    </row>
    <row r="23" spans="1:12" ht="25.5" customHeight="1" x14ac:dyDescent="0.25">
      <c r="A23" s="2">
        <f>A21+1</f>
        <v>9</v>
      </c>
      <c r="B23" s="171"/>
      <c r="C23" s="171" t="s">
        <v>131</v>
      </c>
      <c r="D23" s="8" t="s">
        <v>132</v>
      </c>
      <c r="E23" s="2" t="s">
        <v>133</v>
      </c>
      <c r="F23" s="2">
        <v>192</v>
      </c>
      <c r="G23" s="103">
        <v>110.86</v>
      </c>
      <c r="H23" s="32">
        <f t="shared" ref="H23:H35" si="1">ROUND(F23*G23,2)</f>
        <v>21285.119999999999</v>
      </c>
    </row>
    <row r="24" spans="1:12" x14ac:dyDescent="0.25">
      <c r="A24" s="2">
        <f t="shared" ref="A24:A35" si="2">A23+1</f>
        <v>10</v>
      </c>
      <c r="B24" s="171"/>
      <c r="C24" s="171" t="s">
        <v>134</v>
      </c>
      <c r="D24" s="8" t="s">
        <v>135</v>
      </c>
      <c r="E24" s="2" t="s">
        <v>133</v>
      </c>
      <c r="F24" s="2">
        <v>29.58</v>
      </c>
      <c r="G24" s="103">
        <v>287.99</v>
      </c>
      <c r="H24" s="32">
        <f t="shared" si="1"/>
        <v>8518.74</v>
      </c>
    </row>
    <row r="25" spans="1:12" ht="25.5" customHeight="1" x14ac:dyDescent="0.25">
      <c r="A25" s="2">
        <f t="shared" si="2"/>
        <v>11</v>
      </c>
      <c r="B25" s="171"/>
      <c r="C25" s="171" t="s">
        <v>136</v>
      </c>
      <c r="D25" s="8" t="s">
        <v>137</v>
      </c>
      <c r="E25" s="2" t="s">
        <v>133</v>
      </c>
      <c r="F25" s="2">
        <v>60.09</v>
      </c>
      <c r="G25" s="103">
        <v>111.99</v>
      </c>
      <c r="H25" s="32">
        <f t="shared" si="1"/>
        <v>6729.48</v>
      </c>
    </row>
    <row r="26" spans="1:12" ht="25.5" customHeight="1" x14ac:dyDescent="0.25">
      <c r="A26" s="2">
        <f t="shared" si="2"/>
        <v>12</v>
      </c>
      <c r="B26" s="171"/>
      <c r="C26" s="171" t="s">
        <v>138</v>
      </c>
      <c r="D26" s="8" t="s">
        <v>139</v>
      </c>
      <c r="E26" s="2" t="s">
        <v>133</v>
      </c>
      <c r="F26" s="2">
        <v>29.58</v>
      </c>
      <c r="G26" s="103">
        <v>131.44</v>
      </c>
      <c r="H26" s="32">
        <f t="shared" si="1"/>
        <v>3888</v>
      </c>
    </row>
    <row r="27" spans="1:12" x14ac:dyDescent="0.25">
      <c r="A27" s="2">
        <f t="shared" si="2"/>
        <v>13</v>
      </c>
      <c r="B27" s="171"/>
      <c r="C27" s="171" t="s">
        <v>140</v>
      </c>
      <c r="D27" s="8" t="s">
        <v>141</v>
      </c>
      <c r="E27" s="2" t="s">
        <v>133</v>
      </c>
      <c r="F27" s="2">
        <v>19.53</v>
      </c>
      <c r="G27" s="103">
        <v>65.709999999999994</v>
      </c>
      <c r="H27" s="32">
        <f t="shared" si="1"/>
        <v>1283.32</v>
      </c>
    </row>
    <row r="28" spans="1:12" x14ac:dyDescent="0.25">
      <c r="A28" s="2">
        <f t="shared" si="2"/>
        <v>14</v>
      </c>
      <c r="B28" s="171"/>
      <c r="C28" s="171" t="s">
        <v>142</v>
      </c>
      <c r="D28" s="8" t="s">
        <v>143</v>
      </c>
      <c r="E28" s="2" t="s">
        <v>133</v>
      </c>
      <c r="F28" s="2">
        <v>33.119999999999997</v>
      </c>
      <c r="G28" s="103">
        <v>29.6</v>
      </c>
      <c r="H28" s="32">
        <f t="shared" si="1"/>
        <v>980.35</v>
      </c>
    </row>
    <row r="29" spans="1:12" ht="25.5" customHeight="1" x14ac:dyDescent="0.25">
      <c r="A29" s="2">
        <f t="shared" si="2"/>
        <v>15</v>
      </c>
      <c r="B29" s="171"/>
      <c r="C29" s="171" t="s">
        <v>144</v>
      </c>
      <c r="D29" s="8" t="s">
        <v>145</v>
      </c>
      <c r="E29" s="2" t="s">
        <v>133</v>
      </c>
      <c r="F29" s="2">
        <v>46.74</v>
      </c>
      <c r="G29" s="103">
        <v>8.1</v>
      </c>
      <c r="H29" s="32">
        <f t="shared" si="1"/>
        <v>378.59</v>
      </c>
    </row>
    <row r="30" spans="1:12" x14ac:dyDescent="0.25">
      <c r="A30" s="2">
        <f t="shared" si="2"/>
        <v>16</v>
      </c>
      <c r="B30" s="171"/>
      <c r="C30" s="171" t="s">
        <v>146</v>
      </c>
      <c r="D30" s="8" t="s">
        <v>147</v>
      </c>
      <c r="E30" s="2" t="s">
        <v>133</v>
      </c>
      <c r="F30" s="2">
        <v>0.99</v>
      </c>
      <c r="G30" s="103">
        <v>70</v>
      </c>
      <c r="H30" s="32">
        <f t="shared" si="1"/>
        <v>69.3</v>
      </c>
    </row>
    <row r="31" spans="1:12" x14ac:dyDescent="0.25">
      <c r="A31" s="2">
        <f t="shared" si="2"/>
        <v>17</v>
      </c>
      <c r="B31" s="171"/>
      <c r="C31" s="171" t="s">
        <v>148</v>
      </c>
      <c r="D31" s="8" t="s">
        <v>149</v>
      </c>
      <c r="E31" s="2" t="s">
        <v>133</v>
      </c>
      <c r="F31" s="2">
        <v>0.99</v>
      </c>
      <c r="G31" s="103">
        <v>56.24</v>
      </c>
      <c r="H31" s="32">
        <f t="shared" si="1"/>
        <v>55.68</v>
      </c>
    </row>
    <row r="32" spans="1:12" x14ac:dyDescent="0.25">
      <c r="A32" s="2">
        <f t="shared" si="2"/>
        <v>18</v>
      </c>
      <c r="B32" s="171"/>
      <c r="C32" s="171" t="s">
        <v>150</v>
      </c>
      <c r="D32" s="8" t="s">
        <v>151</v>
      </c>
      <c r="E32" s="2" t="s">
        <v>133</v>
      </c>
      <c r="F32" s="2">
        <v>59.16</v>
      </c>
      <c r="G32" s="103">
        <v>0.9</v>
      </c>
      <c r="H32" s="32">
        <f t="shared" si="1"/>
        <v>53.24</v>
      </c>
    </row>
    <row r="33" spans="1:8" x14ac:dyDescent="0.25">
      <c r="A33" s="2">
        <f t="shared" si="2"/>
        <v>19</v>
      </c>
      <c r="B33" s="171"/>
      <c r="C33" s="171" t="s">
        <v>152</v>
      </c>
      <c r="D33" s="8" t="s">
        <v>153</v>
      </c>
      <c r="E33" s="2" t="s">
        <v>133</v>
      </c>
      <c r="F33" s="2">
        <v>0.99</v>
      </c>
      <c r="G33" s="103">
        <v>16.920000000000002</v>
      </c>
      <c r="H33" s="32">
        <f t="shared" si="1"/>
        <v>16.75</v>
      </c>
    </row>
    <row r="34" spans="1:8" ht="25.5" customHeight="1" x14ac:dyDescent="0.25">
      <c r="A34" s="2">
        <f t="shared" si="2"/>
        <v>20</v>
      </c>
      <c r="B34" s="171"/>
      <c r="C34" s="171" t="s">
        <v>154</v>
      </c>
      <c r="D34" s="8" t="s">
        <v>155</v>
      </c>
      <c r="E34" s="2" t="s">
        <v>133</v>
      </c>
      <c r="F34" s="2">
        <v>1.32</v>
      </c>
      <c r="G34" s="103">
        <v>6.82</v>
      </c>
      <c r="H34" s="32">
        <f t="shared" si="1"/>
        <v>9</v>
      </c>
    </row>
    <row r="35" spans="1:8" x14ac:dyDescent="0.25">
      <c r="A35" s="2">
        <f t="shared" si="2"/>
        <v>21</v>
      </c>
      <c r="B35" s="171"/>
      <c r="C35" s="171" t="s">
        <v>156</v>
      </c>
      <c r="D35" s="8" t="s">
        <v>157</v>
      </c>
      <c r="E35" s="2" t="s">
        <v>133</v>
      </c>
      <c r="F35" s="2">
        <v>0.99</v>
      </c>
      <c r="G35" s="103">
        <v>2.36</v>
      </c>
      <c r="H35" s="32">
        <f t="shared" si="1"/>
        <v>2.34</v>
      </c>
    </row>
    <row r="36" spans="1:8" ht="15" customHeight="1" x14ac:dyDescent="0.25">
      <c r="A36" s="254" t="s">
        <v>43</v>
      </c>
      <c r="B36" s="254"/>
      <c r="C36" s="254"/>
      <c r="D36" s="254"/>
      <c r="E36" s="154"/>
      <c r="F36" s="155"/>
      <c r="G36" s="151"/>
      <c r="H36" s="178">
        <f>SUM(H37:H39)</f>
        <v>4505743.3</v>
      </c>
    </row>
    <row r="37" spans="1:8" x14ac:dyDescent="0.25">
      <c r="A37" s="199">
        <f>A35+1</f>
        <v>22</v>
      </c>
      <c r="B37" s="201"/>
      <c r="C37" s="197" t="s">
        <v>158</v>
      </c>
      <c r="D37" s="8" t="s">
        <v>159</v>
      </c>
      <c r="E37" s="2" t="s">
        <v>160</v>
      </c>
      <c r="F37" s="2">
        <v>4</v>
      </c>
      <c r="G37" s="103">
        <v>1118723.27</v>
      </c>
      <c r="H37" s="32">
        <f>ROUND(F37*G37,2)</f>
        <v>4474893.08</v>
      </c>
    </row>
    <row r="38" spans="1:8" x14ac:dyDescent="0.25">
      <c r="A38" s="199">
        <f>A37+1</f>
        <v>23</v>
      </c>
      <c r="B38" s="202"/>
      <c r="C38" s="197" t="s">
        <v>158</v>
      </c>
      <c r="D38" s="198" t="s">
        <v>161</v>
      </c>
      <c r="E38" s="2" t="s">
        <v>160</v>
      </c>
      <c r="F38" s="2">
        <v>4</v>
      </c>
      <c r="G38" s="103">
        <v>4046.87</v>
      </c>
      <c r="H38" s="32">
        <f>ROUND(F38*G38,2)</f>
        <v>16187.48</v>
      </c>
    </row>
    <row r="39" spans="1:8" x14ac:dyDescent="0.25">
      <c r="A39" s="199">
        <f>A38+1</f>
        <v>24</v>
      </c>
      <c r="B39" s="202"/>
      <c r="C39" s="197" t="s">
        <v>158</v>
      </c>
      <c r="D39" s="198" t="s">
        <v>162</v>
      </c>
      <c r="E39" s="2" t="s">
        <v>160</v>
      </c>
      <c r="F39" s="2">
        <v>3</v>
      </c>
      <c r="G39" s="103">
        <v>4887.58</v>
      </c>
      <c r="H39" s="32">
        <f>ROUND(F39*G39,2)</f>
        <v>14662.74</v>
      </c>
    </row>
    <row r="40" spans="1:8" ht="15" customHeight="1" x14ac:dyDescent="0.25">
      <c r="A40" s="253" t="s">
        <v>163</v>
      </c>
      <c r="B40" s="253"/>
      <c r="C40" s="253"/>
      <c r="D40" s="253"/>
      <c r="E40" s="172"/>
      <c r="F40" s="172"/>
      <c r="G40" s="150"/>
      <c r="H40" s="175">
        <f>SUM(H41:H78)</f>
        <v>35640.25</v>
      </c>
    </row>
    <row r="41" spans="1:8" ht="25.5" customHeight="1" x14ac:dyDescent="0.25">
      <c r="A41" s="199">
        <f>A39+1</f>
        <v>25</v>
      </c>
      <c r="B41" s="202"/>
      <c r="C41" s="202" t="s">
        <v>164</v>
      </c>
      <c r="D41" s="198" t="s">
        <v>165</v>
      </c>
      <c r="E41" s="2" t="s">
        <v>166</v>
      </c>
      <c r="F41" s="2">
        <f>0.011*3*4</f>
        <v>0.13200000000000001</v>
      </c>
      <c r="G41" s="103">
        <v>98440.41</v>
      </c>
      <c r="H41" s="32">
        <f t="shared" ref="H41:H78" si="3">ROUND(F41*G41,2)</f>
        <v>12994.13</v>
      </c>
    </row>
    <row r="42" spans="1:8" x14ac:dyDescent="0.25">
      <c r="A42" s="199">
        <f t="shared" ref="A42:A78" si="4">A41+1</f>
        <v>26</v>
      </c>
      <c r="B42" s="202"/>
      <c r="C42" s="202" t="s">
        <v>167</v>
      </c>
      <c r="D42" s="198" t="s">
        <v>168</v>
      </c>
      <c r="E42" s="2" t="s">
        <v>166</v>
      </c>
      <c r="F42" s="2">
        <f>0.018*3*4</f>
        <v>0.216</v>
      </c>
      <c r="G42" s="103">
        <v>38348.22</v>
      </c>
      <c r="H42" s="32">
        <f t="shared" si="3"/>
        <v>8283.2199999999993</v>
      </c>
    </row>
    <row r="43" spans="1:8" ht="51" customHeight="1" x14ac:dyDescent="0.25">
      <c r="A43" s="199">
        <f t="shared" si="4"/>
        <v>27</v>
      </c>
      <c r="B43" s="202"/>
      <c r="C43" s="202" t="s">
        <v>169</v>
      </c>
      <c r="D43" s="198" t="s">
        <v>170</v>
      </c>
      <c r="E43" s="2" t="s">
        <v>171</v>
      </c>
      <c r="F43" s="2">
        <v>7.2950000000000001E-2</v>
      </c>
      <c r="G43" s="103">
        <v>34500.53</v>
      </c>
      <c r="H43" s="32">
        <f t="shared" si="3"/>
        <v>2516.81</v>
      </c>
    </row>
    <row r="44" spans="1:8" ht="25.5" customHeight="1" x14ac:dyDescent="0.25">
      <c r="A44" s="2">
        <f t="shared" si="4"/>
        <v>28</v>
      </c>
      <c r="B44" s="171"/>
      <c r="C44" s="171" t="s">
        <v>172</v>
      </c>
      <c r="D44" s="8" t="s">
        <v>173</v>
      </c>
      <c r="E44" s="2" t="s">
        <v>174</v>
      </c>
      <c r="F44" s="2">
        <f>0.28*4</f>
        <v>1.1200000000000001</v>
      </c>
      <c r="G44" s="103">
        <v>1837.28</v>
      </c>
      <c r="H44" s="32">
        <f t="shared" si="3"/>
        <v>2057.75</v>
      </c>
    </row>
    <row r="45" spans="1:8" ht="25.5" customHeight="1" x14ac:dyDescent="0.25">
      <c r="A45" s="2">
        <f t="shared" si="4"/>
        <v>29</v>
      </c>
      <c r="B45" s="171"/>
      <c r="C45" s="171" t="s">
        <v>175</v>
      </c>
      <c r="D45" s="8" t="s">
        <v>176</v>
      </c>
      <c r="E45" s="2" t="s">
        <v>177</v>
      </c>
      <c r="F45" s="2">
        <v>1862.0940000000001</v>
      </c>
      <c r="G45" s="103">
        <v>1</v>
      </c>
      <c r="H45" s="32">
        <f t="shared" si="3"/>
        <v>1862.09</v>
      </c>
    </row>
    <row r="46" spans="1:8" x14ac:dyDescent="0.25">
      <c r="A46" s="2">
        <f t="shared" si="4"/>
        <v>30</v>
      </c>
      <c r="B46" s="171"/>
      <c r="C46" s="171" t="s">
        <v>178</v>
      </c>
      <c r="D46" s="8" t="s">
        <v>179</v>
      </c>
      <c r="E46" s="2" t="s">
        <v>180</v>
      </c>
      <c r="F46" s="2">
        <v>0.24</v>
      </c>
      <c r="G46" s="103">
        <v>6505</v>
      </c>
      <c r="H46" s="32">
        <f t="shared" si="3"/>
        <v>1561.2</v>
      </c>
    </row>
    <row r="47" spans="1:8" x14ac:dyDescent="0.25">
      <c r="A47" s="2">
        <f t="shared" si="4"/>
        <v>31</v>
      </c>
      <c r="B47" s="171"/>
      <c r="C47" s="171" t="s">
        <v>181</v>
      </c>
      <c r="D47" s="8" t="s">
        <v>182</v>
      </c>
      <c r="E47" s="2" t="s">
        <v>160</v>
      </c>
      <c r="F47" s="2">
        <v>14</v>
      </c>
      <c r="G47" s="103">
        <v>66.819999999999993</v>
      </c>
      <c r="H47" s="32">
        <f t="shared" si="3"/>
        <v>935.48</v>
      </c>
    </row>
    <row r="48" spans="1:8" ht="38.25" customHeight="1" x14ac:dyDescent="0.25">
      <c r="A48" s="2">
        <f t="shared" si="4"/>
        <v>32</v>
      </c>
      <c r="B48" s="171"/>
      <c r="C48" s="171" t="s">
        <v>183</v>
      </c>
      <c r="D48" s="8" t="s">
        <v>184</v>
      </c>
      <c r="E48" s="2" t="s">
        <v>160</v>
      </c>
      <c r="F48" s="2">
        <v>138</v>
      </c>
      <c r="G48" s="103">
        <v>6.29</v>
      </c>
      <c r="H48" s="32">
        <f t="shared" si="3"/>
        <v>868.02</v>
      </c>
    </row>
    <row r="49" spans="1:8" x14ac:dyDescent="0.25">
      <c r="A49" s="2">
        <f t="shared" si="4"/>
        <v>33</v>
      </c>
      <c r="B49" s="171"/>
      <c r="C49" s="171" t="s">
        <v>185</v>
      </c>
      <c r="D49" s="8" t="s">
        <v>186</v>
      </c>
      <c r="E49" s="2" t="s">
        <v>187</v>
      </c>
      <c r="F49" s="2">
        <v>90.025999999999996</v>
      </c>
      <c r="G49" s="103">
        <v>9.0399999999999991</v>
      </c>
      <c r="H49" s="32">
        <f t="shared" si="3"/>
        <v>813.84</v>
      </c>
    </row>
    <row r="50" spans="1:8" x14ac:dyDescent="0.25">
      <c r="A50" s="2">
        <f t="shared" si="4"/>
        <v>34</v>
      </c>
      <c r="B50" s="171"/>
      <c r="C50" s="171" t="s">
        <v>188</v>
      </c>
      <c r="D50" s="8" t="s">
        <v>189</v>
      </c>
      <c r="E50" s="2" t="s">
        <v>187</v>
      </c>
      <c r="F50" s="2">
        <v>16</v>
      </c>
      <c r="G50" s="103">
        <v>50</v>
      </c>
      <c r="H50" s="32">
        <f t="shared" si="3"/>
        <v>800</v>
      </c>
    </row>
    <row r="51" spans="1:8" x14ac:dyDescent="0.25">
      <c r="A51" s="2">
        <f t="shared" si="4"/>
        <v>35</v>
      </c>
      <c r="B51" s="171"/>
      <c r="C51" s="171" t="s">
        <v>190</v>
      </c>
      <c r="D51" s="8" t="s">
        <v>191</v>
      </c>
      <c r="E51" s="2" t="s">
        <v>174</v>
      </c>
      <c r="F51" s="2">
        <f>1.2*1*4</f>
        <v>4.8</v>
      </c>
      <c r="G51" s="103">
        <v>108.4</v>
      </c>
      <c r="H51" s="32">
        <f t="shared" si="3"/>
        <v>520.32000000000005</v>
      </c>
    </row>
    <row r="52" spans="1:8" x14ac:dyDescent="0.25">
      <c r="A52" s="2">
        <f t="shared" si="4"/>
        <v>36</v>
      </c>
      <c r="B52" s="171"/>
      <c r="C52" s="171" t="s">
        <v>192</v>
      </c>
      <c r="D52" s="8" t="s">
        <v>193</v>
      </c>
      <c r="E52" s="2" t="s">
        <v>194</v>
      </c>
      <c r="F52" s="2">
        <v>13.8</v>
      </c>
      <c r="G52" s="103">
        <v>29.4</v>
      </c>
      <c r="H52" s="32">
        <f t="shared" si="3"/>
        <v>405.72</v>
      </c>
    </row>
    <row r="53" spans="1:8" ht="25.5" customHeight="1" x14ac:dyDescent="0.25">
      <c r="A53" s="2">
        <f t="shared" si="4"/>
        <v>37</v>
      </c>
      <c r="B53" s="171"/>
      <c r="C53" s="171" t="s">
        <v>195</v>
      </c>
      <c r="D53" s="8" t="s">
        <v>196</v>
      </c>
      <c r="E53" s="2" t="s">
        <v>197</v>
      </c>
      <c r="F53" s="2">
        <v>20.9</v>
      </c>
      <c r="G53" s="103">
        <v>15.13</v>
      </c>
      <c r="H53" s="32">
        <f t="shared" si="3"/>
        <v>316.22000000000003</v>
      </c>
    </row>
    <row r="54" spans="1:8" x14ac:dyDescent="0.25">
      <c r="A54" s="2">
        <f t="shared" si="4"/>
        <v>38</v>
      </c>
      <c r="B54" s="171"/>
      <c r="C54" s="171" t="s">
        <v>198</v>
      </c>
      <c r="D54" s="8" t="s">
        <v>199</v>
      </c>
      <c r="E54" s="2" t="s">
        <v>180</v>
      </c>
      <c r="F54" s="2">
        <v>3.4830000000000001</v>
      </c>
      <c r="G54" s="103">
        <v>86</v>
      </c>
      <c r="H54" s="32">
        <f t="shared" si="3"/>
        <v>299.54000000000002</v>
      </c>
    </row>
    <row r="55" spans="1:8" x14ac:dyDescent="0.25">
      <c r="A55" s="2">
        <f t="shared" si="4"/>
        <v>39</v>
      </c>
      <c r="B55" s="171"/>
      <c r="C55" s="171" t="s">
        <v>200</v>
      </c>
      <c r="D55" s="8" t="s">
        <v>201</v>
      </c>
      <c r="E55" s="2" t="s">
        <v>187</v>
      </c>
      <c r="F55" s="2">
        <v>1.1040000000000001</v>
      </c>
      <c r="G55" s="103">
        <v>238.48</v>
      </c>
      <c r="H55" s="32">
        <f t="shared" si="3"/>
        <v>263.27999999999997</v>
      </c>
    </row>
    <row r="56" spans="1:8" x14ac:dyDescent="0.25">
      <c r="A56" s="2">
        <f t="shared" si="4"/>
        <v>40</v>
      </c>
      <c r="B56" s="171"/>
      <c r="C56" s="171" t="s">
        <v>202</v>
      </c>
      <c r="D56" s="8" t="s">
        <v>203</v>
      </c>
      <c r="E56" s="2" t="s">
        <v>187</v>
      </c>
      <c r="F56" s="2">
        <v>8.64</v>
      </c>
      <c r="G56" s="103">
        <v>28.6</v>
      </c>
      <c r="H56" s="32">
        <f t="shared" si="3"/>
        <v>247.1</v>
      </c>
    </row>
    <row r="57" spans="1:8" ht="25.5" customHeight="1" x14ac:dyDescent="0.25">
      <c r="A57" s="2">
        <f t="shared" si="4"/>
        <v>41</v>
      </c>
      <c r="B57" s="171"/>
      <c r="C57" s="171" t="s">
        <v>204</v>
      </c>
      <c r="D57" s="8" t="s">
        <v>205</v>
      </c>
      <c r="E57" s="2" t="s">
        <v>171</v>
      </c>
      <c r="F57" s="2">
        <v>4.48E-2</v>
      </c>
      <c r="G57" s="103">
        <v>5000</v>
      </c>
      <c r="H57" s="32">
        <f t="shared" si="3"/>
        <v>224</v>
      </c>
    </row>
    <row r="58" spans="1:8" x14ac:dyDescent="0.25">
      <c r="A58" s="2">
        <f t="shared" si="4"/>
        <v>42</v>
      </c>
      <c r="B58" s="171"/>
      <c r="C58" s="171" t="s">
        <v>206</v>
      </c>
      <c r="D58" s="8" t="s">
        <v>207</v>
      </c>
      <c r="E58" s="2" t="s">
        <v>187</v>
      </c>
      <c r="F58" s="2">
        <v>12.393000000000001</v>
      </c>
      <c r="G58" s="103">
        <v>10.57</v>
      </c>
      <c r="H58" s="32">
        <f t="shared" si="3"/>
        <v>130.99</v>
      </c>
    </row>
    <row r="59" spans="1:8" ht="25.5" customHeight="1" x14ac:dyDescent="0.25">
      <c r="A59" s="2">
        <f t="shared" si="4"/>
        <v>43</v>
      </c>
      <c r="B59" s="171"/>
      <c r="C59" s="171" t="s">
        <v>208</v>
      </c>
      <c r="D59" s="8" t="s">
        <v>209</v>
      </c>
      <c r="E59" s="2" t="s">
        <v>171</v>
      </c>
      <c r="F59" s="2">
        <v>2.1999999999999999E-2</v>
      </c>
      <c r="G59" s="103">
        <v>5941.89</v>
      </c>
      <c r="H59" s="32">
        <f t="shared" si="3"/>
        <v>130.72</v>
      </c>
    </row>
    <row r="60" spans="1:8" x14ac:dyDescent="0.25">
      <c r="A60" s="2">
        <f t="shared" si="4"/>
        <v>44</v>
      </c>
      <c r="B60" s="171"/>
      <c r="C60" s="171" t="s">
        <v>210</v>
      </c>
      <c r="D60" s="8" t="s">
        <v>211</v>
      </c>
      <c r="E60" s="2" t="s">
        <v>180</v>
      </c>
      <c r="F60" s="2">
        <v>0.93130000000000002</v>
      </c>
      <c r="G60" s="103">
        <v>110</v>
      </c>
      <c r="H60" s="32">
        <f t="shared" si="3"/>
        <v>102.44</v>
      </c>
    </row>
    <row r="61" spans="1:8" ht="25.5" customHeight="1" x14ac:dyDescent="0.25">
      <c r="A61" s="2">
        <f t="shared" si="4"/>
        <v>45</v>
      </c>
      <c r="B61" s="171"/>
      <c r="C61" s="171" t="s">
        <v>212</v>
      </c>
      <c r="D61" s="8" t="s">
        <v>213</v>
      </c>
      <c r="E61" s="2" t="s">
        <v>171</v>
      </c>
      <c r="F61" s="2">
        <v>0.20949999999999999</v>
      </c>
      <c r="G61" s="103">
        <v>480</v>
      </c>
      <c r="H61" s="32">
        <f t="shared" si="3"/>
        <v>100.56</v>
      </c>
    </row>
    <row r="62" spans="1:8" ht="25.5" customHeight="1" x14ac:dyDescent="0.25">
      <c r="A62" s="2">
        <f t="shared" si="4"/>
        <v>46</v>
      </c>
      <c r="B62" s="171"/>
      <c r="C62" s="171" t="s">
        <v>214</v>
      </c>
      <c r="D62" s="8" t="s">
        <v>215</v>
      </c>
      <c r="E62" s="2" t="s">
        <v>171</v>
      </c>
      <c r="F62" s="2">
        <v>2.8999999999999998E-3</v>
      </c>
      <c r="G62" s="103">
        <v>17500</v>
      </c>
      <c r="H62" s="32">
        <f t="shared" si="3"/>
        <v>50.75</v>
      </c>
    </row>
    <row r="63" spans="1:8" x14ac:dyDescent="0.25">
      <c r="A63" s="2">
        <f t="shared" si="4"/>
        <v>47</v>
      </c>
      <c r="B63" s="171"/>
      <c r="C63" s="171" t="s">
        <v>216</v>
      </c>
      <c r="D63" s="8" t="s">
        <v>217</v>
      </c>
      <c r="E63" s="2" t="s">
        <v>218</v>
      </c>
      <c r="F63" s="2">
        <v>0.6</v>
      </c>
      <c r="G63" s="103">
        <v>79.099999999999994</v>
      </c>
      <c r="H63" s="32">
        <f t="shared" si="3"/>
        <v>47.46</v>
      </c>
    </row>
    <row r="64" spans="1:8" x14ac:dyDescent="0.25">
      <c r="A64" s="2">
        <f t="shared" si="4"/>
        <v>48</v>
      </c>
      <c r="B64" s="171"/>
      <c r="C64" s="171" t="s">
        <v>219</v>
      </c>
      <c r="D64" s="8" t="s">
        <v>220</v>
      </c>
      <c r="E64" s="2" t="s">
        <v>171</v>
      </c>
      <c r="F64" s="2">
        <v>5.9999999999999995E-4</v>
      </c>
      <c r="G64" s="103">
        <v>28300.400000000001</v>
      </c>
      <c r="H64" s="32">
        <f t="shared" si="3"/>
        <v>16.98</v>
      </c>
    </row>
    <row r="65" spans="1:8" x14ac:dyDescent="0.25">
      <c r="A65" s="2">
        <f t="shared" si="4"/>
        <v>49</v>
      </c>
      <c r="B65" s="171"/>
      <c r="C65" s="171" t="s">
        <v>221</v>
      </c>
      <c r="D65" s="8" t="s">
        <v>222</v>
      </c>
      <c r="E65" s="2" t="s">
        <v>194</v>
      </c>
      <c r="F65" s="2">
        <v>0.4</v>
      </c>
      <c r="G65" s="103">
        <v>39</v>
      </c>
      <c r="H65" s="32">
        <f t="shared" si="3"/>
        <v>15.6</v>
      </c>
    </row>
    <row r="66" spans="1:8" x14ac:dyDescent="0.25">
      <c r="A66" s="2">
        <f t="shared" si="4"/>
        <v>50</v>
      </c>
      <c r="B66" s="171"/>
      <c r="C66" s="171" t="s">
        <v>223</v>
      </c>
      <c r="D66" s="8" t="s">
        <v>224</v>
      </c>
      <c r="E66" s="2" t="s">
        <v>171</v>
      </c>
      <c r="F66" s="2">
        <v>1.9780000000000002E-3</v>
      </c>
      <c r="G66" s="103">
        <v>6159.22</v>
      </c>
      <c r="H66" s="32">
        <f t="shared" si="3"/>
        <v>12.18</v>
      </c>
    </row>
    <row r="67" spans="1:8" x14ac:dyDescent="0.25">
      <c r="A67" s="2">
        <f t="shared" si="4"/>
        <v>51</v>
      </c>
      <c r="B67" s="171"/>
      <c r="C67" s="171" t="s">
        <v>225</v>
      </c>
      <c r="D67" s="8" t="s">
        <v>226</v>
      </c>
      <c r="E67" s="2" t="s">
        <v>180</v>
      </c>
      <c r="F67" s="2">
        <v>0.44</v>
      </c>
      <c r="G67" s="103">
        <v>26.6</v>
      </c>
      <c r="H67" s="32">
        <f t="shared" si="3"/>
        <v>11.7</v>
      </c>
    </row>
    <row r="68" spans="1:8" ht="25.5" customHeight="1" x14ac:dyDescent="0.25">
      <c r="A68" s="2">
        <f t="shared" si="4"/>
        <v>52</v>
      </c>
      <c r="B68" s="171"/>
      <c r="C68" s="171" t="s">
        <v>227</v>
      </c>
      <c r="D68" s="8" t="s">
        <v>228</v>
      </c>
      <c r="E68" s="2" t="s">
        <v>174</v>
      </c>
      <c r="F68" s="2">
        <v>0.17460000000000001</v>
      </c>
      <c r="G68" s="103">
        <v>59.99</v>
      </c>
      <c r="H68" s="32">
        <f t="shared" si="3"/>
        <v>10.47</v>
      </c>
    </row>
    <row r="69" spans="1:8" x14ac:dyDescent="0.25">
      <c r="A69" s="2">
        <f t="shared" si="4"/>
        <v>53</v>
      </c>
      <c r="B69" s="171"/>
      <c r="C69" s="171" t="s">
        <v>229</v>
      </c>
      <c r="D69" s="8" t="s">
        <v>230</v>
      </c>
      <c r="E69" s="2" t="s">
        <v>171</v>
      </c>
      <c r="F69" s="2">
        <v>5.9999999999999995E-4</v>
      </c>
      <c r="G69" s="103">
        <v>15620</v>
      </c>
      <c r="H69" s="32">
        <f t="shared" si="3"/>
        <v>9.3699999999999992</v>
      </c>
    </row>
    <row r="70" spans="1:8" x14ac:dyDescent="0.25">
      <c r="A70" s="2">
        <f t="shared" si="4"/>
        <v>54</v>
      </c>
      <c r="B70" s="171"/>
      <c r="C70" s="171" t="s">
        <v>231</v>
      </c>
      <c r="D70" s="8" t="s">
        <v>232</v>
      </c>
      <c r="E70" s="2" t="s">
        <v>171</v>
      </c>
      <c r="F70" s="2">
        <v>8.9999999999999998E-4</v>
      </c>
      <c r="G70" s="103">
        <v>10315.01</v>
      </c>
      <c r="H70" s="32">
        <f t="shared" si="3"/>
        <v>9.2799999999999994</v>
      </c>
    </row>
    <row r="71" spans="1:8" x14ac:dyDescent="0.25">
      <c r="A71" s="2">
        <f t="shared" si="4"/>
        <v>55</v>
      </c>
      <c r="B71" s="171"/>
      <c r="C71" s="171" t="s">
        <v>233</v>
      </c>
      <c r="D71" s="8" t="s">
        <v>234</v>
      </c>
      <c r="E71" s="2" t="s">
        <v>180</v>
      </c>
      <c r="F71" s="2">
        <v>3.427</v>
      </c>
      <c r="G71" s="103">
        <v>2</v>
      </c>
      <c r="H71" s="32">
        <f t="shared" si="3"/>
        <v>6.85</v>
      </c>
    </row>
    <row r="72" spans="1:8" ht="25.5" customHeight="1" x14ac:dyDescent="0.25">
      <c r="A72" s="2">
        <f t="shared" si="4"/>
        <v>56</v>
      </c>
      <c r="B72" s="171"/>
      <c r="C72" s="171" t="s">
        <v>235</v>
      </c>
      <c r="D72" s="8" t="s">
        <v>236</v>
      </c>
      <c r="E72" s="2" t="s">
        <v>187</v>
      </c>
      <c r="F72" s="2">
        <v>0.22</v>
      </c>
      <c r="G72" s="103">
        <v>28.22</v>
      </c>
      <c r="H72" s="32">
        <f t="shared" si="3"/>
        <v>6.21</v>
      </c>
    </row>
    <row r="73" spans="1:8" x14ac:dyDescent="0.25">
      <c r="A73" s="2">
        <f t="shared" si="4"/>
        <v>57</v>
      </c>
      <c r="B73" s="171"/>
      <c r="C73" s="171" t="s">
        <v>237</v>
      </c>
      <c r="D73" s="8" t="s">
        <v>238</v>
      </c>
      <c r="E73" s="2" t="s">
        <v>171</v>
      </c>
      <c r="F73" s="2">
        <v>5.0000000000000001E-4</v>
      </c>
      <c r="G73" s="103">
        <v>9420</v>
      </c>
      <c r="H73" s="32">
        <f t="shared" si="3"/>
        <v>4.71</v>
      </c>
    </row>
    <row r="74" spans="1:8" ht="25.5" customHeight="1" x14ac:dyDescent="0.25">
      <c r="A74" s="2">
        <f t="shared" si="4"/>
        <v>58</v>
      </c>
      <c r="B74" s="171"/>
      <c r="C74" s="171" t="s">
        <v>239</v>
      </c>
      <c r="D74" s="8" t="s">
        <v>240</v>
      </c>
      <c r="E74" s="2" t="s">
        <v>187</v>
      </c>
      <c r="F74" s="2">
        <v>4.8000000000000001E-2</v>
      </c>
      <c r="G74" s="103">
        <v>30.4</v>
      </c>
      <c r="H74" s="32">
        <f t="shared" si="3"/>
        <v>1.46</v>
      </c>
    </row>
    <row r="75" spans="1:8" x14ac:dyDescent="0.25">
      <c r="A75" s="2">
        <f t="shared" si="4"/>
        <v>59</v>
      </c>
      <c r="B75" s="171"/>
      <c r="C75" s="171" t="s">
        <v>241</v>
      </c>
      <c r="D75" s="8" t="s">
        <v>242</v>
      </c>
      <c r="E75" s="2" t="s">
        <v>171</v>
      </c>
      <c r="F75" s="2">
        <v>2.0000000000000001E-4</v>
      </c>
      <c r="G75" s="103">
        <v>6667</v>
      </c>
      <c r="H75" s="32">
        <f t="shared" si="3"/>
        <v>1.33</v>
      </c>
    </row>
    <row r="76" spans="1:8" x14ac:dyDescent="0.25">
      <c r="A76" s="2">
        <f t="shared" si="4"/>
        <v>60</v>
      </c>
      <c r="B76" s="171"/>
      <c r="C76" s="171" t="s">
        <v>243</v>
      </c>
      <c r="D76" s="8" t="s">
        <v>244</v>
      </c>
      <c r="E76" s="2" t="s">
        <v>187</v>
      </c>
      <c r="F76" s="2">
        <v>2.4E-2</v>
      </c>
      <c r="G76" s="103">
        <v>44.97</v>
      </c>
      <c r="H76" s="32">
        <f t="shared" si="3"/>
        <v>1.08</v>
      </c>
    </row>
    <row r="77" spans="1:8" x14ac:dyDescent="0.25">
      <c r="A77" s="2">
        <f t="shared" si="4"/>
        <v>61</v>
      </c>
      <c r="B77" s="171"/>
      <c r="C77" s="171" t="s">
        <v>245</v>
      </c>
      <c r="D77" s="8" t="s">
        <v>246</v>
      </c>
      <c r="E77" s="2" t="s">
        <v>187</v>
      </c>
      <c r="F77" s="2">
        <v>2.4E-2</v>
      </c>
      <c r="G77" s="103">
        <v>35.630000000000003</v>
      </c>
      <c r="H77" s="32">
        <f t="shared" si="3"/>
        <v>0.86</v>
      </c>
    </row>
    <row r="78" spans="1:8" x14ac:dyDescent="0.25">
      <c r="A78" s="2">
        <f t="shared" si="4"/>
        <v>62</v>
      </c>
      <c r="B78" s="171"/>
      <c r="C78" s="171" t="s">
        <v>247</v>
      </c>
      <c r="D78" s="8" t="s">
        <v>248</v>
      </c>
      <c r="E78" s="2" t="s">
        <v>187</v>
      </c>
      <c r="F78" s="2">
        <v>4.0000000000000001E-3</v>
      </c>
      <c r="G78" s="103">
        <v>133.05000000000001</v>
      </c>
      <c r="H78" s="32">
        <f t="shared" si="3"/>
        <v>0.53</v>
      </c>
    </row>
    <row r="79" spans="1:8" x14ac:dyDescent="0.25">
      <c r="C79" s="147"/>
      <c r="D79" s="145"/>
      <c r="E79" s="146"/>
      <c r="F79" s="146"/>
      <c r="G79" s="148"/>
      <c r="H79" s="159"/>
    </row>
    <row r="80" spans="1:8" ht="25.5" customHeight="1" x14ac:dyDescent="0.25">
      <c r="B80" s="156"/>
      <c r="C80" s="259"/>
      <c r="D80" s="259"/>
      <c r="E80" s="259"/>
      <c r="F80" s="259"/>
      <c r="G80" s="259"/>
      <c r="H80" s="259"/>
    </row>
    <row r="84" spans="2:8" x14ac:dyDescent="0.25">
      <c r="B84" s="4" t="s">
        <v>75</v>
      </c>
      <c r="C84" s="12"/>
      <c r="H84"/>
    </row>
    <row r="85" spans="2:8" x14ac:dyDescent="0.25">
      <c r="B85" s="33" t="s">
        <v>76</v>
      </c>
      <c r="C85" s="12"/>
      <c r="H85"/>
    </row>
    <row r="86" spans="2:8" x14ac:dyDescent="0.25">
      <c r="B86" s="4"/>
      <c r="C86" s="12"/>
      <c r="H86"/>
    </row>
    <row r="87" spans="2:8" x14ac:dyDescent="0.25">
      <c r="B87" s="4" t="s">
        <v>77</v>
      </c>
      <c r="C87" s="12"/>
      <c r="H87"/>
    </row>
    <row r="88" spans="2:8" x14ac:dyDescent="0.25">
      <c r="B88" s="33" t="s">
        <v>78</v>
      </c>
      <c r="C88" s="12"/>
      <c r="H88"/>
    </row>
  </sheetData>
  <mergeCells count="17">
    <mergeCell ref="C80:H80"/>
    <mergeCell ref="A3:H3"/>
    <mergeCell ref="D9:D10"/>
    <mergeCell ref="C9:C10"/>
    <mergeCell ref="B9:B10"/>
    <mergeCell ref="G9:H9"/>
    <mergeCell ref="A2:H2"/>
    <mergeCell ref="A20:D20"/>
    <mergeCell ref="A22:D22"/>
    <mergeCell ref="A40:D40"/>
    <mergeCell ref="A36:D36"/>
    <mergeCell ref="A9:A10"/>
    <mergeCell ref="A12:D12"/>
    <mergeCell ref="E9:E10"/>
    <mergeCell ref="F9:F10"/>
    <mergeCell ref="C4:H4"/>
    <mergeCell ref="A6:H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8" t="s">
        <v>249</v>
      </c>
      <c r="B1" s="238"/>
      <c r="C1" s="238"/>
      <c r="D1" s="238"/>
    </row>
    <row r="2" spans="1:10" x14ac:dyDescent="0.25">
      <c r="A2" s="261" t="str">
        <f>'4.1 Отдел 1'!A10</f>
        <v>И5-05-02</v>
      </c>
      <c r="B2" s="261"/>
      <c r="C2" s="261"/>
      <c r="D2" s="261"/>
    </row>
    <row r="3" spans="1:10" x14ac:dyDescent="0.25">
      <c r="A3" s="262"/>
      <c r="B3" s="262"/>
      <c r="C3" s="262"/>
      <c r="D3" s="262"/>
    </row>
    <row r="4" spans="1:10" ht="51.75" customHeight="1" x14ac:dyDescent="0.25">
      <c r="A4" s="235" t="str">
        <f>'Прил. 3'!A6</f>
        <v>Наименование разрабатываемого показателя УНЦ - Элементы ПС без устройства фундаментов. Цифровой ТН на три фазы 220 (150) кВ.</v>
      </c>
      <c r="B4" s="235"/>
      <c r="C4" s="235"/>
      <c r="D4" s="235"/>
    </row>
    <row r="5" spans="1:10" ht="15" customHeight="1" x14ac:dyDescent="0.25">
      <c r="A5" s="235"/>
      <c r="B5" s="263"/>
      <c r="C5" s="263"/>
      <c r="D5" s="263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250</v>
      </c>
      <c r="B7" s="2" t="s">
        <v>102</v>
      </c>
      <c r="C7" s="2" t="s">
        <v>251</v>
      </c>
      <c r="D7" s="2" t="s">
        <v>252</v>
      </c>
    </row>
    <row r="8" spans="1:10" x14ac:dyDescent="0.25">
      <c r="A8" s="25" t="s">
        <v>253</v>
      </c>
      <c r="B8" s="26">
        <f>'Прил.5 Расчет СМР и ОБ'!G16</f>
        <v>53777.54</v>
      </c>
      <c r="C8" s="27">
        <f t="shared" ref="C8:C15" si="0">B8/$B$21</f>
        <v>0.28096150071442999</v>
      </c>
      <c r="D8" s="27">
        <f t="shared" ref="D8:D15" si="1">B8/$B$35</f>
        <v>1.5151054578508001E-2</v>
      </c>
      <c r="I8" s="28"/>
      <c r="J8" s="28"/>
    </row>
    <row r="9" spans="1:10" x14ac:dyDescent="0.25">
      <c r="A9" s="25" t="s">
        <v>254</v>
      </c>
      <c r="B9" s="26">
        <f>'Прил.5 Расчет СМР и ОБ'!G25</f>
        <v>40421.339999999997</v>
      </c>
      <c r="C9" s="27">
        <f t="shared" si="0"/>
        <v>0.21118184928667</v>
      </c>
      <c r="D9" s="27">
        <f t="shared" si="1"/>
        <v>1.1388135799376999E-2</v>
      </c>
      <c r="I9" s="28"/>
      <c r="J9" s="28"/>
    </row>
    <row r="10" spans="1:10" x14ac:dyDescent="0.25">
      <c r="A10" s="25" t="s">
        <v>255</v>
      </c>
      <c r="B10" s="26">
        <f>'Прил.5 Расчет СМР и ОБ'!G35</f>
        <v>2848.57</v>
      </c>
      <c r="C10" s="27">
        <f t="shared" si="0"/>
        <v>1.4882393320522E-2</v>
      </c>
      <c r="D10" s="27">
        <f t="shared" si="1"/>
        <v>8.0254395312056995E-4</v>
      </c>
      <c r="I10" s="28"/>
      <c r="J10" s="28"/>
    </row>
    <row r="11" spans="1:10" x14ac:dyDescent="0.25">
      <c r="A11" s="25" t="s">
        <v>256</v>
      </c>
      <c r="B11" s="26">
        <f>B9+B10</f>
        <v>43269.91</v>
      </c>
      <c r="C11" s="27">
        <f t="shared" si="0"/>
        <v>0.22606424260720001</v>
      </c>
      <c r="D11" s="27">
        <f t="shared" si="1"/>
        <v>1.2190679752497E-2</v>
      </c>
      <c r="I11" s="28"/>
      <c r="J11" s="28"/>
    </row>
    <row r="12" spans="1:10" x14ac:dyDescent="0.25">
      <c r="A12" s="25" t="s">
        <v>257</v>
      </c>
      <c r="B12" s="26">
        <f>'Прил.5 Расчет СМР и ОБ'!G18</f>
        <v>91.881600000000006</v>
      </c>
      <c r="C12" s="27">
        <f t="shared" si="0"/>
        <v>4.8003668862581998E-4</v>
      </c>
      <c r="D12" s="27">
        <f t="shared" si="1"/>
        <v>2.5886329801634999E-5</v>
      </c>
      <c r="I12" s="28"/>
      <c r="J12" s="28"/>
    </row>
    <row r="13" spans="1:10" x14ac:dyDescent="0.25">
      <c r="A13" s="25" t="s">
        <v>258</v>
      </c>
      <c r="B13" s="26">
        <f>'Прил.5 Расчет СМР и ОБ'!G56</f>
        <v>31078.7</v>
      </c>
      <c r="C13" s="27">
        <f t="shared" si="0"/>
        <v>0.16237109752980999</v>
      </c>
      <c r="D13" s="27">
        <f t="shared" si="1"/>
        <v>8.7559802833871991E-3</v>
      </c>
      <c r="I13" s="28"/>
      <c r="J13" s="28"/>
    </row>
    <row r="14" spans="1:10" x14ac:dyDescent="0.25">
      <c r="A14" s="25" t="s">
        <v>259</v>
      </c>
      <c r="B14" s="26">
        <f>'Прил.5 Расчет СМР и ОБ'!G87</f>
        <v>4561.55</v>
      </c>
      <c r="C14" s="27">
        <f t="shared" si="0"/>
        <v>2.3831880996860001E-2</v>
      </c>
      <c r="D14" s="27">
        <f t="shared" si="1"/>
        <v>1.285151626731E-3</v>
      </c>
      <c r="I14" s="28"/>
      <c r="J14" s="28"/>
    </row>
    <row r="15" spans="1:10" x14ac:dyDescent="0.25">
      <c r="A15" s="25" t="s">
        <v>260</v>
      </c>
      <c r="B15" s="26">
        <f>B13+B14</f>
        <v>35640.25</v>
      </c>
      <c r="C15" s="27">
        <f t="shared" si="0"/>
        <v>0.18620297852667</v>
      </c>
      <c r="D15" s="27">
        <f t="shared" si="1"/>
        <v>1.0041131910118E-2</v>
      </c>
      <c r="I15" s="28"/>
      <c r="J15" s="28"/>
    </row>
    <row r="16" spans="1:10" x14ac:dyDescent="0.25">
      <c r="A16" s="25" t="s">
        <v>261</v>
      </c>
      <c r="B16" s="26">
        <f>B8+B11+B15</f>
        <v>132687.70000000001</v>
      </c>
      <c r="C16" s="27"/>
      <c r="D16" s="27"/>
      <c r="I16" s="28"/>
      <c r="J16" s="28"/>
    </row>
    <row r="17" spans="1:10" x14ac:dyDescent="0.25">
      <c r="A17" s="25" t="s">
        <v>262</v>
      </c>
      <c r="B17" s="26">
        <f>'Прил.5 Расчет СМР и ОБ'!G91</f>
        <v>24779.93</v>
      </c>
      <c r="C17" s="27">
        <f>B17/$B$21</f>
        <v>0.12946308664171999</v>
      </c>
      <c r="D17" s="27">
        <f>B17/$B$35</f>
        <v>6.9813917089104E-3</v>
      </c>
      <c r="I17" s="28"/>
      <c r="J17" s="28"/>
    </row>
    <row r="18" spans="1:10" x14ac:dyDescent="0.25">
      <c r="A18" s="25" t="s">
        <v>263</v>
      </c>
      <c r="B18" s="29">
        <f>B17/(B8+B12)</f>
        <v>0.45999992693442998</v>
      </c>
      <c r="C18" s="27"/>
      <c r="D18" s="27"/>
      <c r="I18" s="28"/>
      <c r="J18" s="28"/>
    </row>
    <row r="19" spans="1:10" x14ac:dyDescent="0.25">
      <c r="A19" s="25" t="s">
        <v>264</v>
      </c>
      <c r="B19" s="26">
        <f>'Прил.5 Расчет СМР и ОБ'!G90</f>
        <v>33937.74</v>
      </c>
      <c r="C19" s="27">
        <f>B19/$B$21</f>
        <v>0.17730819150999</v>
      </c>
      <c r="D19" s="27">
        <f>B19/$B$35</f>
        <v>9.5614740096182007E-3</v>
      </c>
      <c r="I19" s="28"/>
      <c r="J19" s="28"/>
    </row>
    <row r="20" spans="1:10" x14ac:dyDescent="0.25">
      <c r="A20" s="25" t="s">
        <v>265</v>
      </c>
      <c r="B20" s="29">
        <f>B19/(B8+B12)</f>
        <v>0.63000008153048004</v>
      </c>
      <c r="C20" s="27"/>
      <c r="D20" s="27"/>
      <c r="J20" s="28"/>
    </row>
    <row r="21" spans="1:10" x14ac:dyDescent="0.25">
      <c r="A21" s="25" t="s">
        <v>266</v>
      </c>
      <c r="B21" s="26">
        <f>B16+B17+B19</f>
        <v>191405.37</v>
      </c>
      <c r="C21" s="27">
        <f>B21/$B$21</f>
        <v>1</v>
      </c>
      <c r="D21" s="27">
        <f>B21/$B$35</f>
        <v>5.3925731959652001E-2</v>
      </c>
      <c r="J21" s="28"/>
    </row>
    <row r="22" spans="1:10" ht="26.45" customHeight="1" x14ac:dyDescent="0.25">
      <c r="A22" s="25" t="s">
        <v>267</v>
      </c>
      <c r="B22" s="26">
        <f>'Прил.6 Расчет ОБ'!G16</f>
        <v>3246502.4329073001</v>
      </c>
      <c r="C22" s="27"/>
      <c r="D22" s="27">
        <f>B22/$B$35</f>
        <v>0.91465573825497004</v>
      </c>
      <c r="J22" s="28"/>
    </row>
    <row r="23" spans="1:10" ht="26.45" customHeight="1" x14ac:dyDescent="0.25">
      <c r="A23" s="25" t="s">
        <v>268</v>
      </c>
      <c r="B23" s="26">
        <f>'Прил.6 Расчет ОБ'!G15</f>
        <v>3246502.4329073001</v>
      </c>
      <c r="C23" s="27"/>
      <c r="D23" s="27">
        <f>B23/$B$35</f>
        <v>0.91465573825497004</v>
      </c>
      <c r="J23" s="28"/>
    </row>
    <row r="24" spans="1:10" x14ac:dyDescent="0.25">
      <c r="A24" s="25" t="s">
        <v>269</v>
      </c>
      <c r="B24" s="26">
        <f>'Прил.5 Расчет СМР и ОБ'!G93</f>
        <v>3437907.8029073002</v>
      </c>
      <c r="C24" s="27"/>
      <c r="D24" s="27">
        <f>B24/$B$35</f>
        <v>0.96858147021464003</v>
      </c>
      <c r="J24" s="28"/>
    </row>
    <row r="25" spans="1:10" ht="26.45" customHeight="1" x14ac:dyDescent="0.25">
      <c r="A25" s="25" t="s">
        <v>270</v>
      </c>
      <c r="B25" s="26"/>
      <c r="C25" s="27"/>
      <c r="D25" s="27"/>
      <c r="J25" s="28"/>
    </row>
    <row r="26" spans="1:10" x14ac:dyDescent="0.25">
      <c r="A26" s="25" t="s">
        <v>271</v>
      </c>
      <c r="B26" s="26">
        <f>'4.7 Прил.6 Расчет Прочие'!I9*1000</f>
        <v>278.41007999999999</v>
      </c>
      <c r="C26" s="27"/>
      <c r="D26" s="27">
        <f>B26/$B$35</f>
        <v>7.8438067588935002E-5</v>
      </c>
      <c r="J26" s="28"/>
    </row>
    <row r="27" spans="1:10" x14ac:dyDescent="0.25">
      <c r="A27" s="25" t="s">
        <v>272</v>
      </c>
      <c r="B27" s="26">
        <f>'4.7 Прил.6 Расчет Прочие'!I11*1000</f>
        <v>86.950678710000005</v>
      </c>
      <c r="C27" s="27"/>
      <c r="D27" s="27">
        <f>B27/$B$35</f>
        <v>2.4497113084262999E-5</v>
      </c>
      <c r="J27" s="28"/>
    </row>
    <row r="28" spans="1:10" x14ac:dyDescent="0.25">
      <c r="A28" s="25" t="s">
        <v>273</v>
      </c>
      <c r="B28" s="26">
        <f>'4.7 Прил.6 Расчет Прочие'!I12*1000</f>
        <v>5470.4031199999999</v>
      </c>
      <c r="C28" s="27"/>
      <c r="D28" s="27">
        <f>B28/$B$35</f>
        <v>1.5412080254612001E-3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274</v>
      </c>
      <c r="B30" s="26">
        <f>'4.7 Прил.6 Расчет Прочие'!I14*1000</f>
        <v>2300.6417510043998</v>
      </c>
      <c r="C30" s="27"/>
      <c r="D30" s="27">
        <f>B30/$B$35</f>
        <v>6.4817298699533E-4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275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276</v>
      </c>
      <c r="B33" s="26">
        <f>B24+B26+B27+B28+B30+B32</f>
        <v>3446044.2085370999</v>
      </c>
      <c r="C33" s="27"/>
      <c r="D33" s="27">
        <f>B33/$B$35</f>
        <v>0.97087378640777</v>
      </c>
      <c r="J33" s="28"/>
    </row>
    <row r="34" spans="1:10" x14ac:dyDescent="0.25">
      <c r="A34" s="25" t="s">
        <v>277</v>
      </c>
      <c r="B34" s="26">
        <f>B33*3%</f>
        <v>103381.32625611</v>
      </c>
      <c r="C34" s="27"/>
      <c r="D34" s="27">
        <f>B34/$B$35</f>
        <v>2.9126213592233E-2</v>
      </c>
      <c r="J34" s="28"/>
    </row>
    <row r="35" spans="1:10" x14ac:dyDescent="0.25">
      <c r="A35" s="25" t="s">
        <v>278</v>
      </c>
      <c r="B35" s="26">
        <f>B33+B34</f>
        <v>3549425.5347932</v>
      </c>
      <c r="C35" s="27"/>
      <c r="D35" s="27">
        <f>B35/$B$35</f>
        <v>1</v>
      </c>
      <c r="J35" s="28"/>
    </row>
    <row r="36" spans="1:10" x14ac:dyDescent="0.25">
      <c r="A36" s="25" t="s">
        <v>279</v>
      </c>
      <c r="B36" s="26">
        <f>B35</f>
        <v>3549425.5347932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280</v>
      </c>
      <c r="B38" s="30"/>
      <c r="C38" s="30"/>
      <c r="D38" s="30"/>
    </row>
    <row r="39" spans="1:10" x14ac:dyDescent="0.25">
      <c r="A39" s="31" t="s">
        <v>281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282</v>
      </c>
      <c r="B41" s="30"/>
      <c r="C41" s="30"/>
      <c r="D41" s="30"/>
    </row>
    <row r="42" spans="1:10" x14ac:dyDescent="0.25">
      <c r="A42" s="31" t="s">
        <v>283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284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2" t="s">
        <v>249</v>
      </c>
      <c r="C5" s="232"/>
      <c r="D5" s="232"/>
      <c r="E5" s="232"/>
    </row>
    <row r="6" spans="2:5" x14ac:dyDescent="0.25">
      <c r="B6" s="139"/>
      <c r="C6" s="4"/>
      <c r="D6" s="4"/>
      <c r="E6" s="4"/>
    </row>
    <row r="7" spans="2:5" ht="25.5" customHeight="1" x14ac:dyDescent="0.25">
      <c r="B7" s="263" t="s">
        <v>48</v>
      </c>
      <c r="C7" s="263"/>
      <c r="D7" s="263"/>
      <c r="E7" s="263"/>
    </row>
    <row r="8" spans="2:5" x14ac:dyDescent="0.25">
      <c r="B8" s="264" t="s">
        <v>50</v>
      </c>
      <c r="C8" s="264"/>
      <c r="D8" s="264"/>
      <c r="E8" s="264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250</v>
      </c>
      <c r="C10" s="2" t="s">
        <v>285</v>
      </c>
      <c r="D10" s="2" t="s">
        <v>286</v>
      </c>
      <c r="E10" s="2" t="s">
        <v>287</v>
      </c>
    </row>
    <row r="11" spans="2:5" x14ac:dyDescent="0.25">
      <c r="B11" s="25" t="s">
        <v>253</v>
      </c>
      <c r="C11" s="182">
        <f>'Прил.5 Расчет СМР и ОБ'!J16</f>
        <v>2480551.86</v>
      </c>
      <c r="D11" s="27">
        <f t="shared" ref="D11:D18" si="0">C11/$C$24</f>
        <v>0.40945496442466001</v>
      </c>
      <c r="E11" s="27">
        <f t="shared" ref="E11:E18" si="1">C11/$C$40</f>
        <v>8.7370862563884003E-2</v>
      </c>
    </row>
    <row r="12" spans="2:5" x14ac:dyDescent="0.25">
      <c r="B12" s="25" t="s">
        <v>254</v>
      </c>
      <c r="C12" s="182">
        <f>'Прил.5 Расчет СМР и ОБ'!J25</f>
        <v>544475.14</v>
      </c>
      <c r="D12" s="27">
        <f t="shared" si="0"/>
        <v>8.9874375405645995E-2</v>
      </c>
      <c r="E12" s="27">
        <f t="shared" si="1"/>
        <v>1.9177693235727E-2</v>
      </c>
    </row>
    <row r="13" spans="2:5" x14ac:dyDescent="0.25">
      <c r="B13" s="25" t="s">
        <v>255</v>
      </c>
      <c r="C13" s="182">
        <f>'Прил.5 Расчет СМР и ОБ'!J35</f>
        <v>38370.11</v>
      </c>
      <c r="D13" s="27">
        <f t="shared" si="0"/>
        <v>6.3336035332961999E-3</v>
      </c>
      <c r="E13" s="27">
        <f t="shared" si="1"/>
        <v>1.3514853938070999E-3</v>
      </c>
    </row>
    <row r="14" spans="2:5" x14ac:dyDescent="0.25">
      <c r="B14" s="25" t="s">
        <v>256</v>
      </c>
      <c r="C14" s="182">
        <f>C13+C12</f>
        <v>582845.25</v>
      </c>
      <c r="D14" s="27">
        <f t="shared" si="0"/>
        <v>9.6207978938941993E-2</v>
      </c>
      <c r="E14" s="27">
        <f t="shared" si="1"/>
        <v>2.0529178629534E-2</v>
      </c>
    </row>
    <row r="15" spans="2:5" x14ac:dyDescent="0.25">
      <c r="B15" s="25" t="s">
        <v>257</v>
      </c>
      <c r="C15" s="182">
        <f>'Прил.5 Расчет СМР и ОБ'!J18</f>
        <v>4067.63</v>
      </c>
      <c r="D15" s="27">
        <f t="shared" si="0"/>
        <v>6.7142772695052001E-4</v>
      </c>
      <c r="E15" s="27">
        <f t="shared" si="1"/>
        <v>1.4327148221392999E-4</v>
      </c>
    </row>
    <row r="16" spans="2:5" x14ac:dyDescent="0.25">
      <c r="B16" s="25" t="s">
        <v>258</v>
      </c>
      <c r="C16" s="182">
        <f>'Прил.5 Расчет СМР и ОБ'!J56</f>
        <v>249872.58</v>
      </c>
      <c r="D16" s="27">
        <f t="shared" si="0"/>
        <v>4.1245486540481997E-2</v>
      </c>
      <c r="E16" s="27">
        <f t="shared" si="1"/>
        <v>8.8010991415687998E-3</v>
      </c>
    </row>
    <row r="17" spans="2:7" x14ac:dyDescent="0.25">
      <c r="B17" s="25" t="s">
        <v>259</v>
      </c>
      <c r="C17" s="182">
        <f>'Прил.5 Расчет СМР и ОБ'!J87</f>
        <v>36675.019999999997</v>
      </c>
      <c r="D17" s="27">
        <f t="shared" si="0"/>
        <v>6.0538016767663003E-3</v>
      </c>
      <c r="E17" s="27">
        <f t="shared" si="1"/>
        <v>1.2917803427612E-3</v>
      </c>
      <c r="G17" s="140"/>
    </row>
    <row r="18" spans="2:7" x14ac:dyDescent="0.25">
      <c r="B18" s="25" t="s">
        <v>260</v>
      </c>
      <c r="C18" s="182">
        <f>C17+C16</f>
        <v>286547.59999999998</v>
      </c>
      <c r="D18" s="27">
        <f t="shared" si="0"/>
        <v>4.7299288217248998E-2</v>
      </c>
      <c r="E18" s="27">
        <f t="shared" si="1"/>
        <v>1.009287948433E-2</v>
      </c>
    </row>
    <row r="19" spans="2:7" x14ac:dyDescent="0.25">
      <c r="B19" s="25" t="s">
        <v>261</v>
      </c>
      <c r="C19" s="182">
        <f>C18+C14+C11</f>
        <v>3349944.71</v>
      </c>
      <c r="D19" s="27"/>
      <c r="E19" s="25"/>
    </row>
    <row r="20" spans="2:7" x14ac:dyDescent="0.25">
      <c r="B20" s="25" t="s">
        <v>262</v>
      </c>
      <c r="C20" s="182">
        <f>ROUND(C21*(C11+C15),2)</f>
        <v>1142924.97</v>
      </c>
      <c r="D20" s="27">
        <f>C20/$C$24</f>
        <v>0.18865814114905</v>
      </c>
      <c r="E20" s="27">
        <f>C20/$C$40</f>
        <v>4.0256501823228E-2</v>
      </c>
    </row>
    <row r="21" spans="2:7" x14ac:dyDescent="0.25">
      <c r="B21" s="25" t="s">
        <v>263</v>
      </c>
      <c r="C21" s="29">
        <f>'Прил.5 Расчет СМР и ОБ'!D91</f>
        <v>0.46</v>
      </c>
      <c r="D21" s="27"/>
      <c r="E21" s="25"/>
    </row>
    <row r="22" spans="2:7" x14ac:dyDescent="0.25">
      <c r="B22" s="25" t="s">
        <v>264</v>
      </c>
      <c r="C22" s="182">
        <f>ROUND(C23*(C11+C15),2)</f>
        <v>1565310.28</v>
      </c>
      <c r="D22" s="27">
        <f>C22/$C$24</f>
        <v>0.2583796272701</v>
      </c>
      <c r="E22" s="27">
        <f>C22/$C$40</f>
        <v>5.5133904494830001E-2</v>
      </c>
    </row>
    <row r="23" spans="2:7" x14ac:dyDescent="0.25">
      <c r="B23" s="25" t="s">
        <v>265</v>
      </c>
      <c r="C23" s="29">
        <f>'Прил.5 Расчет СМР и ОБ'!D90</f>
        <v>0.63</v>
      </c>
      <c r="D23" s="27"/>
      <c r="E23" s="25"/>
    </row>
    <row r="24" spans="2:7" x14ac:dyDescent="0.25">
      <c r="B24" s="25" t="s">
        <v>266</v>
      </c>
      <c r="C24" s="182">
        <f>C19+C20+C22</f>
        <v>6058179.96</v>
      </c>
      <c r="D24" s="27">
        <f>C24/$C$24</f>
        <v>1</v>
      </c>
      <c r="E24" s="27">
        <f>C24/$C$40</f>
        <v>0.21338332699581</v>
      </c>
    </row>
    <row r="25" spans="2:7" ht="25.5" customHeight="1" x14ac:dyDescent="0.25">
      <c r="B25" s="25" t="s">
        <v>267</v>
      </c>
      <c r="C25" s="182">
        <f>'Прил.5 Расчет СМР и ОБ'!J44</f>
        <v>20323105.23</v>
      </c>
      <c r="D25" s="27"/>
      <c r="E25" s="27">
        <f>C25/$C$40</f>
        <v>0.71582749893471997</v>
      </c>
    </row>
    <row r="26" spans="2:7" ht="25.5" customHeight="1" x14ac:dyDescent="0.25">
      <c r="B26" s="25" t="s">
        <v>268</v>
      </c>
      <c r="C26" s="182">
        <f>C25</f>
        <v>20323105.23</v>
      </c>
      <c r="D26" s="27"/>
      <c r="E26" s="27">
        <f>C26/$C$40</f>
        <v>0.71582749893471997</v>
      </c>
    </row>
    <row r="27" spans="2:7" x14ac:dyDescent="0.25">
      <c r="B27" s="25" t="s">
        <v>269</v>
      </c>
      <c r="C27" s="26">
        <f>C24+C25</f>
        <v>26381285.190000001</v>
      </c>
      <c r="D27" s="27"/>
      <c r="E27" s="27">
        <f>C27/$C$40</f>
        <v>0.92921082593052995</v>
      </c>
    </row>
    <row r="28" spans="2:7" ht="33" customHeight="1" x14ac:dyDescent="0.25">
      <c r="B28" s="25" t="s">
        <v>270</v>
      </c>
      <c r="C28" s="25"/>
      <c r="D28" s="25"/>
      <c r="E28" s="25"/>
    </row>
    <row r="29" spans="2:7" ht="25.5" customHeight="1" x14ac:dyDescent="0.25">
      <c r="B29" s="25" t="s">
        <v>288</v>
      </c>
      <c r="C29" s="26">
        <f>ROUND(C24*3.9%,2)</f>
        <v>236269.02</v>
      </c>
      <c r="D29" s="25"/>
      <c r="E29" s="27">
        <f t="shared" ref="E29:E38" si="2">C29/$C$40</f>
        <v>8.3219498077833007E-3</v>
      </c>
    </row>
    <row r="30" spans="2:7" ht="38.25" customHeight="1" x14ac:dyDescent="0.25">
      <c r="B30" s="25" t="s">
        <v>289</v>
      </c>
      <c r="C30" s="26">
        <f>ROUND((C24+C29)*2.1%,2)</f>
        <v>132183.43</v>
      </c>
      <c r="D30" s="25"/>
      <c r="E30" s="27">
        <f t="shared" si="2"/>
        <v>4.6558108628911004E-3</v>
      </c>
    </row>
    <row r="31" spans="2:7" ht="25.5" customHeight="1" x14ac:dyDescent="0.25">
      <c r="B31" s="25" t="s">
        <v>290</v>
      </c>
      <c r="C31" s="26">
        <v>184150.39999999999</v>
      </c>
      <c r="D31" s="25"/>
      <c r="E31" s="27">
        <f t="shared" si="2"/>
        <v>6.4862096007475001E-3</v>
      </c>
    </row>
    <row r="32" spans="2:7" ht="25.5" customHeight="1" x14ac:dyDescent="0.25">
      <c r="B32" s="25" t="s">
        <v>291</v>
      </c>
      <c r="C32" s="26">
        <f>ROUND(C26*0%,2)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292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293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294</v>
      </c>
      <c r="C35" s="26">
        <f>ROUND(C29*0%,2)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295</v>
      </c>
      <c r="C36" s="26">
        <f>ROUND((C27+C32+C33+C34+C35+C29+C31+C30)*2.14%,2)</f>
        <v>576385.19999999995</v>
      </c>
      <c r="D36" s="25"/>
      <c r="E36" s="27">
        <f t="shared" si="2"/>
        <v>2.0301640495860002E-2</v>
      </c>
      <c r="G36" s="220"/>
      <c r="L36" s="141"/>
    </row>
    <row r="37" spans="2:12" x14ac:dyDescent="0.25">
      <c r="B37" s="25" t="s">
        <v>296</v>
      </c>
      <c r="C37" s="26">
        <f>ROUND((C27+C32+C33+C34+C35+C29+C31+C30)*0.2%,2)</f>
        <v>53867.78</v>
      </c>
      <c r="D37" s="25"/>
      <c r="E37" s="27">
        <f t="shared" si="2"/>
        <v>1.8973497304755E-3</v>
      </c>
      <c r="G37" s="220"/>
      <c r="L37" s="141"/>
    </row>
    <row r="38" spans="2:12" ht="38.25" customHeight="1" x14ac:dyDescent="0.25">
      <c r="B38" s="25" t="s">
        <v>276</v>
      </c>
      <c r="C38" s="182">
        <f>C27+C32+C33+C34+C35+C29+C31+C30+C36+C37</f>
        <v>27564141.02</v>
      </c>
      <c r="D38" s="25"/>
      <c r="E38" s="27">
        <f t="shared" si="2"/>
        <v>0.97087378642828004</v>
      </c>
    </row>
    <row r="39" spans="2:12" ht="13.5" customHeight="1" x14ac:dyDescent="0.25">
      <c r="B39" s="25" t="s">
        <v>277</v>
      </c>
      <c r="C39" s="182">
        <f>ROUND(C38*3%,2)</f>
        <v>826924.23</v>
      </c>
      <c r="D39" s="25"/>
      <c r="E39" s="27">
        <f>C39/$C$38</f>
        <v>2.9999999978233001E-2</v>
      </c>
    </row>
    <row r="40" spans="2:12" x14ac:dyDescent="0.25">
      <c r="B40" s="25" t="s">
        <v>278</v>
      </c>
      <c r="C40" s="182">
        <f>C39+C38</f>
        <v>28391065.25</v>
      </c>
      <c r="D40" s="25"/>
      <c r="E40" s="27">
        <f>C40/$C$40</f>
        <v>1</v>
      </c>
    </row>
    <row r="41" spans="2:12" x14ac:dyDescent="0.25">
      <c r="B41" s="25" t="s">
        <v>279</v>
      </c>
      <c r="C41" s="182">
        <f>C40/'Прил.5 Расчет СМР и ОБ'!E94</f>
        <v>7097766.3125</v>
      </c>
      <c r="D41" s="25"/>
      <c r="E41" s="25"/>
    </row>
    <row r="42" spans="2:12" x14ac:dyDescent="0.25">
      <c r="B42" s="142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"/>
  <sheetViews>
    <sheetView view="pageBreakPreview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5" t="s">
        <v>297</v>
      </c>
      <c r="I2" s="275"/>
      <c r="J2" s="27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2" t="s">
        <v>298</v>
      </c>
      <c r="B4" s="232"/>
      <c r="C4" s="232"/>
      <c r="D4" s="232"/>
      <c r="E4" s="232"/>
      <c r="F4" s="232"/>
      <c r="G4" s="232"/>
      <c r="H4" s="232"/>
      <c r="I4" s="232"/>
      <c r="J4" s="232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195" t="s">
        <v>299</v>
      </c>
      <c r="B6" s="195"/>
      <c r="C6" s="195"/>
      <c r="D6" s="195" t="s">
        <v>300</v>
      </c>
      <c r="E6" s="195"/>
      <c r="F6" s="195"/>
      <c r="G6" s="195"/>
      <c r="H6" s="195"/>
      <c r="I6" s="144"/>
      <c r="J6" s="144"/>
    </row>
    <row r="7" spans="1:14" s="4" customFormat="1" ht="12.75" customHeight="1" x14ac:dyDescent="0.2">
      <c r="A7" s="235" t="s">
        <v>301</v>
      </c>
      <c r="B7" s="263"/>
      <c r="C7" s="263"/>
      <c r="D7" s="263"/>
      <c r="E7" s="263"/>
      <c r="F7" s="263"/>
      <c r="G7" s="263"/>
      <c r="H7" s="263"/>
      <c r="I7" s="49"/>
      <c r="J7" s="49"/>
    </row>
    <row r="8" spans="1:14" s="4" customFormat="1" ht="13.5" customHeight="1" x14ac:dyDescent="0.2">
      <c r="A8" s="235"/>
      <c r="B8" s="263"/>
      <c r="C8" s="263"/>
      <c r="D8" s="263"/>
      <c r="E8" s="263"/>
      <c r="F8" s="263"/>
      <c r="G8" s="263"/>
      <c r="H8" s="263"/>
    </row>
    <row r="9" spans="1:14" ht="27" customHeight="1" x14ac:dyDescent="0.25">
      <c r="A9" s="266" t="s">
        <v>13</v>
      </c>
      <c r="B9" s="266" t="s">
        <v>98</v>
      </c>
      <c r="C9" s="266" t="s">
        <v>250</v>
      </c>
      <c r="D9" s="266" t="s">
        <v>100</v>
      </c>
      <c r="E9" s="278" t="s">
        <v>302</v>
      </c>
      <c r="F9" s="276" t="s">
        <v>102</v>
      </c>
      <c r="G9" s="277"/>
      <c r="H9" s="278" t="s">
        <v>303</v>
      </c>
      <c r="I9" s="276" t="s">
        <v>304</v>
      </c>
      <c r="J9" s="277"/>
      <c r="M9" s="12"/>
      <c r="N9" s="12"/>
    </row>
    <row r="10" spans="1:14" ht="28.5" customHeight="1" x14ac:dyDescent="0.25">
      <c r="A10" s="266"/>
      <c r="B10" s="266"/>
      <c r="C10" s="266"/>
      <c r="D10" s="266"/>
      <c r="E10" s="279"/>
      <c r="F10" s="2" t="s">
        <v>305</v>
      </c>
      <c r="G10" s="2" t="s">
        <v>104</v>
      </c>
      <c r="H10" s="279"/>
      <c r="I10" s="2" t="s">
        <v>305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3">
        <v>9</v>
      </c>
      <c r="J11" s="183">
        <v>10</v>
      </c>
      <c r="M11" s="12"/>
      <c r="N11" s="12"/>
    </row>
    <row r="12" spans="1:14" x14ac:dyDescent="0.25">
      <c r="A12" s="2"/>
      <c r="B12" s="270" t="s">
        <v>306</v>
      </c>
      <c r="C12" s="265"/>
      <c r="D12" s="266"/>
      <c r="E12" s="267"/>
      <c r="F12" s="268"/>
      <c r="G12" s="268"/>
      <c r="H12" s="269"/>
      <c r="I12" s="186"/>
      <c r="J12" s="186"/>
    </row>
    <row r="13" spans="1:14" ht="25.5" customHeight="1" x14ac:dyDescent="0.25">
      <c r="A13" s="2">
        <v>1</v>
      </c>
      <c r="B13" s="171" t="s">
        <v>307</v>
      </c>
      <c r="C13" s="8" t="s">
        <v>308</v>
      </c>
      <c r="D13" s="2" t="s">
        <v>309</v>
      </c>
      <c r="E13" s="226">
        <f>G13/F13</f>
        <v>3337.4567502021</v>
      </c>
      <c r="F13" s="32">
        <v>12.37</v>
      </c>
      <c r="G13" s="32">
        <v>41284.339999999997</v>
      </c>
      <c r="H13" s="187">
        <f>G13/G16</f>
        <v>0.76768740258479995</v>
      </c>
      <c r="I13" s="32">
        <f>ФОТр.тек.!E13</f>
        <v>570.75385650599003</v>
      </c>
      <c r="J13" s="32">
        <f>ROUND(I13*E13,2)</f>
        <v>1904866.31</v>
      </c>
    </row>
    <row r="14" spans="1:14" x14ac:dyDescent="0.25">
      <c r="A14" s="2">
        <v>2</v>
      </c>
      <c r="B14" s="171" t="s">
        <v>112</v>
      </c>
      <c r="C14" s="8" t="s">
        <v>113</v>
      </c>
      <c r="D14" s="2" t="s">
        <v>309</v>
      </c>
      <c r="E14" s="226">
        <f>G14/F14</f>
        <v>422.35313105229</v>
      </c>
      <c r="F14" s="32">
        <v>15.49</v>
      </c>
      <c r="G14" s="32">
        <v>6542.25</v>
      </c>
      <c r="H14" s="187">
        <f>G14/G16</f>
        <v>0.12165394698232999</v>
      </c>
      <c r="I14" s="32">
        <f>ФОТр.тек.!E21</f>
        <v>713.02776960364997</v>
      </c>
      <c r="J14" s="32">
        <f>ROUND(I14*E14,2)</f>
        <v>301149.51</v>
      </c>
    </row>
    <row r="15" spans="1:14" x14ac:dyDescent="0.25">
      <c r="A15" s="2">
        <v>3</v>
      </c>
      <c r="B15" s="171" t="s">
        <v>115</v>
      </c>
      <c r="C15" s="8" t="s">
        <v>116</v>
      </c>
      <c r="D15" s="2" t="s">
        <v>309</v>
      </c>
      <c r="E15" s="226">
        <f>G15/F15</f>
        <v>422.35273243435</v>
      </c>
      <c r="F15" s="32">
        <v>14.09</v>
      </c>
      <c r="G15" s="32">
        <v>5950.95</v>
      </c>
      <c r="H15" s="187">
        <f>G15/G16</f>
        <v>0.11065865043288001</v>
      </c>
      <c r="I15" s="32">
        <f>ФОТр.тек.!E29</f>
        <v>650.01601322007002</v>
      </c>
      <c r="J15" s="32">
        <f>ROUND(I15*E15,2)</f>
        <v>274536.03999999998</v>
      </c>
    </row>
    <row r="16" spans="1:14" s="12" customFormat="1" ht="25.5" customHeight="1" x14ac:dyDescent="0.2">
      <c r="A16" s="2"/>
      <c r="B16" s="2"/>
      <c r="C16" s="104" t="s">
        <v>310</v>
      </c>
      <c r="D16" s="2" t="s">
        <v>309</v>
      </c>
      <c r="E16" s="176">
        <f>SUM(E13:E15)</f>
        <v>4182.1626136886998</v>
      </c>
      <c r="F16" s="32"/>
      <c r="G16" s="32">
        <f>SUM(G13:G15)</f>
        <v>53777.54</v>
      </c>
      <c r="H16" s="185">
        <v>1</v>
      </c>
      <c r="I16" s="186"/>
      <c r="J16" s="32">
        <f>SUM(J13:J15)</f>
        <v>2480551.86</v>
      </c>
    </row>
    <row r="17" spans="1:10" s="12" customFormat="1" ht="14.25" customHeight="1" x14ac:dyDescent="0.2">
      <c r="A17" s="2"/>
      <c r="B17" s="265" t="s">
        <v>129</v>
      </c>
      <c r="C17" s="265"/>
      <c r="D17" s="266"/>
      <c r="E17" s="267"/>
      <c r="F17" s="268"/>
      <c r="G17" s="268"/>
      <c r="H17" s="269"/>
      <c r="I17" s="186"/>
      <c r="J17" s="186"/>
    </row>
    <row r="18" spans="1:10" s="12" customFormat="1" ht="14.25" customHeight="1" x14ac:dyDescent="0.2">
      <c r="A18" s="2">
        <v>4</v>
      </c>
      <c r="B18" s="2">
        <v>2</v>
      </c>
      <c r="C18" s="8" t="s">
        <v>129</v>
      </c>
      <c r="D18" s="2" t="s">
        <v>309</v>
      </c>
      <c r="E18" s="176">
        <v>373.17720000000003</v>
      </c>
      <c r="F18" s="32">
        <f>G18/E18</f>
        <v>0.24621439895041999</v>
      </c>
      <c r="G18" s="32">
        <f>'Прил. 3'!H21</f>
        <v>91.881600000000006</v>
      </c>
      <c r="H18" s="185">
        <v>1</v>
      </c>
      <c r="I18" s="32">
        <f>ROUND(F18*'Прил. 10'!D11,2)</f>
        <v>10.9</v>
      </c>
      <c r="J18" s="32">
        <f>ROUND(I18*E18,2)</f>
        <v>4067.63</v>
      </c>
    </row>
    <row r="19" spans="1:10" s="12" customFormat="1" ht="14.25" customHeight="1" x14ac:dyDescent="0.2">
      <c r="A19" s="2"/>
      <c r="B19" s="270" t="s">
        <v>130</v>
      </c>
      <c r="C19" s="265"/>
      <c r="D19" s="266"/>
      <c r="E19" s="267"/>
      <c r="F19" s="268"/>
      <c r="G19" s="268"/>
      <c r="H19" s="269"/>
      <c r="I19" s="186"/>
      <c r="J19" s="186"/>
    </row>
    <row r="20" spans="1:10" s="12" customFormat="1" ht="14.25" customHeight="1" x14ac:dyDescent="0.2">
      <c r="A20" s="2"/>
      <c r="B20" s="265" t="s">
        <v>311</v>
      </c>
      <c r="C20" s="265"/>
      <c r="D20" s="266"/>
      <c r="E20" s="267"/>
      <c r="F20" s="268"/>
      <c r="G20" s="268"/>
      <c r="H20" s="269"/>
      <c r="I20" s="186"/>
      <c r="J20" s="186"/>
    </row>
    <row r="21" spans="1:10" s="12" customFormat="1" ht="38.25" customHeight="1" x14ac:dyDescent="0.2">
      <c r="A21" s="2">
        <v>5</v>
      </c>
      <c r="B21" s="171" t="s">
        <v>131</v>
      </c>
      <c r="C21" s="8" t="s">
        <v>132</v>
      </c>
      <c r="D21" s="2" t="s">
        <v>133</v>
      </c>
      <c r="E21" s="176">
        <v>192</v>
      </c>
      <c r="F21" s="32">
        <v>110.86</v>
      </c>
      <c r="G21" s="32">
        <f>ROUND(E21*F21,2)</f>
        <v>21285.119999999999</v>
      </c>
      <c r="H21" s="187">
        <f>G21/$G$36</f>
        <v>0.49191505136017</v>
      </c>
      <c r="I21" s="32">
        <f>ROUND(F21*'Прил. 10'!$D$12,2)</f>
        <v>1493.28</v>
      </c>
      <c r="J21" s="32">
        <f>ROUND(I21*E21,2)</f>
        <v>286709.76000000001</v>
      </c>
    </row>
    <row r="22" spans="1:10" s="12" customFormat="1" ht="25.5" customHeight="1" x14ac:dyDescent="0.2">
      <c r="A22" s="2">
        <v>6</v>
      </c>
      <c r="B22" s="171" t="s">
        <v>134</v>
      </c>
      <c r="C22" s="8" t="s">
        <v>135</v>
      </c>
      <c r="D22" s="2" t="s">
        <v>133</v>
      </c>
      <c r="E22" s="176">
        <v>29.58</v>
      </c>
      <c r="F22" s="32">
        <v>287.99</v>
      </c>
      <c r="G22" s="32">
        <f>ROUND(E22*F22,2)</f>
        <v>8518.74</v>
      </c>
      <c r="H22" s="187">
        <f>G22/$G$36</f>
        <v>0.1968744561752</v>
      </c>
      <c r="I22" s="32">
        <f>ROUND(F22*'Прил. 10'!$D$12,2)</f>
        <v>3879.23</v>
      </c>
      <c r="J22" s="32">
        <f>ROUND(I22*E22,2)</f>
        <v>114747.62</v>
      </c>
    </row>
    <row r="23" spans="1:10" s="12" customFormat="1" ht="25.5" customHeight="1" x14ac:dyDescent="0.2">
      <c r="A23" s="2">
        <v>7</v>
      </c>
      <c r="B23" s="171" t="s">
        <v>136</v>
      </c>
      <c r="C23" s="8" t="s">
        <v>137</v>
      </c>
      <c r="D23" s="2" t="s">
        <v>133</v>
      </c>
      <c r="E23" s="176">
        <v>60.09</v>
      </c>
      <c r="F23" s="32">
        <v>111.99</v>
      </c>
      <c r="G23" s="32">
        <f>ROUND(E23*F23,2)</f>
        <v>6729.48</v>
      </c>
      <c r="H23" s="187">
        <f>G23/$G$36</f>
        <v>0.1555233186295</v>
      </c>
      <c r="I23" s="32">
        <f>ROUND(F23*'Прил. 10'!$D$12,2)</f>
        <v>1508.51</v>
      </c>
      <c r="J23" s="32">
        <f>ROUND(I23*E23,2)</f>
        <v>90646.37</v>
      </c>
    </row>
    <row r="24" spans="1:10" s="12" customFormat="1" ht="25.5" customHeight="1" x14ac:dyDescent="0.2">
      <c r="A24" s="2">
        <v>8</v>
      </c>
      <c r="B24" s="171" t="s">
        <v>138</v>
      </c>
      <c r="C24" s="8" t="s">
        <v>139</v>
      </c>
      <c r="D24" s="2" t="s">
        <v>133</v>
      </c>
      <c r="E24" s="176">
        <v>29.58</v>
      </c>
      <c r="F24" s="32">
        <v>131.44</v>
      </c>
      <c r="G24" s="32">
        <f>ROUND(E24*F24,2)</f>
        <v>3888</v>
      </c>
      <c r="H24" s="187">
        <f>G24/$G$36</f>
        <v>8.9854589482621997E-2</v>
      </c>
      <c r="I24" s="32">
        <f>ROUND(F24*'Прил. 10'!$D$12,2)</f>
        <v>1770.5</v>
      </c>
      <c r="J24" s="32">
        <f>ROUND(I24*E24,2)</f>
        <v>52371.39</v>
      </c>
    </row>
    <row r="25" spans="1:10" s="12" customFormat="1" ht="14.25" customHeight="1" x14ac:dyDescent="0.2">
      <c r="A25" s="2"/>
      <c r="B25" s="171"/>
      <c r="C25" s="8" t="s">
        <v>312</v>
      </c>
      <c r="D25" s="2"/>
      <c r="E25" s="176"/>
      <c r="F25" s="32"/>
      <c r="G25" s="32">
        <f>SUM(G21:G24)</f>
        <v>40421.339999999997</v>
      </c>
      <c r="H25" s="187">
        <f>G25/G36</f>
        <v>0.93416741564750005</v>
      </c>
      <c r="I25" s="32"/>
      <c r="J25" s="32">
        <f>SUM(J21:J24)</f>
        <v>544475.14</v>
      </c>
    </row>
    <row r="26" spans="1:10" s="12" customFormat="1" ht="25.5" hidden="1" customHeight="1" outlineLevel="1" x14ac:dyDescent="0.2">
      <c r="A26" s="2">
        <v>9</v>
      </c>
      <c r="B26" s="171" t="s">
        <v>140</v>
      </c>
      <c r="C26" s="8" t="s">
        <v>141</v>
      </c>
      <c r="D26" s="2" t="s">
        <v>133</v>
      </c>
      <c r="E26" s="176">
        <v>19.53</v>
      </c>
      <c r="F26" s="32">
        <v>65.709999999999994</v>
      </c>
      <c r="G26" s="32">
        <f t="shared" ref="G26:G34" si="0">ROUND(E26*F26,2)</f>
        <v>1283.32</v>
      </c>
      <c r="H26" s="187">
        <f t="shared" ref="H26:H34" si="1">G26/$G$36</f>
        <v>2.9658485538795999E-2</v>
      </c>
      <c r="I26" s="32">
        <f>ROUND(F26*'Прил. 10'!$D$12,2)</f>
        <v>885.11</v>
      </c>
      <c r="J26" s="32">
        <f t="shared" ref="J26:J34" si="2">ROUND(I26*E26,2)</f>
        <v>17286.2</v>
      </c>
    </row>
    <row r="27" spans="1:10" s="12" customFormat="1" ht="25.5" hidden="1" customHeight="1" outlineLevel="1" x14ac:dyDescent="0.2">
      <c r="A27" s="2">
        <v>10</v>
      </c>
      <c r="B27" s="171" t="s">
        <v>142</v>
      </c>
      <c r="C27" s="8" t="s">
        <v>143</v>
      </c>
      <c r="D27" s="2" t="s">
        <v>133</v>
      </c>
      <c r="E27" s="176">
        <v>33.119999999999997</v>
      </c>
      <c r="F27" s="32">
        <v>29.6</v>
      </c>
      <c r="G27" s="32">
        <f t="shared" si="0"/>
        <v>980.35</v>
      </c>
      <c r="H27" s="187">
        <f t="shared" si="1"/>
        <v>2.2656622119159E-2</v>
      </c>
      <c r="I27" s="32">
        <f>ROUND(F27*'Прил. 10'!$D$12,2)</f>
        <v>398.71</v>
      </c>
      <c r="J27" s="32">
        <f t="shared" si="2"/>
        <v>13205.28</v>
      </c>
    </row>
    <row r="28" spans="1:10" s="12" customFormat="1" ht="25.5" hidden="1" customHeight="1" outlineLevel="1" x14ac:dyDescent="0.2">
      <c r="A28" s="2">
        <v>11</v>
      </c>
      <c r="B28" s="171" t="s">
        <v>144</v>
      </c>
      <c r="C28" s="8" t="s">
        <v>145</v>
      </c>
      <c r="D28" s="2" t="s">
        <v>133</v>
      </c>
      <c r="E28" s="176">
        <v>46.74</v>
      </c>
      <c r="F28" s="32">
        <v>8.1</v>
      </c>
      <c r="G28" s="32">
        <f t="shared" si="0"/>
        <v>378.59</v>
      </c>
      <c r="H28" s="187">
        <f t="shared" si="1"/>
        <v>8.749498207877E-3</v>
      </c>
      <c r="I28" s="32">
        <f>ROUND(F28*'Прил. 10'!$D$12,2)</f>
        <v>109.11</v>
      </c>
      <c r="J28" s="32">
        <f t="shared" si="2"/>
        <v>5099.8</v>
      </c>
    </row>
    <row r="29" spans="1:10" s="12" customFormat="1" ht="25.5" hidden="1" customHeight="1" outlineLevel="1" x14ac:dyDescent="0.2">
      <c r="A29" s="2">
        <v>12</v>
      </c>
      <c r="B29" s="171" t="s">
        <v>146</v>
      </c>
      <c r="C29" s="8" t="s">
        <v>147</v>
      </c>
      <c r="D29" s="2" t="s">
        <v>133</v>
      </c>
      <c r="E29" s="176">
        <v>0.99</v>
      </c>
      <c r="F29" s="32">
        <v>70</v>
      </c>
      <c r="G29" s="32">
        <f t="shared" si="0"/>
        <v>69.3</v>
      </c>
      <c r="H29" s="187">
        <f t="shared" si="1"/>
        <v>1.6015748588338E-3</v>
      </c>
      <c r="I29" s="32">
        <f>ROUND(F29*'Прил. 10'!$D$12,2)</f>
        <v>942.9</v>
      </c>
      <c r="J29" s="32">
        <f t="shared" si="2"/>
        <v>933.47</v>
      </c>
    </row>
    <row r="30" spans="1:10" s="12" customFormat="1" ht="25.5" hidden="1" customHeight="1" outlineLevel="1" x14ac:dyDescent="0.2">
      <c r="A30" s="2">
        <v>13</v>
      </c>
      <c r="B30" s="171" t="s">
        <v>148</v>
      </c>
      <c r="C30" s="8" t="s">
        <v>149</v>
      </c>
      <c r="D30" s="2" t="s">
        <v>133</v>
      </c>
      <c r="E30" s="176">
        <v>0.99</v>
      </c>
      <c r="F30" s="32">
        <v>56.24</v>
      </c>
      <c r="G30" s="32">
        <f t="shared" si="0"/>
        <v>55.68</v>
      </c>
      <c r="H30" s="187">
        <f t="shared" si="1"/>
        <v>1.2868064666647001E-3</v>
      </c>
      <c r="I30" s="32">
        <f>ROUND(F30*'Прил. 10'!$D$12,2)</f>
        <v>757.55</v>
      </c>
      <c r="J30" s="32">
        <f t="shared" si="2"/>
        <v>749.97</v>
      </c>
    </row>
    <row r="31" spans="1:10" s="12" customFormat="1" ht="25.5" hidden="1" customHeight="1" outlineLevel="1" x14ac:dyDescent="0.2">
      <c r="A31" s="2">
        <v>14</v>
      </c>
      <c r="B31" s="171" t="s">
        <v>150</v>
      </c>
      <c r="C31" s="8" t="s">
        <v>151</v>
      </c>
      <c r="D31" s="2" t="s">
        <v>133</v>
      </c>
      <c r="E31" s="176">
        <v>59.16</v>
      </c>
      <c r="F31" s="32">
        <v>0.9</v>
      </c>
      <c r="G31" s="32">
        <f t="shared" si="0"/>
        <v>53.24</v>
      </c>
      <c r="H31" s="187">
        <f t="shared" si="1"/>
        <v>1.2304162407548E-3</v>
      </c>
      <c r="I31" s="32">
        <f>ROUND(F31*'Прил. 10'!$D$12,2)</f>
        <v>12.12</v>
      </c>
      <c r="J31" s="32">
        <f t="shared" si="2"/>
        <v>717.02</v>
      </c>
    </row>
    <row r="32" spans="1:10" s="12" customFormat="1" ht="25.5" hidden="1" customHeight="1" outlineLevel="1" x14ac:dyDescent="0.2">
      <c r="A32" s="2">
        <v>15</v>
      </c>
      <c r="B32" s="171" t="s">
        <v>152</v>
      </c>
      <c r="C32" s="8" t="s">
        <v>153</v>
      </c>
      <c r="D32" s="2" t="s">
        <v>133</v>
      </c>
      <c r="E32" s="176">
        <v>0.99</v>
      </c>
      <c r="F32" s="32">
        <v>16.920000000000002</v>
      </c>
      <c r="G32" s="32">
        <f t="shared" si="0"/>
        <v>16.75</v>
      </c>
      <c r="H32" s="187">
        <f t="shared" si="1"/>
        <v>3.8710503442230003E-4</v>
      </c>
      <c r="I32" s="32">
        <f>ROUND(F32*'Прил. 10'!$D$12,2)</f>
        <v>227.91</v>
      </c>
      <c r="J32" s="32">
        <f t="shared" si="2"/>
        <v>225.63</v>
      </c>
    </row>
    <row r="33" spans="1:10" s="12" customFormat="1" ht="38.25" hidden="1" customHeight="1" outlineLevel="1" x14ac:dyDescent="0.2">
      <c r="A33" s="2">
        <v>16</v>
      </c>
      <c r="B33" s="171" t="s">
        <v>154</v>
      </c>
      <c r="C33" s="8" t="s">
        <v>155</v>
      </c>
      <c r="D33" s="2" t="s">
        <v>133</v>
      </c>
      <c r="E33" s="176">
        <v>1.32</v>
      </c>
      <c r="F33" s="32">
        <v>6.82</v>
      </c>
      <c r="G33" s="32">
        <f t="shared" si="0"/>
        <v>9</v>
      </c>
      <c r="H33" s="187">
        <f t="shared" si="1"/>
        <v>2.0799673491348001E-4</v>
      </c>
      <c r="I33" s="32">
        <f>ROUND(F33*'Прил. 10'!$D$12,2)</f>
        <v>91.87</v>
      </c>
      <c r="J33" s="32">
        <f t="shared" si="2"/>
        <v>121.27</v>
      </c>
    </row>
    <row r="34" spans="1:10" s="12" customFormat="1" ht="14.25" hidden="1" customHeight="1" outlineLevel="1" x14ac:dyDescent="0.2">
      <c r="A34" s="2">
        <v>17</v>
      </c>
      <c r="B34" s="171" t="s">
        <v>156</v>
      </c>
      <c r="C34" s="8" t="s">
        <v>157</v>
      </c>
      <c r="D34" s="2" t="s">
        <v>133</v>
      </c>
      <c r="E34" s="176">
        <v>0.99</v>
      </c>
      <c r="F34" s="32">
        <v>2.36</v>
      </c>
      <c r="G34" s="32">
        <f t="shared" si="0"/>
        <v>2.34</v>
      </c>
      <c r="H34" s="187">
        <f t="shared" si="1"/>
        <v>5.4079151077503997E-5</v>
      </c>
      <c r="I34" s="32">
        <f>ROUND(F34*'Прил. 10'!$D$12,2)</f>
        <v>31.79</v>
      </c>
      <c r="J34" s="32">
        <f t="shared" si="2"/>
        <v>31.47</v>
      </c>
    </row>
    <row r="35" spans="1:10" s="12" customFormat="1" ht="14.25" customHeight="1" collapsed="1" x14ac:dyDescent="0.2">
      <c r="A35" s="2"/>
      <c r="B35" s="2"/>
      <c r="C35" s="8" t="s">
        <v>313</v>
      </c>
      <c r="D35" s="2"/>
      <c r="E35" s="184"/>
      <c r="F35" s="32"/>
      <c r="G35" s="188">
        <f>SUM(G26:G34)</f>
        <v>2848.57</v>
      </c>
      <c r="H35" s="187">
        <f>G35/G36</f>
        <v>6.5832584352498003E-2</v>
      </c>
      <c r="I35" s="32"/>
      <c r="J35" s="32">
        <f>SUM(J26:J34)</f>
        <v>38370.11</v>
      </c>
    </row>
    <row r="36" spans="1:10" s="12" customFormat="1" ht="25.5" customHeight="1" x14ac:dyDescent="0.2">
      <c r="A36" s="2"/>
      <c r="B36" s="2"/>
      <c r="C36" s="104" t="s">
        <v>314</v>
      </c>
      <c r="D36" s="2"/>
      <c r="E36" s="184"/>
      <c r="F36" s="32"/>
      <c r="G36" s="32">
        <f>G35+G25</f>
        <v>43269.91</v>
      </c>
      <c r="H36" s="189">
        <v>1</v>
      </c>
      <c r="I36" s="190"/>
      <c r="J36" s="191">
        <f>J35+J25</f>
        <v>582845.25</v>
      </c>
    </row>
    <row r="37" spans="1:10" s="12" customFormat="1" ht="14.25" customHeight="1" x14ac:dyDescent="0.2">
      <c r="A37" s="2"/>
      <c r="B37" s="270" t="s">
        <v>43</v>
      </c>
      <c r="C37" s="270"/>
      <c r="D37" s="271"/>
      <c r="E37" s="272"/>
      <c r="F37" s="273"/>
      <c r="G37" s="273"/>
      <c r="H37" s="274"/>
      <c r="I37" s="186"/>
      <c r="J37" s="186"/>
    </row>
    <row r="38" spans="1:10" x14ac:dyDescent="0.25">
      <c r="A38" s="2"/>
      <c r="B38" s="265" t="s">
        <v>315</v>
      </c>
      <c r="C38" s="265"/>
      <c r="D38" s="266"/>
      <c r="E38" s="267"/>
      <c r="F38" s="268"/>
      <c r="G38" s="268"/>
      <c r="H38" s="269"/>
      <c r="I38" s="186"/>
      <c r="J38" s="186"/>
    </row>
    <row r="39" spans="1:10" ht="25.5" customHeight="1" x14ac:dyDescent="0.25">
      <c r="A39" s="2">
        <v>18</v>
      </c>
      <c r="B39" s="171" t="s">
        <v>316</v>
      </c>
      <c r="C39" s="8" t="s">
        <v>159</v>
      </c>
      <c r="D39" s="2" t="s">
        <v>160</v>
      </c>
      <c r="E39" s="227">
        <v>12</v>
      </c>
      <c r="F39" s="32">
        <f>I39/'Прил. 10'!$D$14</f>
        <v>267900.95846644999</v>
      </c>
      <c r="G39" s="32">
        <f>F39*E39</f>
        <v>3214811.5015973998</v>
      </c>
      <c r="H39" s="185">
        <f t="shared" ref="H39:H44" si="3">G39/$G$44</f>
        <v>0.99023843906947995</v>
      </c>
      <c r="I39" s="32">
        <v>1677060</v>
      </c>
      <c r="J39" s="192">
        <f>ROUND(I39*E39,2)</f>
        <v>20124720</v>
      </c>
    </row>
    <row r="40" spans="1:10" x14ac:dyDescent="0.25">
      <c r="A40" s="2"/>
      <c r="B40" s="2"/>
      <c r="C40" s="8" t="s">
        <v>317</v>
      </c>
      <c r="D40" s="2"/>
      <c r="E40" s="227"/>
      <c r="F40" s="103"/>
      <c r="G40" s="32">
        <f>G39</f>
        <v>3214811.5015973998</v>
      </c>
      <c r="H40" s="185">
        <f t="shared" si="3"/>
        <v>0.99023843906947995</v>
      </c>
      <c r="I40" s="188"/>
      <c r="J40" s="32">
        <f>J39</f>
        <v>20124720</v>
      </c>
    </row>
    <row r="41" spans="1:10" x14ac:dyDescent="0.25">
      <c r="A41" s="2">
        <v>19</v>
      </c>
      <c r="B41" s="171" t="s">
        <v>158</v>
      </c>
      <c r="C41" s="8" t="s">
        <v>161</v>
      </c>
      <c r="D41" s="2" t="s">
        <v>160</v>
      </c>
      <c r="E41" s="227">
        <v>4</v>
      </c>
      <c r="F41" s="32">
        <f>I41/'Прил. 10'!$D$14</f>
        <v>4887.5798722045001</v>
      </c>
      <c r="G41" s="32">
        <f>F41*E41</f>
        <v>19550.319488818001</v>
      </c>
      <c r="H41" s="185">
        <f t="shared" si="3"/>
        <v>6.0219636032460997E-3</v>
      </c>
      <c r="I41" s="32">
        <v>30596.25</v>
      </c>
      <c r="J41" s="192">
        <f>ROUND(I41*E41,2)</f>
        <v>122385</v>
      </c>
    </row>
    <row r="42" spans="1:10" ht="25.5" customHeight="1" x14ac:dyDescent="0.25">
      <c r="A42" s="2">
        <v>20</v>
      </c>
      <c r="B42" s="171" t="s">
        <v>158</v>
      </c>
      <c r="C42" s="8" t="s">
        <v>162</v>
      </c>
      <c r="D42" s="2" t="s">
        <v>160</v>
      </c>
      <c r="E42" s="227">
        <v>3</v>
      </c>
      <c r="F42" s="32">
        <f>I42/'Прил. 10'!$D$14</f>
        <v>4046.8706070287999</v>
      </c>
      <c r="G42" s="32">
        <f>F42*E42</f>
        <v>12140.611821086</v>
      </c>
      <c r="H42" s="185">
        <f t="shared" si="3"/>
        <v>3.7395973272732002E-3</v>
      </c>
      <c r="I42" s="32">
        <v>25333.41</v>
      </c>
      <c r="J42" s="192">
        <f>ROUND(I42*E42,2)</f>
        <v>76000.23</v>
      </c>
    </row>
    <row r="43" spans="1:10" x14ac:dyDescent="0.25">
      <c r="A43" s="2"/>
      <c r="B43" s="2"/>
      <c r="C43" s="8" t="s">
        <v>318</v>
      </c>
      <c r="D43" s="2"/>
      <c r="E43" s="176"/>
      <c r="F43" s="103"/>
      <c r="G43" s="32">
        <f>SUM(G41:G42)</f>
        <v>31690.931309904001</v>
      </c>
      <c r="H43" s="185">
        <f t="shared" si="3"/>
        <v>9.7615609305192995E-3</v>
      </c>
      <c r="I43" s="188"/>
      <c r="J43" s="32">
        <f>SUM(J41:J42)</f>
        <v>198385.23</v>
      </c>
    </row>
    <row r="44" spans="1:10" x14ac:dyDescent="0.25">
      <c r="A44" s="2"/>
      <c r="B44" s="2"/>
      <c r="C44" s="104" t="s">
        <v>319</v>
      </c>
      <c r="D44" s="2"/>
      <c r="E44" s="184"/>
      <c r="F44" s="103"/>
      <c r="G44" s="32">
        <f>G40+G43</f>
        <v>3246502.4329073001</v>
      </c>
      <c r="H44" s="185">
        <f t="shared" si="3"/>
        <v>1</v>
      </c>
      <c r="I44" s="188"/>
      <c r="J44" s="32">
        <f>J43+J40</f>
        <v>20323105.23</v>
      </c>
    </row>
    <row r="45" spans="1:10" ht="25.5" customHeight="1" x14ac:dyDescent="0.25">
      <c r="A45" s="2"/>
      <c r="B45" s="2"/>
      <c r="C45" s="8" t="s">
        <v>320</v>
      </c>
      <c r="D45" s="2"/>
      <c r="E45" s="193"/>
      <c r="F45" s="103"/>
      <c r="G45" s="32">
        <f>G44</f>
        <v>3246502.4329073001</v>
      </c>
      <c r="H45" s="185"/>
      <c r="I45" s="188"/>
      <c r="J45" s="32">
        <f>J44</f>
        <v>20323105.23</v>
      </c>
    </row>
    <row r="46" spans="1:10" s="12" customFormat="1" ht="14.25" customHeight="1" x14ac:dyDescent="0.2">
      <c r="A46" s="2"/>
      <c r="B46" s="270" t="s">
        <v>163</v>
      </c>
      <c r="C46" s="270"/>
      <c r="D46" s="271"/>
      <c r="E46" s="272"/>
      <c r="F46" s="273"/>
      <c r="G46" s="273"/>
      <c r="H46" s="274"/>
      <c r="I46" s="186"/>
      <c r="J46" s="186"/>
    </row>
    <row r="47" spans="1:10" s="12" customFormat="1" ht="14.25" customHeight="1" x14ac:dyDescent="0.2">
      <c r="A47" s="2"/>
      <c r="B47" s="265" t="s">
        <v>321</v>
      </c>
      <c r="C47" s="265"/>
      <c r="D47" s="266"/>
      <c r="E47" s="267"/>
      <c r="F47" s="268"/>
      <c r="G47" s="268"/>
      <c r="H47" s="269"/>
      <c r="I47" s="186"/>
      <c r="J47" s="186"/>
    </row>
    <row r="48" spans="1:10" s="12" customFormat="1" ht="25.5" customHeight="1" x14ac:dyDescent="0.2">
      <c r="A48" s="2">
        <v>21</v>
      </c>
      <c r="B48" s="171" t="s">
        <v>164</v>
      </c>
      <c r="C48" s="8" t="s">
        <v>165</v>
      </c>
      <c r="D48" s="2" t="s">
        <v>166</v>
      </c>
      <c r="E48" s="176">
        <f>0.011*3*4</f>
        <v>0.13200000000000001</v>
      </c>
      <c r="F48" s="32">
        <v>98440.41</v>
      </c>
      <c r="G48" s="32">
        <f t="shared" ref="G48:G55" si="4">ROUND(E48*F48,2)</f>
        <v>12994.13</v>
      </c>
      <c r="H48" s="187">
        <f t="shared" ref="H48:H86" si="5">G48/$G$88</f>
        <v>0.36459143805108002</v>
      </c>
      <c r="I48" s="32">
        <f>ROUND(F48*'Прил. 10'!$D$13,2)</f>
        <v>791460.9</v>
      </c>
      <c r="J48" s="32">
        <f t="shared" ref="J48:J55" si="6">ROUND(I48*E48,2)</f>
        <v>104472.84</v>
      </c>
    </row>
    <row r="49" spans="1:10" s="12" customFormat="1" ht="14.25" customHeight="1" x14ac:dyDescent="0.2">
      <c r="A49" s="2">
        <v>22</v>
      </c>
      <c r="B49" s="171" t="s">
        <v>167</v>
      </c>
      <c r="C49" s="8" t="s">
        <v>168</v>
      </c>
      <c r="D49" s="2" t="s">
        <v>166</v>
      </c>
      <c r="E49" s="176">
        <f>0.018*3*4</f>
        <v>0.216</v>
      </c>
      <c r="F49" s="32">
        <v>38348.22</v>
      </c>
      <c r="G49" s="32">
        <f t="shared" si="4"/>
        <v>8283.2199999999993</v>
      </c>
      <c r="H49" s="187">
        <f t="shared" si="5"/>
        <v>0.23241194997229001</v>
      </c>
      <c r="I49" s="32">
        <f>ROUND(F49*'Прил. 10'!$D$13,2)</f>
        <v>308319.69</v>
      </c>
      <c r="J49" s="32">
        <f t="shared" si="6"/>
        <v>66597.05</v>
      </c>
    </row>
    <row r="50" spans="1:10" s="12" customFormat="1" ht="63.75" customHeight="1" x14ac:dyDescent="0.2">
      <c r="A50" s="2">
        <v>23</v>
      </c>
      <c r="B50" s="171" t="s">
        <v>169</v>
      </c>
      <c r="C50" s="8" t="s">
        <v>170</v>
      </c>
      <c r="D50" s="2" t="s">
        <v>171</v>
      </c>
      <c r="E50" s="176">
        <v>7.2950000000000001E-2</v>
      </c>
      <c r="F50" s="32">
        <v>34500.53</v>
      </c>
      <c r="G50" s="32">
        <f t="shared" si="4"/>
        <v>2516.81</v>
      </c>
      <c r="H50" s="187">
        <f t="shared" si="5"/>
        <v>7.0617069184418998E-2</v>
      </c>
      <c r="I50" s="32">
        <f>ROUND(F50*'Прил. 10'!$D$13,2)</f>
        <v>277384.26</v>
      </c>
      <c r="J50" s="32">
        <f t="shared" si="6"/>
        <v>20235.18</v>
      </c>
    </row>
    <row r="51" spans="1:10" s="12" customFormat="1" ht="25.5" customHeight="1" x14ac:dyDescent="0.2">
      <c r="A51" s="2">
        <v>24</v>
      </c>
      <c r="B51" s="171" t="s">
        <v>172</v>
      </c>
      <c r="C51" s="8" t="s">
        <v>173</v>
      </c>
      <c r="D51" s="2" t="s">
        <v>174</v>
      </c>
      <c r="E51" s="176">
        <f>0.28*4</f>
        <v>1.1200000000000001</v>
      </c>
      <c r="F51" s="32">
        <v>1837.28</v>
      </c>
      <c r="G51" s="32">
        <f t="shared" si="4"/>
        <v>2057.75</v>
      </c>
      <c r="H51" s="187">
        <f t="shared" si="5"/>
        <v>5.7736688154543997E-2</v>
      </c>
      <c r="I51" s="32">
        <f>ROUND(F51*'Прил. 10'!$D$13,2)</f>
        <v>14771.73</v>
      </c>
      <c r="J51" s="32">
        <f t="shared" si="6"/>
        <v>16544.34</v>
      </c>
    </row>
    <row r="52" spans="1:10" s="12" customFormat="1" ht="25.5" customHeight="1" x14ac:dyDescent="0.2">
      <c r="A52" s="2">
        <v>25</v>
      </c>
      <c r="B52" s="171" t="s">
        <v>175</v>
      </c>
      <c r="C52" s="8" t="s">
        <v>176</v>
      </c>
      <c r="D52" s="2" t="s">
        <v>177</v>
      </c>
      <c r="E52" s="176">
        <v>1862.0940000000001</v>
      </c>
      <c r="F52" s="32">
        <v>1</v>
      </c>
      <c r="G52" s="32">
        <f t="shared" si="4"/>
        <v>1862.09</v>
      </c>
      <c r="H52" s="187">
        <f t="shared" si="5"/>
        <v>5.2246827673768002E-2</v>
      </c>
      <c r="I52" s="32">
        <f>ROUND(F52*'Прил. 10'!$D$13,2)</f>
        <v>8.0399999999999991</v>
      </c>
      <c r="J52" s="32">
        <f t="shared" si="6"/>
        <v>14971.24</v>
      </c>
    </row>
    <row r="53" spans="1:10" s="12" customFormat="1" ht="25.5" customHeight="1" x14ac:dyDescent="0.2">
      <c r="A53" s="2">
        <v>26</v>
      </c>
      <c r="B53" s="171" t="s">
        <v>178</v>
      </c>
      <c r="C53" s="8" t="s">
        <v>179</v>
      </c>
      <c r="D53" s="2" t="s">
        <v>180</v>
      </c>
      <c r="E53" s="176">
        <v>0.24</v>
      </c>
      <c r="F53" s="32">
        <v>6505</v>
      </c>
      <c r="G53" s="32">
        <f t="shared" si="4"/>
        <v>1561.2</v>
      </c>
      <c r="H53" s="187">
        <f t="shared" si="5"/>
        <v>4.3804406534747001E-2</v>
      </c>
      <c r="I53" s="32">
        <f>ROUND(F53*'Прил. 10'!$D$13,2)</f>
        <v>52300.2</v>
      </c>
      <c r="J53" s="32">
        <f t="shared" si="6"/>
        <v>12552.05</v>
      </c>
    </row>
    <row r="54" spans="1:10" s="12" customFormat="1" ht="14.25" customHeight="1" x14ac:dyDescent="0.2">
      <c r="A54" s="2">
        <v>27</v>
      </c>
      <c r="B54" s="171" t="s">
        <v>181</v>
      </c>
      <c r="C54" s="8" t="s">
        <v>182</v>
      </c>
      <c r="D54" s="2" t="s">
        <v>160</v>
      </c>
      <c r="E54" s="176">
        <v>14</v>
      </c>
      <c r="F54" s="32">
        <v>66.819999999999993</v>
      </c>
      <c r="G54" s="32">
        <f t="shared" si="4"/>
        <v>935.48</v>
      </c>
      <c r="H54" s="187">
        <f t="shared" si="5"/>
        <v>2.6247851796774999E-2</v>
      </c>
      <c r="I54" s="32">
        <f>ROUND(F54*'Прил. 10'!$D$13,2)</f>
        <v>537.23</v>
      </c>
      <c r="J54" s="32">
        <f t="shared" si="6"/>
        <v>7521.22</v>
      </c>
    </row>
    <row r="55" spans="1:10" s="12" customFormat="1" ht="51" customHeight="1" x14ac:dyDescent="0.2">
      <c r="A55" s="2">
        <v>28</v>
      </c>
      <c r="B55" s="171" t="s">
        <v>183</v>
      </c>
      <c r="C55" s="8" t="s">
        <v>184</v>
      </c>
      <c r="D55" s="2" t="s">
        <v>160</v>
      </c>
      <c r="E55" s="176">
        <v>138</v>
      </c>
      <c r="F55" s="32">
        <v>6.29</v>
      </c>
      <c r="G55" s="32">
        <f t="shared" si="4"/>
        <v>868.02</v>
      </c>
      <c r="H55" s="187">
        <f t="shared" si="5"/>
        <v>2.4355048014534E-2</v>
      </c>
      <c r="I55" s="32">
        <f>ROUND(F55*'Прил. 10'!$D$13,2)</f>
        <v>50.57</v>
      </c>
      <c r="J55" s="32">
        <f t="shared" si="6"/>
        <v>6978.66</v>
      </c>
    </row>
    <row r="56" spans="1:10" s="12" customFormat="1" ht="14.25" customHeight="1" x14ac:dyDescent="0.2">
      <c r="A56" s="2"/>
      <c r="B56" s="171"/>
      <c r="C56" s="8" t="s">
        <v>322</v>
      </c>
      <c r="D56" s="2"/>
      <c r="E56" s="176"/>
      <c r="F56" s="32"/>
      <c r="G56" s="32">
        <f>SUM(G48:G55)</f>
        <v>31078.7</v>
      </c>
      <c r="H56" s="187">
        <f t="shared" si="5"/>
        <v>0.87201127938216005</v>
      </c>
      <c r="I56" s="32"/>
      <c r="J56" s="32">
        <f>SUM(J48:J55)</f>
        <v>249872.58</v>
      </c>
    </row>
    <row r="57" spans="1:10" s="12" customFormat="1" ht="14.25" hidden="1" customHeight="1" outlineLevel="1" x14ac:dyDescent="0.2">
      <c r="A57" s="2">
        <v>29</v>
      </c>
      <c r="B57" s="171" t="s">
        <v>185</v>
      </c>
      <c r="C57" s="8" t="s">
        <v>186</v>
      </c>
      <c r="D57" s="2" t="s">
        <v>187</v>
      </c>
      <c r="E57" s="176">
        <v>90.025999999999996</v>
      </c>
      <c r="F57" s="32">
        <v>9.0399999999999991</v>
      </c>
      <c r="G57" s="32">
        <f t="shared" ref="G57:G86" si="7">ROUND(E57*F57,2)</f>
        <v>813.84</v>
      </c>
      <c r="H57" s="187">
        <f t="shared" si="5"/>
        <v>2.2834856657851999E-2</v>
      </c>
      <c r="I57" s="32">
        <f>ROUND(F57*'Прил. 10'!$D$13,2)</f>
        <v>72.680000000000007</v>
      </c>
      <c r="J57" s="32">
        <f t="shared" ref="J57:J86" si="8">ROUND(I57*E57,2)</f>
        <v>6543.09</v>
      </c>
    </row>
    <row r="58" spans="1:10" s="12" customFormat="1" ht="14.25" hidden="1" customHeight="1" outlineLevel="1" x14ac:dyDescent="0.2">
      <c r="A58" s="2">
        <v>30</v>
      </c>
      <c r="B58" s="171" t="s">
        <v>188</v>
      </c>
      <c r="C58" s="8" t="s">
        <v>189</v>
      </c>
      <c r="D58" s="2" t="s">
        <v>187</v>
      </c>
      <c r="E58" s="176">
        <v>16</v>
      </c>
      <c r="F58" s="32">
        <v>50</v>
      </c>
      <c r="G58" s="32">
        <f t="shared" si="7"/>
        <v>800</v>
      </c>
      <c r="H58" s="187">
        <f t="shared" si="5"/>
        <v>2.2446531660131001E-2</v>
      </c>
      <c r="I58" s="32">
        <f>ROUND(F58*'Прил. 10'!$D$13,2)</f>
        <v>402</v>
      </c>
      <c r="J58" s="32">
        <f t="shared" si="8"/>
        <v>6432</v>
      </c>
    </row>
    <row r="59" spans="1:10" s="12" customFormat="1" ht="25.5" hidden="1" customHeight="1" outlineLevel="1" x14ac:dyDescent="0.2">
      <c r="A59" s="2">
        <v>31</v>
      </c>
      <c r="B59" s="171" t="s">
        <v>190</v>
      </c>
      <c r="C59" s="8" t="s">
        <v>191</v>
      </c>
      <c r="D59" s="2" t="s">
        <v>174</v>
      </c>
      <c r="E59" s="176">
        <f>1.2*1*4</f>
        <v>4.8</v>
      </c>
      <c r="F59" s="32">
        <v>108.4</v>
      </c>
      <c r="G59" s="32">
        <f t="shared" si="7"/>
        <v>520.32000000000005</v>
      </c>
      <c r="H59" s="187">
        <f t="shared" si="5"/>
        <v>1.4599224191749E-2</v>
      </c>
      <c r="I59" s="32">
        <f>ROUND(F59*'Прил. 10'!$D$13,2)</f>
        <v>871.54</v>
      </c>
      <c r="J59" s="32">
        <f t="shared" si="8"/>
        <v>4183.3900000000003</v>
      </c>
    </row>
    <row r="60" spans="1:10" s="12" customFormat="1" ht="25.5" hidden="1" customHeight="1" outlineLevel="1" x14ac:dyDescent="0.2">
      <c r="A60" s="2">
        <v>32</v>
      </c>
      <c r="B60" s="171" t="s">
        <v>192</v>
      </c>
      <c r="C60" s="8" t="s">
        <v>193</v>
      </c>
      <c r="D60" s="2" t="s">
        <v>194</v>
      </c>
      <c r="E60" s="176">
        <v>13.8</v>
      </c>
      <c r="F60" s="32">
        <v>29.4</v>
      </c>
      <c r="G60" s="32">
        <f t="shared" si="7"/>
        <v>405.72</v>
      </c>
      <c r="H60" s="187">
        <f t="shared" si="5"/>
        <v>1.1383758531436E-2</v>
      </c>
      <c r="I60" s="32">
        <f>ROUND(F60*'Прил. 10'!$D$13,2)</f>
        <v>236.38</v>
      </c>
      <c r="J60" s="32">
        <f t="shared" si="8"/>
        <v>3262.04</v>
      </c>
    </row>
    <row r="61" spans="1:10" s="12" customFormat="1" ht="25.5" hidden="1" customHeight="1" outlineLevel="1" x14ac:dyDescent="0.2">
      <c r="A61" s="2">
        <v>33</v>
      </c>
      <c r="B61" s="171" t="s">
        <v>195</v>
      </c>
      <c r="C61" s="8" t="s">
        <v>196</v>
      </c>
      <c r="D61" s="2" t="s">
        <v>197</v>
      </c>
      <c r="E61" s="176">
        <v>20.9</v>
      </c>
      <c r="F61" s="32">
        <v>15.13</v>
      </c>
      <c r="G61" s="32">
        <f t="shared" si="7"/>
        <v>316.22000000000003</v>
      </c>
      <c r="H61" s="187">
        <f t="shared" si="5"/>
        <v>8.8725528019585002E-3</v>
      </c>
      <c r="I61" s="32">
        <f>ROUND(F61*'Прил. 10'!$D$13,2)</f>
        <v>121.65</v>
      </c>
      <c r="J61" s="32">
        <f t="shared" si="8"/>
        <v>2542.4899999999998</v>
      </c>
    </row>
    <row r="62" spans="1:10" s="12" customFormat="1" ht="14.25" hidden="1" customHeight="1" outlineLevel="1" x14ac:dyDescent="0.2">
      <c r="A62" s="2">
        <v>34</v>
      </c>
      <c r="B62" s="171" t="s">
        <v>198</v>
      </c>
      <c r="C62" s="8" t="s">
        <v>199</v>
      </c>
      <c r="D62" s="2" t="s">
        <v>180</v>
      </c>
      <c r="E62" s="176">
        <v>3.4830000000000001</v>
      </c>
      <c r="F62" s="32">
        <v>86</v>
      </c>
      <c r="G62" s="32">
        <f t="shared" si="7"/>
        <v>299.54000000000002</v>
      </c>
      <c r="H62" s="187">
        <f t="shared" si="5"/>
        <v>8.4045426168446995E-3</v>
      </c>
      <c r="I62" s="32">
        <f>ROUND(F62*'Прил. 10'!$D$13,2)</f>
        <v>691.44</v>
      </c>
      <c r="J62" s="32">
        <f t="shared" si="8"/>
        <v>2408.29</v>
      </c>
    </row>
    <row r="63" spans="1:10" s="12" customFormat="1" ht="14.25" hidden="1" customHeight="1" outlineLevel="1" x14ac:dyDescent="0.2">
      <c r="A63" s="2">
        <v>35</v>
      </c>
      <c r="B63" s="171" t="s">
        <v>200</v>
      </c>
      <c r="C63" s="8" t="s">
        <v>201</v>
      </c>
      <c r="D63" s="2" t="s">
        <v>187</v>
      </c>
      <c r="E63" s="176">
        <v>1.1040000000000001</v>
      </c>
      <c r="F63" s="32">
        <v>238.48</v>
      </c>
      <c r="G63" s="32">
        <f t="shared" si="7"/>
        <v>263.27999999999997</v>
      </c>
      <c r="H63" s="187">
        <f t="shared" si="5"/>
        <v>7.3871535693492999E-3</v>
      </c>
      <c r="I63" s="32">
        <f>ROUND(F63*'Прил. 10'!$D$13,2)</f>
        <v>1917.38</v>
      </c>
      <c r="J63" s="32">
        <f t="shared" si="8"/>
        <v>2116.79</v>
      </c>
    </row>
    <row r="64" spans="1:10" s="12" customFormat="1" ht="14.25" hidden="1" customHeight="1" outlineLevel="1" x14ac:dyDescent="0.2">
      <c r="A64" s="2">
        <v>36</v>
      </c>
      <c r="B64" s="171" t="s">
        <v>202</v>
      </c>
      <c r="C64" s="8" t="s">
        <v>203</v>
      </c>
      <c r="D64" s="2" t="s">
        <v>187</v>
      </c>
      <c r="E64" s="176">
        <v>8.64</v>
      </c>
      <c r="F64" s="32">
        <v>28.6</v>
      </c>
      <c r="G64" s="32">
        <f t="shared" si="7"/>
        <v>247.1</v>
      </c>
      <c r="H64" s="187">
        <f t="shared" si="5"/>
        <v>6.9331724665231001E-3</v>
      </c>
      <c r="I64" s="32">
        <f>ROUND(F64*'Прил. 10'!$D$13,2)</f>
        <v>229.94</v>
      </c>
      <c r="J64" s="32">
        <f t="shared" si="8"/>
        <v>1986.68</v>
      </c>
    </row>
    <row r="65" spans="1:10" s="12" customFormat="1" ht="25.5" hidden="1" customHeight="1" outlineLevel="1" x14ac:dyDescent="0.2">
      <c r="A65" s="2">
        <v>37</v>
      </c>
      <c r="B65" s="171" t="s">
        <v>204</v>
      </c>
      <c r="C65" s="8" t="s">
        <v>205</v>
      </c>
      <c r="D65" s="2" t="s">
        <v>171</v>
      </c>
      <c r="E65" s="176">
        <v>4.48E-2</v>
      </c>
      <c r="F65" s="32">
        <v>5000</v>
      </c>
      <c r="G65" s="32">
        <f t="shared" si="7"/>
        <v>224</v>
      </c>
      <c r="H65" s="187">
        <f t="shared" si="5"/>
        <v>6.2850288648368001E-3</v>
      </c>
      <c r="I65" s="32">
        <f>ROUND(F65*'Прил. 10'!$D$13,2)</f>
        <v>40200</v>
      </c>
      <c r="J65" s="32">
        <f t="shared" si="8"/>
        <v>1800.96</v>
      </c>
    </row>
    <row r="66" spans="1:10" s="12" customFormat="1" ht="14.25" hidden="1" customHeight="1" outlineLevel="1" x14ac:dyDescent="0.2">
      <c r="A66" s="2">
        <v>38</v>
      </c>
      <c r="B66" s="171" t="s">
        <v>206</v>
      </c>
      <c r="C66" s="8" t="s">
        <v>207</v>
      </c>
      <c r="D66" s="2" t="s">
        <v>187</v>
      </c>
      <c r="E66" s="176">
        <v>12.393000000000001</v>
      </c>
      <c r="F66" s="32">
        <v>10.57</v>
      </c>
      <c r="G66" s="32">
        <f t="shared" si="7"/>
        <v>130.99</v>
      </c>
      <c r="H66" s="187">
        <f t="shared" si="5"/>
        <v>3.6753389777007999E-3</v>
      </c>
      <c r="I66" s="32">
        <f>ROUND(F66*'Прил. 10'!$D$13,2)</f>
        <v>84.98</v>
      </c>
      <c r="J66" s="32">
        <f t="shared" si="8"/>
        <v>1053.1600000000001</v>
      </c>
    </row>
    <row r="67" spans="1:10" s="12" customFormat="1" ht="25.5" hidden="1" customHeight="1" outlineLevel="1" x14ac:dyDescent="0.2">
      <c r="A67" s="2">
        <v>39</v>
      </c>
      <c r="B67" s="171" t="s">
        <v>208</v>
      </c>
      <c r="C67" s="8" t="s">
        <v>209</v>
      </c>
      <c r="D67" s="2" t="s">
        <v>171</v>
      </c>
      <c r="E67" s="176">
        <v>2.1999999999999999E-2</v>
      </c>
      <c r="F67" s="32">
        <v>5941.89</v>
      </c>
      <c r="G67" s="32">
        <f t="shared" si="7"/>
        <v>130.72</v>
      </c>
      <c r="H67" s="187">
        <f t="shared" si="5"/>
        <v>3.6677632732655002E-3</v>
      </c>
      <c r="I67" s="32">
        <f>ROUND(F67*'Прил. 10'!$D$13,2)</f>
        <v>47772.800000000003</v>
      </c>
      <c r="J67" s="32">
        <f t="shared" si="8"/>
        <v>1051</v>
      </c>
    </row>
    <row r="68" spans="1:10" s="12" customFormat="1" ht="14.25" hidden="1" customHeight="1" outlineLevel="1" x14ac:dyDescent="0.2">
      <c r="A68" s="2">
        <v>40</v>
      </c>
      <c r="B68" s="171" t="s">
        <v>210</v>
      </c>
      <c r="C68" s="8" t="s">
        <v>211</v>
      </c>
      <c r="D68" s="2" t="s">
        <v>180</v>
      </c>
      <c r="E68" s="176">
        <v>0.93130000000000002</v>
      </c>
      <c r="F68" s="32">
        <v>110</v>
      </c>
      <c r="G68" s="32">
        <f t="shared" si="7"/>
        <v>102.44</v>
      </c>
      <c r="H68" s="187">
        <f t="shared" si="5"/>
        <v>2.8742783790798002E-3</v>
      </c>
      <c r="I68" s="32">
        <f>ROUND(F68*'Прил. 10'!$D$13,2)</f>
        <v>884.4</v>
      </c>
      <c r="J68" s="32">
        <f t="shared" si="8"/>
        <v>823.64</v>
      </c>
    </row>
    <row r="69" spans="1:10" s="12" customFormat="1" ht="25.5" hidden="1" customHeight="1" outlineLevel="1" x14ac:dyDescent="0.2">
      <c r="A69" s="2">
        <v>41</v>
      </c>
      <c r="B69" s="171" t="s">
        <v>212</v>
      </c>
      <c r="C69" s="8" t="s">
        <v>213</v>
      </c>
      <c r="D69" s="2" t="s">
        <v>171</v>
      </c>
      <c r="E69" s="176">
        <v>0.20949999999999999</v>
      </c>
      <c r="F69" s="32">
        <v>480</v>
      </c>
      <c r="G69" s="32">
        <f t="shared" si="7"/>
        <v>100.56</v>
      </c>
      <c r="H69" s="187">
        <f t="shared" si="5"/>
        <v>2.8215290296784998E-3</v>
      </c>
      <c r="I69" s="32">
        <f>ROUND(F69*'Прил. 10'!$D$13,2)</f>
        <v>3859.2</v>
      </c>
      <c r="J69" s="32">
        <f t="shared" si="8"/>
        <v>808.5</v>
      </c>
    </row>
    <row r="70" spans="1:10" s="12" customFormat="1" ht="25.5" hidden="1" customHeight="1" outlineLevel="1" x14ac:dyDescent="0.2">
      <c r="A70" s="2">
        <v>42</v>
      </c>
      <c r="B70" s="171" t="s">
        <v>214</v>
      </c>
      <c r="C70" s="8" t="s">
        <v>215</v>
      </c>
      <c r="D70" s="2" t="s">
        <v>171</v>
      </c>
      <c r="E70" s="176">
        <v>2.8999999999999998E-3</v>
      </c>
      <c r="F70" s="32">
        <v>17500</v>
      </c>
      <c r="G70" s="32">
        <f t="shared" si="7"/>
        <v>50.75</v>
      </c>
      <c r="H70" s="187">
        <f t="shared" si="5"/>
        <v>1.4239518521896E-3</v>
      </c>
      <c r="I70" s="32">
        <f>ROUND(F70*'Прил. 10'!$D$13,2)</f>
        <v>140700</v>
      </c>
      <c r="J70" s="32">
        <f t="shared" si="8"/>
        <v>408.03</v>
      </c>
    </row>
    <row r="71" spans="1:10" s="12" customFormat="1" ht="14.25" hidden="1" customHeight="1" outlineLevel="1" x14ac:dyDescent="0.2">
      <c r="A71" s="2">
        <v>43</v>
      </c>
      <c r="B71" s="171" t="s">
        <v>216</v>
      </c>
      <c r="C71" s="8" t="s">
        <v>217</v>
      </c>
      <c r="D71" s="2" t="s">
        <v>218</v>
      </c>
      <c r="E71" s="176">
        <v>0.6</v>
      </c>
      <c r="F71" s="32">
        <v>79.099999999999994</v>
      </c>
      <c r="G71" s="32">
        <f t="shared" si="7"/>
        <v>47.46</v>
      </c>
      <c r="H71" s="187">
        <f t="shared" si="5"/>
        <v>1.3316404907373E-3</v>
      </c>
      <c r="I71" s="32">
        <f>ROUND(F71*'Прил. 10'!$D$13,2)</f>
        <v>635.96</v>
      </c>
      <c r="J71" s="32">
        <f t="shared" si="8"/>
        <v>381.58</v>
      </c>
    </row>
    <row r="72" spans="1:10" s="12" customFormat="1" ht="14.25" hidden="1" customHeight="1" outlineLevel="1" x14ac:dyDescent="0.2">
      <c r="A72" s="2">
        <v>44</v>
      </c>
      <c r="B72" s="171" t="s">
        <v>219</v>
      </c>
      <c r="C72" s="8" t="s">
        <v>220</v>
      </c>
      <c r="D72" s="2" t="s">
        <v>171</v>
      </c>
      <c r="E72" s="176">
        <v>5.9999999999999995E-4</v>
      </c>
      <c r="F72" s="32">
        <v>28300.400000000001</v>
      </c>
      <c r="G72" s="32">
        <f t="shared" si="7"/>
        <v>16.98</v>
      </c>
      <c r="H72" s="187">
        <f t="shared" si="5"/>
        <v>4.7642763448628998E-4</v>
      </c>
      <c r="I72" s="32">
        <f>ROUND(F72*'Прил. 10'!$D$13,2)</f>
        <v>227535.22</v>
      </c>
      <c r="J72" s="32">
        <f t="shared" si="8"/>
        <v>136.52000000000001</v>
      </c>
    </row>
    <row r="73" spans="1:10" s="12" customFormat="1" ht="14.25" hidden="1" customHeight="1" outlineLevel="1" x14ac:dyDescent="0.2">
      <c r="A73" s="2">
        <v>45</v>
      </c>
      <c r="B73" s="171" t="s">
        <v>221</v>
      </c>
      <c r="C73" s="8" t="s">
        <v>222</v>
      </c>
      <c r="D73" s="2" t="s">
        <v>194</v>
      </c>
      <c r="E73" s="176">
        <v>0.4</v>
      </c>
      <c r="F73" s="32">
        <v>39</v>
      </c>
      <c r="G73" s="32">
        <f t="shared" si="7"/>
        <v>15.6</v>
      </c>
      <c r="H73" s="187">
        <f t="shared" si="5"/>
        <v>4.3770736737256001E-4</v>
      </c>
      <c r="I73" s="32">
        <f>ROUND(F73*'Прил. 10'!$D$13,2)</f>
        <v>313.56</v>
      </c>
      <c r="J73" s="32">
        <f t="shared" si="8"/>
        <v>125.42</v>
      </c>
    </row>
    <row r="74" spans="1:10" s="12" customFormat="1" ht="14.25" hidden="1" customHeight="1" outlineLevel="1" x14ac:dyDescent="0.2">
      <c r="A74" s="2">
        <v>46</v>
      </c>
      <c r="B74" s="171" t="s">
        <v>223</v>
      </c>
      <c r="C74" s="8" t="s">
        <v>224</v>
      </c>
      <c r="D74" s="2" t="s">
        <v>171</v>
      </c>
      <c r="E74" s="176">
        <v>1.9780000000000002E-3</v>
      </c>
      <c r="F74" s="32">
        <v>6159.22</v>
      </c>
      <c r="G74" s="32">
        <f t="shared" si="7"/>
        <v>12.18</v>
      </c>
      <c r="H74" s="187">
        <f t="shared" si="5"/>
        <v>3.4174844452550002E-4</v>
      </c>
      <c r="I74" s="32">
        <f>ROUND(F74*'Прил. 10'!$D$13,2)</f>
        <v>49520.13</v>
      </c>
      <c r="J74" s="32">
        <f t="shared" si="8"/>
        <v>97.95</v>
      </c>
    </row>
    <row r="75" spans="1:10" s="12" customFormat="1" ht="14.25" hidden="1" customHeight="1" outlineLevel="1" x14ac:dyDescent="0.2">
      <c r="A75" s="2">
        <v>47</v>
      </c>
      <c r="B75" s="171" t="s">
        <v>225</v>
      </c>
      <c r="C75" s="8" t="s">
        <v>226</v>
      </c>
      <c r="D75" s="2" t="s">
        <v>180</v>
      </c>
      <c r="E75" s="176">
        <v>0.44</v>
      </c>
      <c r="F75" s="32">
        <v>26.6</v>
      </c>
      <c r="G75" s="32">
        <f t="shared" si="7"/>
        <v>11.7</v>
      </c>
      <c r="H75" s="187">
        <f t="shared" si="5"/>
        <v>3.2828052552942002E-4</v>
      </c>
      <c r="I75" s="32">
        <f>ROUND(F75*'Прил. 10'!$D$13,2)</f>
        <v>213.86</v>
      </c>
      <c r="J75" s="32">
        <f t="shared" si="8"/>
        <v>94.1</v>
      </c>
    </row>
    <row r="76" spans="1:10" s="12" customFormat="1" ht="25.5" hidden="1" customHeight="1" outlineLevel="1" x14ac:dyDescent="0.2">
      <c r="A76" s="2">
        <v>48</v>
      </c>
      <c r="B76" s="171" t="s">
        <v>227</v>
      </c>
      <c r="C76" s="8" t="s">
        <v>228</v>
      </c>
      <c r="D76" s="2" t="s">
        <v>174</v>
      </c>
      <c r="E76" s="176">
        <v>0.17460000000000001</v>
      </c>
      <c r="F76" s="32">
        <v>59.99</v>
      </c>
      <c r="G76" s="32">
        <f t="shared" si="7"/>
        <v>10.47</v>
      </c>
      <c r="H76" s="187">
        <f t="shared" si="5"/>
        <v>2.9376898310197003E-4</v>
      </c>
      <c r="I76" s="32">
        <f>ROUND(F76*'Прил. 10'!$D$13,2)</f>
        <v>482.32</v>
      </c>
      <c r="J76" s="32">
        <f t="shared" si="8"/>
        <v>84.21</v>
      </c>
    </row>
    <row r="77" spans="1:10" s="12" customFormat="1" ht="14.25" hidden="1" customHeight="1" outlineLevel="1" x14ac:dyDescent="0.2">
      <c r="A77" s="2">
        <v>49</v>
      </c>
      <c r="B77" s="171" t="s">
        <v>229</v>
      </c>
      <c r="C77" s="8" t="s">
        <v>230</v>
      </c>
      <c r="D77" s="2" t="s">
        <v>171</v>
      </c>
      <c r="E77" s="176">
        <v>5.9999999999999995E-4</v>
      </c>
      <c r="F77" s="32">
        <v>15620</v>
      </c>
      <c r="G77" s="32">
        <f t="shared" si="7"/>
        <v>9.3699999999999992</v>
      </c>
      <c r="H77" s="187">
        <f t="shared" si="5"/>
        <v>2.6290500206929002E-4</v>
      </c>
      <c r="I77" s="32">
        <f>ROUND(F77*'Прил. 10'!$D$13,2)</f>
        <v>125584.8</v>
      </c>
      <c r="J77" s="32">
        <f t="shared" si="8"/>
        <v>75.349999999999994</v>
      </c>
    </row>
    <row r="78" spans="1:10" s="12" customFormat="1" ht="14.25" hidden="1" customHeight="1" outlineLevel="1" x14ac:dyDescent="0.2">
      <c r="A78" s="2">
        <v>50</v>
      </c>
      <c r="B78" s="171" t="s">
        <v>231</v>
      </c>
      <c r="C78" s="8" t="s">
        <v>232</v>
      </c>
      <c r="D78" s="2" t="s">
        <v>171</v>
      </c>
      <c r="E78" s="176">
        <v>8.9999999999999998E-4</v>
      </c>
      <c r="F78" s="32">
        <v>10315.01</v>
      </c>
      <c r="G78" s="32">
        <f t="shared" si="7"/>
        <v>9.2799999999999994</v>
      </c>
      <c r="H78" s="187">
        <f t="shared" si="5"/>
        <v>2.6037976725751998E-4</v>
      </c>
      <c r="I78" s="32">
        <f>ROUND(F78*'Прил. 10'!$D$13,2)</f>
        <v>82932.679999999993</v>
      </c>
      <c r="J78" s="32">
        <f t="shared" si="8"/>
        <v>74.64</v>
      </c>
    </row>
    <row r="79" spans="1:10" s="12" customFormat="1" ht="14.25" hidden="1" customHeight="1" outlineLevel="1" x14ac:dyDescent="0.2">
      <c r="A79" s="2">
        <v>51</v>
      </c>
      <c r="B79" s="171" t="s">
        <v>233</v>
      </c>
      <c r="C79" s="8" t="s">
        <v>234</v>
      </c>
      <c r="D79" s="2" t="s">
        <v>180</v>
      </c>
      <c r="E79" s="176">
        <v>3.427</v>
      </c>
      <c r="F79" s="32">
        <v>2</v>
      </c>
      <c r="G79" s="32">
        <f t="shared" si="7"/>
        <v>6.85</v>
      </c>
      <c r="H79" s="187">
        <f t="shared" si="5"/>
        <v>1.9219842733988001E-4</v>
      </c>
      <c r="I79" s="32">
        <f>ROUND(F79*'Прил. 10'!$D$13,2)</f>
        <v>16.079999999999998</v>
      </c>
      <c r="J79" s="32">
        <f t="shared" si="8"/>
        <v>55.11</v>
      </c>
    </row>
    <row r="80" spans="1:10" s="12" customFormat="1" ht="25.5" hidden="1" customHeight="1" outlineLevel="1" x14ac:dyDescent="0.2">
      <c r="A80" s="2">
        <v>52</v>
      </c>
      <c r="B80" s="171" t="s">
        <v>235</v>
      </c>
      <c r="C80" s="8" t="s">
        <v>236</v>
      </c>
      <c r="D80" s="2" t="s">
        <v>187</v>
      </c>
      <c r="E80" s="176">
        <v>0.22</v>
      </c>
      <c r="F80" s="32">
        <v>28.22</v>
      </c>
      <c r="G80" s="32">
        <f t="shared" si="7"/>
        <v>6.21</v>
      </c>
      <c r="H80" s="187">
        <f t="shared" si="5"/>
        <v>1.7424120201177E-4</v>
      </c>
      <c r="I80" s="32">
        <f>ROUND(F80*'Прил. 10'!$D$13,2)</f>
        <v>226.89</v>
      </c>
      <c r="J80" s="32">
        <f t="shared" si="8"/>
        <v>49.92</v>
      </c>
    </row>
    <row r="81" spans="1:12" s="12" customFormat="1" ht="14.25" hidden="1" customHeight="1" outlineLevel="1" x14ac:dyDescent="0.2">
      <c r="A81" s="2">
        <v>53</v>
      </c>
      <c r="B81" s="171" t="s">
        <v>237</v>
      </c>
      <c r="C81" s="8" t="s">
        <v>238</v>
      </c>
      <c r="D81" s="2" t="s">
        <v>171</v>
      </c>
      <c r="E81" s="176">
        <v>5.0000000000000001E-4</v>
      </c>
      <c r="F81" s="32">
        <v>9420</v>
      </c>
      <c r="G81" s="32">
        <f t="shared" si="7"/>
        <v>4.71</v>
      </c>
      <c r="H81" s="187">
        <f t="shared" si="5"/>
        <v>1.3215395514902E-4</v>
      </c>
      <c r="I81" s="32">
        <f>ROUND(F81*'Прил. 10'!$D$13,2)</f>
        <v>75736.800000000003</v>
      </c>
      <c r="J81" s="32">
        <f t="shared" si="8"/>
        <v>37.869999999999997</v>
      </c>
    </row>
    <row r="82" spans="1:12" s="12" customFormat="1" ht="38.25" hidden="1" customHeight="1" outlineLevel="1" x14ac:dyDescent="0.2">
      <c r="A82" s="2">
        <v>54</v>
      </c>
      <c r="B82" s="171" t="s">
        <v>239</v>
      </c>
      <c r="C82" s="8" t="s">
        <v>240</v>
      </c>
      <c r="D82" s="2" t="s">
        <v>187</v>
      </c>
      <c r="E82" s="176">
        <v>4.8000000000000001E-2</v>
      </c>
      <c r="F82" s="32">
        <v>30.4</v>
      </c>
      <c r="G82" s="32">
        <f t="shared" si="7"/>
        <v>1.46</v>
      </c>
      <c r="H82" s="187">
        <f t="shared" si="5"/>
        <v>4.0964920279740003E-5</v>
      </c>
      <c r="I82" s="32">
        <f>ROUND(F82*'Прил. 10'!$D$13,2)</f>
        <v>244.42</v>
      </c>
      <c r="J82" s="32">
        <f t="shared" si="8"/>
        <v>11.73</v>
      </c>
    </row>
    <row r="83" spans="1:12" s="12" customFormat="1" ht="14.25" hidden="1" customHeight="1" outlineLevel="1" x14ac:dyDescent="0.2">
      <c r="A83" s="2">
        <v>55</v>
      </c>
      <c r="B83" s="171" t="s">
        <v>241</v>
      </c>
      <c r="C83" s="8" t="s">
        <v>242</v>
      </c>
      <c r="D83" s="2" t="s">
        <v>171</v>
      </c>
      <c r="E83" s="176">
        <v>2.0000000000000001E-4</v>
      </c>
      <c r="F83" s="32">
        <v>6667</v>
      </c>
      <c r="G83" s="32">
        <f t="shared" si="7"/>
        <v>1.33</v>
      </c>
      <c r="H83" s="187">
        <f t="shared" si="5"/>
        <v>3.7317358884969E-5</v>
      </c>
      <c r="I83" s="32">
        <f>ROUND(F83*'Прил. 10'!$D$13,2)</f>
        <v>53602.68</v>
      </c>
      <c r="J83" s="32">
        <f t="shared" si="8"/>
        <v>10.72</v>
      </c>
    </row>
    <row r="84" spans="1:12" s="12" customFormat="1" ht="14.25" hidden="1" customHeight="1" outlineLevel="1" x14ac:dyDescent="0.2">
      <c r="A84" s="2">
        <v>56</v>
      </c>
      <c r="B84" s="171" t="s">
        <v>243</v>
      </c>
      <c r="C84" s="8" t="s">
        <v>244</v>
      </c>
      <c r="D84" s="2" t="s">
        <v>187</v>
      </c>
      <c r="E84" s="176">
        <v>2.4E-2</v>
      </c>
      <c r="F84" s="32">
        <v>44.97</v>
      </c>
      <c r="G84" s="32">
        <f t="shared" si="7"/>
        <v>1.08</v>
      </c>
      <c r="H84" s="187">
        <f t="shared" si="5"/>
        <v>3.0302817741177001E-5</v>
      </c>
      <c r="I84" s="32">
        <f>ROUND(F84*'Прил. 10'!$D$13,2)</f>
        <v>361.56</v>
      </c>
      <c r="J84" s="32">
        <f t="shared" si="8"/>
        <v>8.68</v>
      </c>
    </row>
    <row r="85" spans="1:12" s="12" customFormat="1" ht="14.25" hidden="1" customHeight="1" outlineLevel="1" x14ac:dyDescent="0.2">
      <c r="A85" s="2">
        <v>57</v>
      </c>
      <c r="B85" s="171" t="s">
        <v>245</v>
      </c>
      <c r="C85" s="8" t="s">
        <v>246</v>
      </c>
      <c r="D85" s="2" t="s">
        <v>187</v>
      </c>
      <c r="E85" s="176">
        <v>2.4E-2</v>
      </c>
      <c r="F85" s="32">
        <v>35.630000000000003</v>
      </c>
      <c r="G85" s="32">
        <f t="shared" si="7"/>
        <v>0.86</v>
      </c>
      <c r="H85" s="187">
        <f t="shared" si="5"/>
        <v>2.4130021534641001E-5</v>
      </c>
      <c r="I85" s="32">
        <f>ROUND(F85*'Прил. 10'!$D$13,2)</f>
        <v>286.47000000000003</v>
      </c>
      <c r="J85" s="32">
        <f t="shared" si="8"/>
        <v>6.88</v>
      </c>
    </row>
    <row r="86" spans="1:12" s="12" customFormat="1" ht="14.25" hidden="1" customHeight="1" outlineLevel="1" x14ac:dyDescent="0.2">
      <c r="A86" s="2">
        <v>58</v>
      </c>
      <c r="B86" s="171" t="s">
        <v>247</v>
      </c>
      <c r="C86" s="8" t="s">
        <v>248</v>
      </c>
      <c r="D86" s="2" t="s">
        <v>187</v>
      </c>
      <c r="E86" s="176">
        <v>4.0000000000000001E-3</v>
      </c>
      <c r="F86" s="32">
        <v>133.05000000000001</v>
      </c>
      <c r="G86" s="32">
        <f t="shared" si="7"/>
        <v>0.53</v>
      </c>
      <c r="H86" s="187">
        <f t="shared" si="5"/>
        <v>1.4870827224837E-5</v>
      </c>
      <c r="I86" s="32">
        <f>ROUND(F86*'Прил. 10'!$D$13,2)</f>
        <v>1069.72</v>
      </c>
      <c r="J86" s="32">
        <f t="shared" si="8"/>
        <v>4.28</v>
      </c>
    </row>
    <row r="87" spans="1:12" s="12" customFormat="1" ht="14.25" customHeight="1" collapsed="1" x14ac:dyDescent="0.2">
      <c r="A87" s="2"/>
      <c r="B87" s="2"/>
      <c r="C87" s="8" t="s">
        <v>323</v>
      </c>
      <c r="D87" s="2"/>
      <c r="E87" s="184"/>
      <c r="F87" s="32"/>
      <c r="G87" s="32">
        <f>SUM(G57:G86)</f>
        <v>4561.55</v>
      </c>
      <c r="H87" s="185">
        <f>G87/G88</f>
        <v>0.12798872061784</v>
      </c>
      <c r="I87" s="32"/>
      <c r="J87" s="32">
        <f>SUM(J57:J86)</f>
        <v>36675.019999999997</v>
      </c>
    </row>
    <row r="88" spans="1:12" s="12" customFormat="1" ht="14.25" customHeight="1" x14ac:dyDescent="0.2">
      <c r="A88" s="2"/>
      <c r="B88" s="2"/>
      <c r="C88" s="104" t="s">
        <v>324</v>
      </c>
      <c r="D88" s="2"/>
      <c r="E88" s="184"/>
      <c r="F88" s="103"/>
      <c r="G88" s="32">
        <f>G56+G87</f>
        <v>35640.25</v>
      </c>
      <c r="H88" s="185">
        <v>1</v>
      </c>
      <c r="I88" s="32"/>
      <c r="J88" s="32">
        <f>J56+J87</f>
        <v>286547.59999999998</v>
      </c>
    </row>
    <row r="89" spans="1:12" s="12" customFormat="1" ht="14.25" customHeight="1" x14ac:dyDescent="0.2">
      <c r="A89" s="2"/>
      <c r="B89" s="2"/>
      <c r="C89" s="8" t="s">
        <v>325</v>
      </c>
      <c r="D89" s="2"/>
      <c r="E89" s="184"/>
      <c r="F89" s="103"/>
      <c r="G89" s="32">
        <f>G16+G36+G88</f>
        <v>132687.70000000001</v>
      </c>
      <c r="H89" s="185"/>
      <c r="I89" s="32"/>
      <c r="J89" s="32">
        <f>J16+J36+J88</f>
        <v>3349944.71</v>
      </c>
    </row>
    <row r="90" spans="1:12" s="12" customFormat="1" ht="14.25" customHeight="1" x14ac:dyDescent="0.2">
      <c r="A90" s="2"/>
      <c r="B90" s="2"/>
      <c r="C90" s="8" t="s">
        <v>326</v>
      </c>
      <c r="D90" s="194">
        <v>0.63</v>
      </c>
      <c r="E90" s="184"/>
      <c r="F90" s="103"/>
      <c r="G90" s="32">
        <f>ROUND(D90*(G16+G18),2)</f>
        <v>33937.74</v>
      </c>
      <c r="H90" s="185"/>
      <c r="I90" s="32"/>
      <c r="J90" s="32">
        <f>ROUND(D90*(J16+J18),2)</f>
        <v>1565310.28</v>
      </c>
    </row>
    <row r="91" spans="1:12" s="12" customFormat="1" ht="14.25" customHeight="1" x14ac:dyDescent="0.2">
      <c r="A91" s="2"/>
      <c r="B91" s="2"/>
      <c r="C91" s="8" t="s">
        <v>327</v>
      </c>
      <c r="D91" s="194">
        <v>0.46</v>
      </c>
      <c r="E91" s="184"/>
      <c r="F91" s="103"/>
      <c r="G91" s="32">
        <f>ROUND(D91*(G16+G18),2)</f>
        <v>24779.93</v>
      </c>
      <c r="H91" s="185"/>
      <c r="I91" s="32"/>
      <c r="J91" s="32">
        <f>ROUND(D91*(J16+J18),2)</f>
        <v>1142924.97</v>
      </c>
    </row>
    <row r="92" spans="1:12" s="12" customFormat="1" ht="14.25" customHeight="1" x14ac:dyDescent="0.2">
      <c r="A92" s="2"/>
      <c r="B92" s="2"/>
      <c r="C92" s="8" t="s">
        <v>328</v>
      </c>
      <c r="D92" s="2"/>
      <c r="E92" s="184"/>
      <c r="F92" s="103"/>
      <c r="G92" s="32">
        <f>G16+G36+G88+G90+G91</f>
        <v>191405.37</v>
      </c>
      <c r="H92" s="185"/>
      <c r="I92" s="32"/>
      <c r="J92" s="32">
        <f>J16+J36+J88+J90+J91</f>
        <v>6058179.96</v>
      </c>
    </row>
    <row r="93" spans="1:12" s="12" customFormat="1" ht="14.25" customHeight="1" x14ac:dyDescent="0.2">
      <c r="A93" s="2"/>
      <c r="B93" s="2"/>
      <c r="C93" s="8" t="s">
        <v>329</v>
      </c>
      <c r="D93" s="2"/>
      <c r="E93" s="184"/>
      <c r="F93" s="103"/>
      <c r="G93" s="32">
        <f>G92+G44</f>
        <v>3437907.8029073002</v>
      </c>
      <c r="H93" s="185"/>
      <c r="I93" s="32"/>
      <c r="J93" s="32">
        <f>J92+J44</f>
        <v>26381285.190000001</v>
      </c>
    </row>
    <row r="94" spans="1:12" s="12" customFormat="1" ht="34.5" customHeight="1" x14ac:dyDescent="0.2">
      <c r="A94" s="2"/>
      <c r="B94" s="2"/>
      <c r="C94" s="8" t="s">
        <v>279</v>
      </c>
      <c r="D94" s="2" t="s">
        <v>330</v>
      </c>
      <c r="E94" s="184">
        <v>4</v>
      </c>
      <c r="F94" s="103"/>
      <c r="G94" s="32">
        <f>G93/E94</f>
        <v>859476.95072683995</v>
      </c>
      <c r="H94" s="185"/>
      <c r="I94" s="32"/>
      <c r="J94" s="32">
        <f>J93/E94</f>
        <v>6595321.2975000003</v>
      </c>
    </row>
    <row r="96" spans="1:12" x14ac:dyDescent="0.25">
      <c r="A96"/>
      <c r="B96" s="4" t="s">
        <v>75</v>
      </c>
      <c r="D96"/>
      <c r="E96"/>
      <c r="F96"/>
      <c r="G96"/>
      <c r="H96"/>
      <c r="I96"/>
      <c r="J96"/>
      <c r="K96"/>
      <c r="L96"/>
    </row>
    <row r="97" spans="1:12" x14ac:dyDescent="0.25">
      <c r="A97"/>
      <c r="B97" s="33" t="s">
        <v>76</v>
      </c>
      <c r="D97"/>
      <c r="E97"/>
      <c r="F97"/>
      <c r="G97"/>
      <c r="H97"/>
      <c r="I97"/>
      <c r="J97"/>
      <c r="K97"/>
      <c r="L97"/>
    </row>
    <row r="98" spans="1:12" x14ac:dyDescent="0.25">
      <c r="A98"/>
      <c r="B98" s="4"/>
      <c r="D98"/>
      <c r="E98"/>
      <c r="F98"/>
      <c r="G98"/>
      <c r="H98"/>
      <c r="I98"/>
      <c r="J98"/>
      <c r="K98"/>
      <c r="L98"/>
    </row>
    <row r="99" spans="1:12" x14ac:dyDescent="0.25">
      <c r="A99"/>
      <c r="B99" s="4" t="s">
        <v>77</v>
      </c>
      <c r="D99"/>
      <c r="E99"/>
      <c r="F99"/>
      <c r="G99"/>
      <c r="H99"/>
      <c r="I99"/>
      <c r="J99"/>
      <c r="K99"/>
      <c r="L99"/>
    </row>
    <row r="100" spans="1:12" x14ac:dyDescent="0.25">
      <c r="A100"/>
      <c r="B100" s="33" t="s">
        <v>78</v>
      </c>
      <c r="D100"/>
      <c r="E100"/>
      <c r="F100"/>
      <c r="G100"/>
      <c r="H100"/>
      <c r="I100"/>
      <c r="J100"/>
      <c r="K100"/>
      <c r="L100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7:H47"/>
    <mergeCell ref="B12:H12"/>
    <mergeCell ref="B17:H17"/>
    <mergeCell ref="B19:H19"/>
    <mergeCell ref="B20:H20"/>
    <mergeCell ref="B38:H38"/>
    <mergeCell ref="B46:H46"/>
    <mergeCell ref="B37:H37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2023-11-30T09:36:56Z</cp:lastPrinted>
  <dcterms:created xsi:type="dcterms:W3CDTF">2020-09-30T08:50:27Z</dcterms:created>
  <dcterms:modified xsi:type="dcterms:W3CDTF">2023-11-30T09:37:00Z</dcterms:modified>
  <cp:category/>
</cp:coreProperties>
</file>