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8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4.5 РМ" sheetId="7" state="hidden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ФОТи1.тек." sheetId="14" state="hidden" r:id="rId14"/>
    <sheet name="ФОТи2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6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6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6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6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6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6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6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6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6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6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6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6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6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6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6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6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6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6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6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6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6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6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6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6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6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6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6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6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6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6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6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6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6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6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6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6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6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6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6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6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6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6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6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6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6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6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6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6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6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6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6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6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6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6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6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6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6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6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6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6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6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6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6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6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6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6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6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6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6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6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6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6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6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6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6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6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6">#REF!</definedName>
    <definedName name="_def2000г" localSheetId="16">#REF!</definedName>
    <definedName name="_def2000г" localSheetId="17">#REF!</definedName>
    <definedName name="_def2000г" localSheetId="8">#REF!</definedName>
    <definedName name="_def2000г" localSheetId="10">#REF!</definedName>
    <definedName name="_def2000г" localSheetId="13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6">#REF!</definedName>
    <definedName name="_def2001г" localSheetId="16">#REF!</definedName>
    <definedName name="_def2001г" localSheetId="17">#REF!</definedName>
    <definedName name="_def2001г" localSheetId="8">#REF!</definedName>
    <definedName name="_def2001г" localSheetId="10">#REF!</definedName>
    <definedName name="_def2001г" localSheetId="13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6">#REF!</definedName>
    <definedName name="_def2002г" localSheetId="16">#REF!</definedName>
    <definedName name="_def2002г" localSheetId="17">#REF!</definedName>
    <definedName name="_def2002г" localSheetId="8">#REF!</definedName>
    <definedName name="_def2002г" localSheetId="10">#REF!</definedName>
    <definedName name="_def2002г" localSheetId="13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6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6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6">#REF!</definedName>
    <definedName name="_inf2000" localSheetId="16">#REF!</definedName>
    <definedName name="_inf2000" localSheetId="17">#REF!</definedName>
    <definedName name="_inf2000" localSheetId="8">#REF!</definedName>
    <definedName name="_inf2000" localSheetId="10">#REF!</definedName>
    <definedName name="_inf2000" localSheetId="13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6">#REF!</definedName>
    <definedName name="_inf2001" localSheetId="16">#REF!</definedName>
    <definedName name="_inf2001" localSheetId="17">#REF!</definedName>
    <definedName name="_inf2001" localSheetId="8">#REF!</definedName>
    <definedName name="_inf2001" localSheetId="10">#REF!</definedName>
    <definedName name="_inf2001" localSheetId="13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6">#REF!</definedName>
    <definedName name="_inf2002" localSheetId="16">#REF!</definedName>
    <definedName name="_inf2002" localSheetId="17">#REF!</definedName>
    <definedName name="_inf2002" localSheetId="8">#REF!</definedName>
    <definedName name="_inf2002" localSheetId="10">#REF!</definedName>
    <definedName name="_inf2002" localSheetId="13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6">#REF!</definedName>
    <definedName name="_inf2003" localSheetId="16">#REF!</definedName>
    <definedName name="_inf2003" localSheetId="17">#REF!</definedName>
    <definedName name="_inf2003" localSheetId="8">#REF!</definedName>
    <definedName name="_inf2003" localSheetId="10">#REF!</definedName>
    <definedName name="_inf2003" localSheetId="13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6">#REF!</definedName>
    <definedName name="_inf2004" localSheetId="16">#REF!</definedName>
    <definedName name="_inf2004" localSheetId="17">#REF!</definedName>
    <definedName name="_inf2004" localSheetId="8">#REF!</definedName>
    <definedName name="_inf2004" localSheetId="10">#REF!</definedName>
    <definedName name="_inf2004" localSheetId="13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6">#REF!</definedName>
    <definedName name="_inf2005" localSheetId="16">#REF!</definedName>
    <definedName name="_inf2005" localSheetId="17">#REF!</definedName>
    <definedName name="_inf2005" localSheetId="8">#REF!</definedName>
    <definedName name="_inf2005" localSheetId="10">#REF!</definedName>
    <definedName name="_inf2005" localSheetId="13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6">#REF!</definedName>
    <definedName name="_inf2006" localSheetId="16">#REF!</definedName>
    <definedName name="_inf2006" localSheetId="17">#REF!</definedName>
    <definedName name="_inf2006" localSheetId="8">#REF!</definedName>
    <definedName name="_inf2006" localSheetId="10">#REF!</definedName>
    <definedName name="_inf2006" localSheetId="13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6">#REF!</definedName>
    <definedName name="_inf2007" localSheetId="16">#REF!</definedName>
    <definedName name="_inf2007" localSheetId="17">#REF!</definedName>
    <definedName name="_inf2007" localSheetId="8">#REF!</definedName>
    <definedName name="_inf2007" localSheetId="10">#REF!</definedName>
    <definedName name="_inf2007" localSheetId="13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6">#REF!</definedName>
    <definedName name="_inf2008" localSheetId="16">#REF!</definedName>
    <definedName name="_inf2008" localSheetId="17">#REF!</definedName>
    <definedName name="_inf2008" localSheetId="8">#REF!</definedName>
    <definedName name="_inf2008" localSheetId="10">#REF!</definedName>
    <definedName name="_inf2008" localSheetId="13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6">#REF!</definedName>
    <definedName name="_inf2009" localSheetId="16">#REF!</definedName>
    <definedName name="_inf2009" localSheetId="17">#REF!</definedName>
    <definedName name="_inf2009" localSheetId="8">#REF!</definedName>
    <definedName name="_inf2009" localSheetId="10">#REF!</definedName>
    <definedName name="_inf2009" localSheetId="13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6">#REF!</definedName>
    <definedName name="_inf2010" localSheetId="16">#REF!</definedName>
    <definedName name="_inf2010" localSheetId="17">#REF!</definedName>
    <definedName name="_inf2010" localSheetId="8">#REF!</definedName>
    <definedName name="_inf2010" localSheetId="10">#REF!</definedName>
    <definedName name="_inf2010" localSheetId="13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6">#REF!</definedName>
    <definedName name="_inf2011" localSheetId="16">#REF!</definedName>
    <definedName name="_inf2011" localSheetId="17">#REF!</definedName>
    <definedName name="_inf2011" localSheetId="8">#REF!</definedName>
    <definedName name="_inf2011" localSheetId="10">#REF!</definedName>
    <definedName name="_inf2011" localSheetId="13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6">#REF!</definedName>
    <definedName name="_inf2012" localSheetId="16">#REF!</definedName>
    <definedName name="_inf2012" localSheetId="17">#REF!</definedName>
    <definedName name="_inf2012" localSheetId="8">#REF!</definedName>
    <definedName name="_inf2012" localSheetId="10">#REF!</definedName>
    <definedName name="_inf2012" localSheetId="13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6">#REF!</definedName>
    <definedName name="_inf2013" localSheetId="16">#REF!</definedName>
    <definedName name="_inf2013" localSheetId="17">#REF!</definedName>
    <definedName name="_inf2013" localSheetId="8">#REF!</definedName>
    <definedName name="_inf2013" localSheetId="10">#REF!</definedName>
    <definedName name="_inf2013" localSheetId="13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6">#REF!</definedName>
    <definedName name="_inf2014" localSheetId="16">#REF!</definedName>
    <definedName name="_inf2014" localSheetId="17">#REF!</definedName>
    <definedName name="_inf2014" localSheetId="8">#REF!</definedName>
    <definedName name="_inf2014" localSheetId="10">#REF!</definedName>
    <definedName name="_inf2014" localSheetId="13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6">#REF!</definedName>
    <definedName name="_inf2015" localSheetId="16">#REF!</definedName>
    <definedName name="_inf2015" localSheetId="17">#REF!</definedName>
    <definedName name="_inf2015" localSheetId="8">#REF!</definedName>
    <definedName name="_inf2015" localSheetId="10">#REF!</definedName>
    <definedName name="_inf2015" localSheetId="13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6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6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6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6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6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6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6">#REF!</definedName>
    <definedName name="a04t" localSheetId="16">#REF!</definedName>
    <definedName name="a04t" localSheetId="17">#REF!</definedName>
    <definedName name="a04t" localSheetId="8">#REF!</definedName>
    <definedName name="a04t" localSheetId="10">#REF!</definedName>
    <definedName name="a04t" localSheetId="13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6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6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6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6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6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 localSheetId="13">#REF!</definedName>
    <definedName name="cvtnf" localSheetId="14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6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6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6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6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6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6">#REF!</definedName>
    <definedName name="DOLL" localSheetId="16">#REF!</definedName>
    <definedName name="DOLL" localSheetId="17">#REF!</definedName>
    <definedName name="DOLL" localSheetId="8">#REF!</definedName>
    <definedName name="DOLL" localSheetId="10">#REF!</definedName>
    <definedName name="DOLL" localSheetId="13">#REF!</definedName>
    <definedName name="DOLL" localSheetId="14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6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6">#REF!</definedName>
    <definedName name="Excel_BuiltIn_Print_Area_1" localSheetId="16">#REF!</definedName>
    <definedName name="Excel_BuiltIn_Print_Area_1" localSheetId="17">#REF!</definedName>
    <definedName name="Excel_BuiltIn_Print_Area_1" localSheetId="8">#REF!</definedName>
    <definedName name="Excel_BuiltIn_Print_Area_1" localSheetId="10">#REF!</definedName>
    <definedName name="Excel_BuiltIn_Print_Area_1" localSheetId="13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6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6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6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6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6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6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6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6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6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6">#REF!</definedName>
    <definedName name="Excel_BuiltIn_Print_Area_4" localSheetId="16">#REF!</definedName>
    <definedName name="Excel_BuiltIn_Print_Area_4" localSheetId="17">#REF!</definedName>
    <definedName name="Excel_BuiltIn_Print_Area_4" localSheetId="8">#REF!</definedName>
    <definedName name="Excel_BuiltIn_Print_Area_4" localSheetId="10">#REF!</definedName>
    <definedName name="Excel_BuiltIn_Print_Area_4" localSheetId="13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6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6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6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6">#REF!</definedName>
    <definedName name="Excel_BuiltIn_Print_Area_5" localSheetId="16">#REF!</definedName>
    <definedName name="Excel_BuiltIn_Print_Area_5" localSheetId="17">#REF!</definedName>
    <definedName name="Excel_BuiltIn_Print_Area_5" localSheetId="8">#REF!</definedName>
    <definedName name="Excel_BuiltIn_Print_Area_5" localSheetId="10">#REF!</definedName>
    <definedName name="Excel_BuiltIn_Print_Area_5" localSheetId="13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6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6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6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6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6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6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6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6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6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6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6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6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6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6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6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6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6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6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6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6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6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6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6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6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6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6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6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6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6">#REF!</definedName>
    <definedName name="ff" localSheetId="16">#REF!</definedName>
    <definedName name="ff" localSheetId="17">#REF!</definedName>
    <definedName name="ff" localSheetId="8">#REF!</definedName>
    <definedName name="ff" localSheetId="10">#REF!</definedName>
    <definedName name="ff" localSheetId="13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6">#REF!</definedName>
    <definedName name="gggg" localSheetId="16">#REF!</definedName>
    <definedName name="gggg" localSheetId="17">#REF!</definedName>
    <definedName name="gggg" localSheetId="8">#REF!</definedName>
    <definedName name="gggg" localSheetId="10">#REF!</definedName>
    <definedName name="gggg" localSheetId="13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6">#REF!</definedName>
    <definedName name="Global.MNULL" localSheetId="16">#REF!</definedName>
    <definedName name="Global.MNULL" localSheetId="17">#REF!</definedName>
    <definedName name="Global.MNULL" localSheetId="8">#REF!</definedName>
    <definedName name="Global.MNULL" localSheetId="10">#REF!</definedName>
    <definedName name="Global.MNULL" localSheetId="13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6">#REF!</definedName>
    <definedName name="Global.NULL" localSheetId="16">#REF!</definedName>
    <definedName name="Global.NULL" localSheetId="17">#REF!</definedName>
    <definedName name="Global.NULL" localSheetId="8">#REF!</definedName>
    <definedName name="Global.NULL" localSheetId="10">#REF!</definedName>
    <definedName name="Global.NULL" localSheetId="13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6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6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 localSheetId="13">#REF!</definedName>
    <definedName name="htvjyn" localSheetId="14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6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6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6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 localSheetId="13">#REF!</definedName>
    <definedName name="kk" localSheetId="14">#REF!</definedName>
    <definedName name="kk">#REF!</definedName>
    <definedName name="kl" localSheetId="10">#REF!</definedName>
    <definedName name="kl" localSheetId="13">#REF!</definedName>
    <definedName name="kl" localSheetId="14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6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6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6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6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3">IF(ФОТи1.тек.!n_3=1,ФОТи1.тек.!n_2,ФОТи1.тек.!n_3&amp;ФОТи1.тек.!n_1)</definedName>
    <definedName name="n0x" localSheetId="14">IF(ФОТи2.тек.!n_3=1,ФОТи2.тек.!n_2,ФОТи2.тек.!n_3&amp;ФОТи2.тек.!n_1)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6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3">IF(ФОТи1.тек.!n_3=1,ФОТи1.тек.!n_2,ФОТи1.тек.!n_3&amp;ФОТи1.тек.!n_5)</definedName>
    <definedName name="n1x" localSheetId="14">IF(ФОТи2.тек.!n_3=1,ФОТи2.тек.!n_2,ФОТи2.тек.!n_3&amp;ФОТи2.тек.!n_5)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6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6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6">#REF!</definedName>
    <definedName name="Print_Area" localSheetId="17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6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6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6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 localSheetId="13">#REF!</definedName>
    <definedName name="rrrrrr" localSheetId="14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6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6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6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6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6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6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6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6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6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6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6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6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6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6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6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6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6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6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6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6">#REF!</definedName>
    <definedName name="time" localSheetId="16">#REF!</definedName>
    <definedName name="time" localSheetId="17">#REF!</definedName>
    <definedName name="time" localSheetId="8">#REF!</definedName>
    <definedName name="time" localSheetId="10">#REF!</definedName>
    <definedName name="time" localSheetId="13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6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6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6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6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6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6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6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3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6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6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6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6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6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6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6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6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6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6">#REF!</definedName>
    <definedName name="а" localSheetId="16">#REF!</definedName>
    <definedName name="а" localSheetId="17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6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6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6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6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6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6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6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6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6">#REF!</definedName>
    <definedName name="ааа" localSheetId="16">#REF!</definedName>
    <definedName name="ааа" localSheetId="17">#REF!</definedName>
    <definedName name="ааа" localSheetId="8">#REF!</definedName>
    <definedName name="ааа" localSheetId="10">#REF!</definedName>
    <definedName name="ааа" localSheetId="13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6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6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6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6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6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6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6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6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6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6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6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6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6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6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6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6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6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6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6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6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6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6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6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6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6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6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6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6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6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6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6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6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6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6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6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6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6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6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6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6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6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6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6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6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6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6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6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6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6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6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6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6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6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6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6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6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6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6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6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6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6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6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6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6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6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6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6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6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6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6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6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6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6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6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6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6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6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6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6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6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6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6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6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6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6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6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6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6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6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6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6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6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6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6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6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6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6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6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6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6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6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6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6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6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6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6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6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6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6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6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6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6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6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6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6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6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6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6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6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6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6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6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6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6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6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6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6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6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6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6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6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6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6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6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6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6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6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6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6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6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6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6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6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6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6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6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6">#REF!</definedName>
    <definedName name="д" localSheetId="16">#REF!</definedName>
    <definedName name="д" localSheetId="17">#REF!</definedName>
    <definedName name="д" localSheetId="8">#REF!</definedName>
    <definedName name="д" localSheetId="10">#REF!</definedName>
    <definedName name="д" localSheetId="13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6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6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6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6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6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6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6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6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6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6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6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6">#REF!</definedName>
    <definedName name="дд" localSheetId="16">#REF!</definedName>
    <definedName name="дд" localSheetId="17">#REF!</definedName>
    <definedName name="дд" localSheetId="8">#REF!</definedName>
    <definedName name="дд" localSheetId="10">#REF!</definedName>
    <definedName name="дд" localSheetId="13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6">#REF!</definedName>
    <definedName name="дддд" localSheetId="16">#REF!</definedName>
    <definedName name="дддд" localSheetId="17">#REF!</definedName>
    <definedName name="дддд" localSheetId="8">#REF!</definedName>
    <definedName name="дддд" localSheetId="10">#REF!</definedName>
    <definedName name="дддд" localSheetId="13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6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6">#REF!</definedName>
    <definedName name="де" localSheetId="16">#REF!</definedName>
    <definedName name="де" localSheetId="17">#REF!</definedName>
    <definedName name="де" localSheetId="8">#REF!</definedName>
    <definedName name="де" localSheetId="10">#REF!</definedName>
    <definedName name="де" localSheetId="13">#REF!</definedName>
    <definedName name="де" localSheetId="14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6">#REF!</definedName>
    <definedName name="дефл." localSheetId="16">#REF!</definedName>
    <definedName name="дефл." localSheetId="17">#REF!</definedName>
    <definedName name="дефл." localSheetId="8">#REF!</definedName>
    <definedName name="дефл." localSheetId="10">#REF!</definedName>
    <definedName name="дефл." localSheetId="13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6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6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6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6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6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6">#REF!</definedName>
    <definedName name="до" localSheetId="16">#REF!</definedName>
    <definedName name="до" localSheetId="17">#REF!</definedName>
    <definedName name="до" localSheetId="8">#REF!</definedName>
    <definedName name="до" localSheetId="10">#REF!</definedName>
    <definedName name="до" localSheetId="13">#REF!</definedName>
    <definedName name="до" localSheetId="14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6">#REF!</definedName>
    <definedName name="дол" localSheetId="16">#REF!</definedName>
    <definedName name="дол" localSheetId="17">#REF!</definedName>
    <definedName name="дол" localSheetId="8">#REF!</definedName>
    <definedName name="дол" localSheetId="10">#REF!</definedName>
    <definedName name="дол" localSheetId="13">#REF!</definedName>
    <definedName name="дол" localSheetId="14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6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6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6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6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6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6">#REF!</definedName>
    <definedName name="ДС" localSheetId="16">#REF!</definedName>
    <definedName name="ДС" localSheetId="17">#REF!</definedName>
    <definedName name="ДС" localSheetId="8">#REF!</definedName>
    <definedName name="ДС" localSheetId="10">#REF!</definedName>
    <definedName name="ДС" localSheetId="13">#REF!</definedName>
    <definedName name="ДС" localSheetId="14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6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6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6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6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6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6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6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6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6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6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6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6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6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6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6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6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6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6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6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6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6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6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6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6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6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6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6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6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6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6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6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6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6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6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6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6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6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6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6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6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6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6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6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6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6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6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6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6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6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6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6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6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6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6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6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6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6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6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6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6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6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6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6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6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6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6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6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6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6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6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6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6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6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6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6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6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6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6">#REF!</definedName>
    <definedName name="ж" localSheetId="16">#REF!</definedName>
    <definedName name="ж" localSheetId="17">#REF!</definedName>
    <definedName name="ж" localSheetId="8">#REF!</definedName>
    <definedName name="ж" localSheetId="10">#REF!</definedName>
    <definedName name="ж" localSheetId="13">#REF!</definedName>
    <definedName name="ж" localSheetId="14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6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6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5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6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6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6">#REF!</definedName>
    <definedName name="зз" localSheetId="16">#REF!</definedName>
    <definedName name="зз" localSheetId="17">#REF!</definedName>
    <definedName name="зз" localSheetId="8">#REF!</definedName>
    <definedName name="зз" localSheetId="10">#REF!</definedName>
    <definedName name="зз" localSheetId="13">#REF!</definedName>
    <definedName name="зз" localSheetId="14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6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6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6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6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6">#REF!</definedName>
    <definedName name="иии" localSheetId="16">#REF!</definedName>
    <definedName name="иии" localSheetId="17">#REF!</definedName>
    <definedName name="иии" localSheetId="8">#REF!</definedName>
    <definedName name="иии" localSheetId="10">#REF!</definedName>
    <definedName name="иии" localSheetId="13">#REF!</definedName>
    <definedName name="иии" localSheetId="14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6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6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6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6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6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6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 localSheetId="13">#REF!</definedName>
    <definedName name="Ини" localSheetId="14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6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6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6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6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6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6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6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6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6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6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6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6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6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6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6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6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6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6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6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6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6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6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6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6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6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6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6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6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6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6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6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6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6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6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6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6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6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6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6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6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6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6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6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6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6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6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6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6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6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6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6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6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6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6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6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6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6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6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6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6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6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6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6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6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6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6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6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6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6">#REF!</definedName>
    <definedName name="кк" localSheetId="16">#REF!</definedName>
    <definedName name="кк" localSheetId="17">#REF!</definedName>
    <definedName name="кк" localSheetId="8">#REF!</definedName>
    <definedName name="кк" localSheetId="10">#REF!</definedName>
    <definedName name="кк" localSheetId="13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6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6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6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6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6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6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 localSheetId="13">#REF!</definedName>
    <definedName name="комплект" localSheetId="14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6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6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6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6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3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6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6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6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6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6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6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6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6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6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6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6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6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6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6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6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6">#REF!</definedName>
    <definedName name="лд" localSheetId="16">#REF!</definedName>
    <definedName name="лд" localSheetId="17">#REF!</definedName>
    <definedName name="лд" localSheetId="8">#REF!</definedName>
    <definedName name="лд" localSheetId="10">#REF!</definedName>
    <definedName name="лд" localSheetId="13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6">#REF!</definedName>
    <definedName name="лдд" localSheetId="16">#REF!</definedName>
    <definedName name="лдд" localSheetId="17">#REF!</definedName>
    <definedName name="лдд" localSheetId="8">#REF!</definedName>
    <definedName name="лдд" localSheetId="10">#REF!</definedName>
    <definedName name="лдд" localSheetId="13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6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6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6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6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6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6">#REF!</definedName>
    <definedName name="лл" localSheetId="16">#REF!</definedName>
    <definedName name="лл" localSheetId="17">#REF!</definedName>
    <definedName name="лл" localSheetId="8">#REF!</definedName>
    <definedName name="лл" localSheetId="10">#REF!</definedName>
    <definedName name="лл" localSheetId="13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6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6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6">#REF!</definedName>
    <definedName name="ллл" localSheetId="16">#REF!</definedName>
    <definedName name="ллл" localSheetId="17">#REF!</definedName>
    <definedName name="ллл" localSheetId="8">#REF!</definedName>
    <definedName name="ллл" localSheetId="10">#REF!</definedName>
    <definedName name="ллл" localSheetId="13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6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6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6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6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6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6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6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6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6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6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6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6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6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6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6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6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6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6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6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3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6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6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6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6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6">#REF!</definedName>
    <definedName name="Модель2" localSheetId="16">#REF!</definedName>
    <definedName name="Модель2" localSheetId="17">#REF!</definedName>
    <definedName name="Модель2" localSheetId="8">#REF!</definedName>
    <definedName name="Модель2" localSheetId="10">#REF!</definedName>
    <definedName name="Модель2" localSheetId="13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6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6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6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6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6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6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6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6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6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6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6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6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6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6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6">#REF!</definedName>
    <definedName name="нн" localSheetId="16">#REF!</definedName>
    <definedName name="нн" localSheetId="17">#REF!</definedName>
    <definedName name="нн" localSheetId="8">#REF!</definedName>
    <definedName name="нн" localSheetId="10">#REF!</definedName>
    <definedName name="нн" localSheetId="13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6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6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6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6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6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 localSheetId="13">#REF!</definedName>
    <definedName name="НормаАУП_на_УЕ" localSheetId="14">#REF!</definedName>
    <definedName name="НормаАУП_на_УЕ">#REF!</definedName>
    <definedName name="НормаПП_на_УЕ" localSheetId="10">#REF!</definedName>
    <definedName name="НормаПП_на_УЕ" localSheetId="13">#REF!</definedName>
    <definedName name="НормаПП_на_УЕ" localSheetId="14">#REF!</definedName>
    <definedName name="НормаПП_на_УЕ">#REF!</definedName>
    <definedName name="НормаРостаУЕ" localSheetId="10">#REF!</definedName>
    <definedName name="НормаРостаУЕ" localSheetId="13">#REF!</definedName>
    <definedName name="НормаРостаУЕ" localSheetId="14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6">граж</definedName>
    <definedName name="нр" localSheetId="15">граж</definedName>
    <definedName name="нр" localSheetId="17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3">граж</definedName>
    <definedName name="нр" localSheetId="14">граж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5">'Прил. 3'!$A$1:$H$71</definedName>
    <definedName name="_xlnm.Print_Area" localSheetId="7">'Прил.4 РМ'!$A$1:$E$48</definedName>
    <definedName name="_xlnm.Print_Area" localSheetId="8">'Прил.5 Расчет СМР и ОБ'!$A$1:$J$85</definedName>
    <definedName name="_xlnm.Print_Area" localSheetId="13">ФОТи1.тек.!$A$1:$F$13</definedName>
    <definedName name="_xlnm.Print_Area" localSheetId="14">ФОТи2.тек.!$A$1:$F$13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6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6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6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6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6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6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6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6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6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6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6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6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6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6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6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6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6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6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6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6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6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6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6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6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6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6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6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6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6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6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6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6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6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6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6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6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6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6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6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6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6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6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6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6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6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6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6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6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6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6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6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6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6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6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6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6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6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6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6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6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6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6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6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6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6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6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6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6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6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6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6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6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6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6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6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6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6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6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6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6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6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6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6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6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6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6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6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6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6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6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6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6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6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6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6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6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6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6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6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6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6">#REF!</definedName>
    <definedName name="ол" localSheetId="16">#REF!</definedName>
    <definedName name="ол" localSheetId="17">#REF!</definedName>
    <definedName name="ол" localSheetId="8">#REF!</definedName>
    <definedName name="ол" localSheetId="10">#REF!</definedName>
    <definedName name="ол" localSheetId="13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6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6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6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6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6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6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6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6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6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6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6">#REF!</definedName>
    <definedName name="ооо" localSheetId="16">#REF!</definedName>
    <definedName name="ооо" localSheetId="17">#REF!</definedName>
    <definedName name="ооо" localSheetId="8">#REF!</definedName>
    <definedName name="ооо" localSheetId="10">#REF!</definedName>
    <definedName name="ооо" localSheetId="13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6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6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6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6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6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6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6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6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6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6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 localSheetId="13">#REF!</definedName>
    <definedName name="ОсвоениеИмущества" localSheetId="14">#REF!</definedName>
    <definedName name="ОсвоениеИмущества">#REF!</definedName>
    <definedName name="ОсвоениеИП" localSheetId="10">#REF!</definedName>
    <definedName name="ОсвоениеИП" localSheetId="13">#REF!</definedName>
    <definedName name="ОсвоениеИП" localSheetId="14">#REF!</definedName>
    <definedName name="ОсвоениеИП">#REF!</definedName>
    <definedName name="ОсвоениеНИОКР" localSheetId="10">#REF!</definedName>
    <definedName name="ОсвоениеНИОКР" localSheetId="13">#REF!</definedName>
    <definedName name="ОсвоениеНИОКР" localSheetId="14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6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 localSheetId="13">#REF!</definedName>
    <definedName name="ОтпускИзЕНЭС" localSheetId="14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6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6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6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6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6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6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6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6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6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6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6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6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6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6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6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6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6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6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6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6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6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6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6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6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6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6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6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6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6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6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6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6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6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6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6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6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6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6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6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6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6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6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6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6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6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6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6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6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6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6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 localSheetId="13">#REF!</definedName>
    <definedName name="ПотериНорма" localSheetId="14">#REF!</definedName>
    <definedName name="ПотериНорма">#REF!</definedName>
    <definedName name="ПотериФакт" localSheetId="10">#REF!</definedName>
    <definedName name="ПотериФакт" localSheetId="13">#REF!</definedName>
    <definedName name="ПотериФакт" localSheetId="14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6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6">#REF!</definedName>
    <definedName name="пп" localSheetId="16">#REF!</definedName>
    <definedName name="пп" localSheetId="17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6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6">#REF!</definedName>
    <definedName name="ппп" localSheetId="16">#REF!</definedName>
    <definedName name="ппп" localSheetId="17">#REF!</definedName>
    <definedName name="ппп" localSheetId="8">#REF!</definedName>
    <definedName name="ппп" localSheetId="10">#REF!</definedName>
    <definedName name="ппп" localSheetId="13">#REF!</definedName>
    <definedName name="ппп" localSheetId="14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6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6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6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6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6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6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6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6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6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6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6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6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6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6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6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6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6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6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6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6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6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6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6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6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6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6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6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6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6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6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6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6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6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6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6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6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6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6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6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6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6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6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6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6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6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6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6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6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6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6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6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6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6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6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6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6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6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6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6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6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6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6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6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6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6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6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6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6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6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6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6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6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6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6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6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6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6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6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6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6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6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6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6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6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6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6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6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6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6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6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6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6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6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6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6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6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 localSheetId="13">#REF!</definedName>
    <definedName name="Расшифровка" localSheetId="14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6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6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6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6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6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6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6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6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6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6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6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6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6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6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6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6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6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6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6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6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6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6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6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6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6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6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6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6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6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6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6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6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6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6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6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6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6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6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6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6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6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6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3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6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6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6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6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6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6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6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6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6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6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6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6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6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6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6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6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6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6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6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6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6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6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6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6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6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6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6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6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6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6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6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6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6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 localSheetId="13">#REF!</definedName>
    <definedName name="СтавкаАмортизации" localSheetId="14">#REF!</definedName>
    <definedName name="СтавкаАмортизации">#REF!</definedName>
    <definedName name="СтавкаДепозитов" localSheetId="10">#REF!</definedName>
    <definedName name="СтавкаДепозитов" localSheetId="13">#REF!</definedName>
    <definedName name="СтавкаДепозитов" localSheetId="14">#REF!</definedName>
    <definedName name="СтавкаДепозитов">#REF!</definedName>
    <definedName name="СтавкаДивидендов" localSheetId="10">#REF!</definedName>
    <definedName name="СтавкаДивидендов" localSheetId="13">#REF!</definedName>
    <definedName name="СтавкаДивидендов" localSheetId="14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 localSheetId="13">#REF!</definedName>
    <definedName name="страх" localSheetId="14">#REF!</definedName>
    <definedName name="страх">#REF!</definedName>
    <definedName name="страхов" localSheetId="10">#REF!</definedName>
    <definedName name="страхов" localSheetId="13">#REF!</definedName>
    <definedName name="страхов" localSheetId="14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6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6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6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6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6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6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6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6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6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6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6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6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6">#REF!</definedName>
    <definedName name="ттт" localSheetId="16">#REF!</definedName>
    <definedName name="ттт" localSheetId="17">#REF!</definedName>
    <definedName name="ттт" localSheetId="8">#REF!</definedName>
    <definedName name="ттт" localSheetId="10">#REF!</definedName>
    <definedName name="ттт" localSheetId="13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6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6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3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6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6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6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6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6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6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6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6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6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6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6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6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6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6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6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6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6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6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6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6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6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6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6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6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6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6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6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6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6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 localSheetId="13">#REF!</definedName>
    <definedName name="УслугиТОиР_ГС" localSheetId="14">#REF!</definedName>
    <definedName name="УслугиТОиР_ГС">#REF!</definedName>
    <definedName name="УслугиТОиР_ЭСС" localSheetId="10">#REF!</definedName>
    <definedName name="УслугиТОиР_ЭСС" localSheetId="13">#REF!</definedName>
    <definedName name="УслугиТОиР_ЭСС" localSheetId="14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6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6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6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6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6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6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6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6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6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6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6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6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6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6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6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6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6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6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6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6">#REF!</definedName>
    <definedName name="ффф" localSheetId="16">#REF!</definedName>
    <definedName name="ффф" localSheetId="17">#REF!</definedName>
    <definedName name="ффф" localSheetId="8">#REF!</definedName>
    <definedName name="ффф" localSheetId="10">#REF!</definedName>
    <definedName name="ффф" localSheetId="13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6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6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6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6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6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6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6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6">#REF!</definedName>
    <definedName name="хх" localSheetId="16">#REF!</definedName>
    <definedName name="хх" localSheetId="17">#REF!</definedName>
    <definedName name="хх" localSheetId="8">#REF!</definedName>
    <definedName name="хх" localSheetId="10">#REF!</definedName>
    <definedName name="хх" localSheetId="13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6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6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6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6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6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6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6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6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6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6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6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6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6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6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6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6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6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6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6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6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6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6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6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6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6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6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6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6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6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6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6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6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6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6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6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6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6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6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6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6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6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6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6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6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6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6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6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6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6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6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6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6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6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6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6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6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6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6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6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6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6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6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6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6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6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6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6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6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6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6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6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6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6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6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6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6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6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6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6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6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6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6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6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6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6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6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6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6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6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6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6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6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6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6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6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6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6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6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6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6">#REF!</definedName>
    <definedName name="цц" localSheetId="16">#REF!</definedName>
    <definedName name="цц" localSheetId="17">#REF!</definedName>
    <definedName name="цц" localSheetId="8">#REF!</definedName>
    <definedName name="цц" localSheetId="10">#REF!</definedName>
    <definedName name="цц" localSheetId="13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6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6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6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6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6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6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6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6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6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6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6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6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6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6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6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6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6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6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6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6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6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6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6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6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6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6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6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6">#REF!</definedName>
    <definedName name="шш" localSheetId="16">#REF!</definedName>
    <definedName name="шш" localSheetId="17">#REF!</definedName>
    <definedName name="шш" localSheetId="8">#REF!</definedName>
    <definedName name="шш" localSheetId="10">#REF!</definedName>
    <definedName name="шш" localSheetId="13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6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6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6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6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6">#REF!</definedName>
    <definedName name="щщ" localSheetId="16">#REF!</definedName>
    <definedName name="щщ" localSheetId="17">#REF!</definedName>
    <definedName name="щщ" localSheetId="8">#REF!</definedName>
    <definedName name="щщ" localSheetId="10">#REF!</definedName>
    <definedName name="щщ" localSheetId="13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6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6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6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6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6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6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6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6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6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6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6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6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6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6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6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6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6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6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6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6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6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6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6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6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6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6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6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6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6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6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6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6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6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6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6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6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6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6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6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6">#REF!</definedName>
    <definedName name="ььь" localSheetId="16">#REF!</definedName>
    <definedName name="ььь" localSheetId="17">#REF!</definedName>
    <definedName name="ььь" localSheetId="8">#REF!</definedName>
    <definedName name="ььь" localSheetId="10">#REF!</definedName>
    <definedName name="ььь" localSheetId="13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6">#REF!</definedName>
    <definedName name="э" localSheetId="16">#REF!</definedName>
    <definedName name="э" localSheetId="17">#REF!</definedName>
    <definedName name="э" localSheetId="8">#REF!</definedName>
    <definedName name="э" localSheetId="10">#REF!</definedName>
    <definedName name="э" localSheetId="13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6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6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6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6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6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6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6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6">граж</definedName>
    <definedName name="ЭКСПО" localSheetId="15">граж</definedName>
    <definedName name="ЭКСПО" localSheetId="17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3">граж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6">граж</definedName>
    <definedName name="ЭКСПОФОРУМ" localSheetId="15">граж</definedName>
    <definedName name="ЭКСПОФОРУМ" localSheetId="17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3">граж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6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6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6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6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6">#REF!</definedName>
    <definedName name="юююю" localSheetId="16">#REF!</definedName>
    <definedName name="юююю" localSheetId="17">#REF!</definedName>
    <definedName name="юююю" localSheetId="8">#REF!</definedName>
    <definedName name="юююю" localSheetId="10">#REF!</definedName>
    <definedName name="юююю" localSheetId="13">#REF!</definedName>
    <definedName name="юююю" localSheetId="14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6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6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6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6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6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6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6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6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E13" i="14"/>
  <c r="E8" i="14"/>
  <c r="E29" i="13"/>
  <c r="E24" i="13"/>
  <c r="E21" i="13"/>
  <c r="E16" i="13"/>
  <c r="E13" i="13"/>
  <c r="E8" i="13"/>
  <c r="D11" i="11"/>
  <c r="C11" i="11"/>
  <c r="D5" i="11"/>
  <c r="G16" i="10"/>
  <c r="G15" i="10"/>
  <c r="G14" i="10"/>
  <c r="G13" i="10"/>
  <c r="G12" i="10"/>
  <c r="J79" i="9"/>
  <c r="G79" i="9"/>
  <c r="J78" i="9"/>
  <c r="G78" i="9"/>
  <c r="J77" i="9"/>
  <c r="G77" i="9"/>
  <c r="J76" i="9"/>
  <c r="G76" i="9"/>
  <c r="J75" i="9"/>
  <c r="G75" i="9"/>
  <c r="J74" i="9"/>
  <c r="G74" i="9"/>
  <c r="J73" i="9"/>
  <c r="G73" i="9"/>
  <c r="J72" i="9"/>
  <c r="H72" i="9"/>
  <c r="G72" i="9"/>
  <c r="J71" i="9"/>
  <c r="I71" i="9"/>
  <c r="H71" i="9"/>
  <c r="G71" i="9"/>
  <c r="J70" i="9"/>
  <c r="I70" i="9"/>
  <c r="H70" i="9"/>
  <c r="G70" i="9"/>
  <c r="J69" i="9"/>
  <c r="I69" i="9"/>
  <c r="H69" i="9"/>
  <c r="G69" i="9"/>
  <c r="J68" i="9"/>
  <c r="I68" i="9"/>
  <c r="H68" i="9"/>
  <c r="G68" i="9"/>
  <c r="J67" i="9"/>
  <c r="I67" i="9"/>
  <c r="H67" i="9"/>
  <c r="G67" i="9"/>
  <c r="J66" i="9"/>
  <c r="I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E57" i="9"/>
  <c r="J56" i="9"/>
  <c r="I56" i="9"/>
  <c r="H56" i="9"/>
  <c r="G56" i="9"/>
  <c r="J55" i="9"/>
  <c r="I55" i="9"/>
  <c r="H55" i="9"/>
  <c r="G55" i="9"/>
  <c r="J54" i="9"/>
  <c r="I54" i="9"/>
  <c r="H54" i="9"/>
  <c r="G54" i="9"/>
  <c r="E54" i="9"/>
  <c r="J53" i="9"/>
  <c r="H53" i="9"/>
  <c r="G53" i="9"/>
  <c r="J52" i="9"/>
  <c r="I52" i="9"/>
  <c r="H52" i="9"/>
  <c r="G52" i="9"/>
  <c r="J51" i="9"/>
  <c r="I51" i="9"/>
  <c r="H51" i="9"/>
  <c r="G51" i="9"/>
  <c r="J50" i="9"/>
  <c r="I50" i="9"/>
  <c r="H50" i="9"/>
  <c r="G50" i="9"/>
  <c r="J49" i="9"/>
  <c r="I49" i="9"/>
  <c r="H49" i="9"/>
  <c r="G49" i="9"/>
  <c r="E49" i="9"/>
  <c r="J48" i="9"/>
  <c r="I48" i="9"/>
  <c r="H48" i="9"/>
  <c r="G48" i="9"/>
  <c r="E48" i="9"/>
  <c r="J45" i="9"/>
  <c r="G45" i="9"/>
  <c r="J44" i="9"/>
  <c r="H44" i="9"/>
  <c r="G44" i="9"/>
  <c r="J43" i="9"/>
  <c r="H43" i="9"/>
  <c r="G43" i="9"/>
  <c r="J42" i="9"/>
  <c r="H42" i="9"/>
  <c r="G42" i="9"/>
  <c r="F42" i="9"/>
  <c r="J41" i="9"/>
  <c r="H41" i="9"/>
  <c r="G41" i="9"/>
  <c r="F41" i="9"/>
  <c r="J40" i="9"/>
  <c r="H40" i="9"/>
  <c r="G40" i="9"/>
  <c r="J39" i="9"/>
  <c r="H39" i="9"/>
  <c r="G39" i="9"/>
  <c r="F39" i="9"/>
  <c r="J36" i="9"/>
  <c r="G36" i="9"/>
  <c r="J35" i="9"/>
  <c r="H35" i="9"/>
  <c r="G35" i="9"/>
  <c r="J34" i="9"/>
  <c r="I34" i="9"/>
  <c r="H34" i="9"/>
  <c r="G34" i="9"/>
  <c r="J33" i="9"/>
  <c r="I33" i="9"/>
  <c r="H33" i="9"/>
  <c r="G33" i="9"/>
  <c r="J32" i="9"/>
  <c r="I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H25" i="9"/>
  <c r="G25" i="9"/>
  <c r="J24" i="9"/>
  <c r="I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18" i="9"/>
  <c r="I18" i="9"/>
  <c r="G18" i="9"/>
  <c r="F18" i="9"/>
  <c r="J16" i="9"/>
  <c r="G16" i="9"/>
  <c r="E16" i="9"/>
  <c r="J15" i="9"/>
  <c r="I15" i="9"/>
  <c r="H15" i="9"/>
  <c r="E15" i="9"/>
  <c r="J14" i="9"/>
  <c r="I14" i="9"/>
  <c r="H14" i="9"/>
  <c r="E14" i="9"/>
  <c r="J13" i="9"/>
  <c r="I13" i="9"/>
  <c r="H13" i="9"/>
  <c r="E13" i="9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E30" i="8"/>
  <c r="C30" i="8"/>
  <c r="E29" i="8"/>
  <c r="C29" i="8"/>
  <c r="E27" i="8"/>
  <c r="C27" i="8"/>
  <c r="E26" i="8"/>
  <c r="C26" i="8"/>
  <c r="E25" i="8"/>
  <c r="C25" i="8"/>
  <c r="E24" i="8"/>
  <c r="D24" i="8"/>
  <c r="C24" i="8"/>
  <c r="C23" i="8"/>
  <c r="E22" i="8"/>
  <c r="D22" i="8"/>
  <c r="C22" i="8"/>
  <c r="C21" i="8"/>
  <c r="E20" i="8"/>
  <c r="D20" i="8"/>
  <c r="C20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B36" i="7"/>
  <c r="D35" i="7"/>
  <c r="B35" i="7"/>
  <c r="D34" i="7"/>
  <c r="B34" i="7"/>
  <c r="D33" i="7"/>
  <c r="B33" i="7"/>
  <c r="D32" i="7"/>
  <c r="B32" i="7"/>
  <c r="D30" i="7"/>
  <c r="B30" i="7"/>
  <c r="D28" i="7"/>
  <c r="B28" i="7"/>
  <c r="D27" i="7"/>
  <c r="B27" i="7"/>
  <c r="D26" i="7"/>
  <c r="B26" i="7"/>
  <c r="D24" i="7"/>
  <c r="B24" i="7"/>
  <c r="D23" i="7"/>
  <c r="B23" i="7"/>
  <c r="D22" i="7"/>
  <c r="B22" i="7"/>
  <c r="D21" i="7"/>
  <c r="C21" i="7"/>
  <c r="B21" i="7"/>
  <c r="B20" i="7"/>
  <c r="D19" i="7"/>
  <c r="C19" i="7"/>
  <c r="B19" i="7"/>
  <c r="B18" i="7"/>
  <c r="D17" i="7"/>
  <c r="C17" i="7"/>
  <c r="B17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A4" i="7"/>
  <c r="A2" i="7"/>
  <c r="H61" i="6"/>
  <c r="A61" i="6"/>
  <c r="H60" i="6"/>
  <c r="A60" i="6"/>
  <c r="H59" i="6"/>
  <c r="A59" i="6"/>
  <c r="H58" i="6"/>
  <c r="A58" i="6"/>
  <c r="H57" i="6"/>
  <c r="A57" i="6"/>
  <c r="H56" i="6"/>
  <c r="A56" i="6"/>
  <c r="H55" i="6"/>
  <c r="A55" i="6"/>
  <c r="H54" i="6"/>
  <c r="A54" i="6"/>
  <c r="H53" i="6"/>
  <c r="A53" i="6"/>
  <c r="H52" i="6"/>
  <c r="A52" i="6"/>
  <c r="H51" i="6"/>
  <c r="A51" i="6"/>
  <c r="H50" i="6"/>
  <c r="A50" i="6"/>
  <c r="H49" i="6"/>
  <c r="A49" i="6"/>
  <c r="H48" i="6"/>
  <c r="A48" i="6"/>
  <c r="H47" i="6"/>
  <c r="F47" i="6"/>
  <c r="A47" i="6"/>
  <c r="H46" i="6"/>
  <c r="A46" i="6"/>
  <c r="H45" i="6"/>
  <c r="A45" i="6"/>
  <c r="H44" i="6"/>
  <c r="F44" i="6"/>
  <c r="A44" i="6"/>
  <c r="H43" i="6"/>
  <c r="A43" i="6"/>
  <c r="H42" i="6"/>
  <c r="A42" i="6"/>
  <c r="H41" i="6"/>
  <c r="A41" i="6"/>
  <c r="H40" i="6"/>
  <c r="F40" i="6"/>
  <c r="A40" i="6"/>
  <c r="H39" i="6"/>
  <c r="F39" i="6"/>
  <c r="A39" i="6"/>
  <c r="H38" i="6"/>
  <c r="H37" i="6"/>
  <c r="A37" i="6"/>
  <c r="H36" i="6"/>
  <c r="A36" i="6"/>
  <c r="H35" i="6"/>
  <c r="A35" i="6"/>
  <c r="H34" i="6"/>
  <c r="H33" i="6"/>
  <c r="A33" i="6"/>
  <c r="H32" i="6"/>
  <c r="A32" i="6"/>
  <c r="H31" i="6"/>
  <c r="A31" i="6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19" i="6"/>
  <c r="H18" i="6"/>
  <c r="H17" i="6"/>
  <c r="H16" i="6"/>
  <c r="H15" i="6"/>
  <c r="H14" i="6"/>
  <c r="H13" i="6"/>
  <c r="H12" i="6"/>
  <c r="F12" i="6"/>
  <c r="I14" i="5"/>
  <c r="H13" i="5"/>
  <c r="H14" i="5" s="1"/>
  <c r="G13" i="5"/>
  <c r="G14" i="5" s="1"/>
  <c r="F13" i="5"/>
  <c r="J13" i="5" s="1"/>
  <c r="J12" i="5"/>
  <c r="D24" i="4"/>
  <c r="D23" i="4"/>
  <c r="D21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F14" i="5" l="1"/>
  <c r="J14" i="5" s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<sst xmlns="http://schemas.openxmlformats.org/spreadsheetml/2006/main" count="950" uniqueCount="474">
  <si>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</si>
  <si>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</si>
  <si>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</si>
  <si>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</si>
  <si>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</si>
  <si>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</si>
  <si>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</si>
  <si>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</si>
  <si>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</si>
  <si>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</si>
  <si>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</si>
  <si>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</si>
  <si>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</si>
  <si>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</si>
  <si>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</si>
  <si>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</si>
  <si>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</si>
  <si>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</si>
  <si>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</si>
  <si>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</si>
  <si>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</si>
  <si>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</si>
  <si>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</si>
  <si>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</si>
  <si>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</si>
  <si>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</si>
  <si>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</si>
  <si>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</si>
  <si>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</si>
  <si>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</si>
  <si>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</si>
  <si>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</si>
  <si>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</si>
  <si>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</si>
  <si>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</si>
  <si>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</si>
  <si>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</si>
  <si>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</si>
  <si>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</si>
  <si>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</si>
  <si>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</si>
  <si>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</si>
  <si>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</si>
  <si>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</si>
  <si>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</si>
  <si>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</si>
  <si>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</si>
  <si>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</si>
  <si>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Элементы ПС без устройства фундаментов. Цифровой ТН на три фазы 330 кВ.</t>
  </si>
  <si>
    <t>Сопоставимый уровень цен: 4 кв. 2017г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</si>
  <si>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</si>
  <si>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</si>
  <si>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</si>
  <si>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</si>
  <si>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ПС 500 кВ Дальневосточная. Реконструкция ОРУ-500 кВ яч.1-3,без замены выключателей</t>
  </si>
  <si>
    <t>Наименование субъекта Российской Федерации</t>
  </si>
  <si>
    <t>Приморский край, Черниговский район</t>
  </si>
  <si>
    <t>Климатический район и подрайон</t>
  </si>
  <si>
    <t> 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</si>
  <si>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</si>
  <si>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</si>
  <si>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Цифровой трансформатор напряжения 330, 2000 ВА - 3 шт,
Шкаф ЯЗН-11-АСКУЭ - 1 шт.
Шкаф догрузочных резисторов - 1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</si>
  <si>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</si>
  <si>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</si>
  <si>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</si>
  <si>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</si>
  <si>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</si>
  <si>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</si>
  <si>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</si>
  <si>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</si>
  <si>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</si>
  <si>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</si>
  <si>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2017г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</si>
  <si>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</si>
  <si>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</si>
  <si>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</si>
  <si>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</si>
  <si>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</si>
  <si>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</si>
  <si>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</si>
  <si>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</si>
  <si>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</si>
  <si>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</si>
  <si>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</si>
  <si>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</si>
  <si>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 4 кв. 2017г., тыс. руб.</t>
  </si>
  <si>
    <t>Строительные работы</t>
  </si>
  <si>
    <t>Монтажные работы</t>
  </si>
  <si>
    <t>Прочее</t>
  </si>
  <si>
    <t>Всего</t>
  </si>
  <si>
    <t xml:space="preserve"> 02-02-02</t>
  </si>
  <si>
    <t xml:space="preserve">ОРУ. Приобретение и монтаж электротехнического оборудования </t>
  </si>
  <si>
    <t>Всего по объекту:</t>
  </si>
  <si>
    <t>Всего по объекту в сопоставимом уровне цен  4 кв. 2017г:</t>
  </si>
  <si>
    <r>
      <t xml:space="preserve">Составил </t>
    </r>
    <r>
      <rPr>
        <u/>
        <sz val="10"/>
        <color rgb="FF000000"/>
        <rFont val="Arial"/>
      </rPr>
      <t>______________________    Е. М. Добровольская</t>
    </r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</si>
  <si>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</si>
  <si>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</si>
  <si>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</si>
  <si>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</si>
  <si>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</si>
  <si>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</si>
  <si>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</si>
  <si>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</si>
  <si>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</si>
  <si>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</si>
  <si>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</si>
  <si>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</si>
  <si>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</si>
  <si>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</t>
  </si>
  <si>
    <t>10-30-1</t>
  </si>
  <si>
    <t>Инженер I категории</t>
  </si>
  <si>
    <t>чел.час</t>
  </si>
  <si>
    <t>2</t>
  </si>
  <si>
    <t>1-4-0</t>
  </si>
  <si>
    <t>Затраты труда рабочих (средний разряд работы 4,0)</t>
  </si>
  <si>
    <t>3</t>
  </si>
  <si>
    <t>10-30-2</t>
  </si>
  <si>
    <t>Инженер II категории</t>
  </si>
  <si>
    <t>4</t>
  </si>
  <si>
    <t>1-3-8</t>
  </si>
  <si>
    <t>Затраты труда рабочих (средний разряд работы 3,8)</t>
  </si>
  <si>
    <t>5</t>
  </si>
  <si>
    <t>1-3-2</t>
  </si>
  <si>
    <t>Затраты труда рабочих (средний разряд работы 3,2)</t>
  </si>
  <si>
    <t>Затраты труда машинистов</t>
  </si>
  <si>
    <t>Машины и механизмы</t>
  </si>
  <si>
    <t>91.11.01-012</t>
  </si>
  <si>
    <t>Машины монтажные для выполнения работ при прокладке и монтаже кабеля на базе автомобиля</t>
  </si>
  <si>
    <t>маш.час</t>
  </si>
  <si>
    <t>91.05.05-014</t>
  </si>
  <si>
    <t>Краны на автомобильном ходу, грузоподъемность 10 т</t>
  </si>
  <si>
    <t>91.10.01-002</t>
  </si>
  <si>
    <t>Агрегаты наполнительно-опрессовочные: до 300 м3/ч</t>
  </si>
  <si>
    <t>91.06.03-058</t>
  </si>
  <si>
    <t>Лебедки электрические тяговым усилием: 156,96 кН (16 т)</t>
  </si>
  <si>
    <t>91.06.06-042</t>
  </si>
  <si>
    <t>Подъемники гидравлические высотой подъема: 10 м</t>
  </si>
  <si>
    <t>91.14.02-001</t>
  </si>
  <si>
    <t>Автомобили бортовые, грузоподъемность: до 5 т</t>
  </si>
  <si>
    <t>91.17.04-233</t>
  </si>
  <si>
    <t>Установки для сварки: ручной дуговой (постоянного тока)</t>
  </si>
  <si>
    <t>91.06.01-003</t>
  </si>
  <si>
    <t>Домкраты гидравлические, грузоподъемность 63-100 т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</si>
  <si>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</si>
  <si>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</si>
  <si>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</si>
  <si>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</si>
  <si>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</si>
  <si>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</si>
  <si>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</si>
  <si>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</si>
  <si>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</si>
  <si>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</si>
  <si>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</si>
  <si>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>Цифровой трансформатор напряжения 330, 2000 ВА</t>
  </si>
  <si>
    <t>шт.</t>
  </si>
  <si>
    <t>Шкаф ЯЗН-11-АСКУЭ</t>
  </si>
  <si>
    <t>62.1.02.01-0168</t>
  </si>
  <si>
    <t>Шкаф догрузочных резисторов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</si>
  <si>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</si>
  <si>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</si>
  <si>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</si>
  <si>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</si>
  <si>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</si>
  <si>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</si>
  <si>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21.2.01.02-0094</t>
  </si>
  <si>
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</si>
  <si>
    <t>т</t>
  </si>
  <si>
    <t>20.1.01.02-0009</t>
  </si>
  <si>
    <t>Зажим аппаратный прессуемый: 2А6А-300-3</t>
  </si>
  <si>
    <t>100 шт</t>
  </si>
  <si>
    <t>20.1.01.02-0010</t>
  </si>
  <si>
    <t>Зажим аппаратный прессуемый: 2А6А-300-4</t>
  </si>
  <si>
    <t>05.1.01.10-0131</t>
  </si>
  <si>
    <t>Лотки каналов и тоннелей железобетонные для прокладки коммуникаций</t>
  </si>
  <si>
    <t>м3</t>
  </si>
  <si>
    <t>01.7.17.11-0001</t>
  </si>
  <si>
    <t>Бумага шлифовальная</t>
  </si>
  <si>
    <t>кг</t>
  </si>
  <si>
    <t>999-9950</t>
  </si>
  <si>
    <t>Вспомогательные ненормируемые ресурсы (2% от Оплаты труда рабочих)</t>
  </si>
  <si>
    <t>руб</t>
  </si>
  <si>
    <t>02.2.05.04-1777</t>
  </si>
  <si>
    <t>Щебень М 800, фракция 20-40 мм, группа 2</t>
  </si>
  <si>
    <t>01.7.15.03-0042</t>
  </si>
  <si>
    <t>Болты с гайками и шайбами строительные</t>
  </si>
  <si>
    <t>14.4.02.09-0001</t>
  </si>
  <si>
    <t>Краска</t>
  </si>
  <si>
    <t>08.3.07.01-0043</t>
  </si>
  <si>
    <t>Сталь полосовая: 40х5 мм, марка Ст3сп</t>
  </si>
  <si>
    <t>08.3.07.01-0076</t>
  </si>
  <si>
    <t>Сталь полосовая, марка стали: Ст3сп шириной 50-200 мм толщиной 4-5 мм</t>
  </si>
  <si>
    <t>14.4.02.09-0301</t>
  </si>
  <si>
    <t>Краска "Цинол"</t>
  </si>
  <si>
    <t>01.7.20.08-0031</t>
  </si>
  <si>
    <t>Бязь суровая арт. 6804</t>
  </si>
  <si>
    <t>10 м2</t>
  </si>
  <si>
    <t>01.7.15.07-0014</t>
  </si>
  <si>
    <t>Дюбели распорные полипропиленовые</t>
  </si>
  <si>
    <t>01.3.01.06-0050</t>
  </si>
  <si>
    <t>Смазка универсальная тугоплавкая УТ (консталин жировой)</t>
  </si>
  <si>
    <t>01.7.11.07-0034</t>
  </si>
  <si>
    <t>Электроды диаметром: 4 мм Э42А</t>
  </si>
  <si>
    <t>08.3.08.02-0091</t>
  </si>
  <si>
    <t>Сталь угловая, марки Ст3, перфорированная УП 35х35 мм</t>
  </si>
  <si>
    <t>м</t>
  </si>
  <si>
    <t>08.3.05.02-0052</t>
  </si>
  <si>
    <t>Сталь листовая горячекатаная марки Ст3 толщиной: 2-6 мм</t>
  </si>
  <si>
    <t>01.7.15.07-0007</t>
  </si>
  <si>
    <t>Дюбели пластмассовые диаметр 14 мм</t>
  </si>
  <si>
    <t>01.7.15.14-0043</t>
  </si>
  <si>
    <t>Шуруп самонарезающий: (LN) 3,5/11 мм</t>
  </si>
  <si>
    <t>01.7.15.03-0031</t>
  </si>
  <si>
    <t>Болты с гайками и шайбами оцинкованные, диаметр: 6 мм</t>
  </si>
  <si>
    <t>Ресурсная модель</t>
  </si>
  <si>
    <t>Наименование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</si>
  <si>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</si>
  <si>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</si>
  <si>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</si>
  <si>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</si>
  <si>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</si>
  <si>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</si>
  <si>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</si>
  <si>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</si>
  <si>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</si>
  <si>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</si>
  <si>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</si>
  <si>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</si>
  <si>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</si>
  <si>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</si>
  <si>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</si>
  <si>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</si>
  <si>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</si>
  <si>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</si>
  <si>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</si>
  <si>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</si>
  <si>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</si>
  <si>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</si>
  <si>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</si>
  <si>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</si>
  <si>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</si>
  <si>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</si>
  <si>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</si>
  <si>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</si>
  <si>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</si>
  <si>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</si>
  <si>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</si>
  <si>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</si>
  <si>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</si>
  <si>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</si>
  <si>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</si>
  <si>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</si>
  <si>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</si>
  <si>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</si>
  <si>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</si>
  <si>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 (на основании СД ОП)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</si>
  <si>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</si>
  <si>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</si>
  <si>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</si>
  <si>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</si>
  <si>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</si>
  <si>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</si>
  <si>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</si>
  <si>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</si>
  <si>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 xml:space="preserve">Наименование разрабатываемого показателя УНЦ - </t>
  </si>
  <si>
    <t>Элементы ПС без устройства фундаментов. Цифровой ТН на три фазы 330 кВ.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</si>
  <si>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</si>
  <si>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</si>
  <si>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</si>
  <si>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</si>
  <si>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</si>
  <si>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</si>
  <si>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чел.-ч.</t>
  </si>
  <si>
    <t>Затраты труда рабочих-строителей среднего разряда (4,0)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</si>
  <si>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</si>
  <si>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</si>
  <si>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</si>
  <si>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</si>
  <si>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</si>
  <si>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</si>
  <si>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БЦ.16_1.162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</si>
  <si>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</si>
  <si>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</si>
  <si>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</si>
  <si>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</si>
  <si>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</si>
  <si>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</si>
  <si>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</si>
  <si>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</si>
  <si>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</si>
  <si>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</si>
  <si>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</si>
  <si>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</si>
  <si>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</si>
  <si>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</si>
  <si>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</si>
  <si>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</si>
  <si>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</si>
  <si>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</si>
  <si>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</si>
  <si>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БЦ.16.1.162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</si>
  <si>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</si>
  <si>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</si>
  <si>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</si>
  <si>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</si>
  <si>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>Наименование РМ, входящих в состав показателя</t>
  </si>
  <si>
    <t>Норматив цены на 01.01.2023, тыс.руб.</t>
  </si>
  <si>
    <t>И10-08-5</t>
  </si>
  <si>
    <t xml:space="preserve">УНЦ элементов ПС без устройства фундаментов </t>
  </si>
  <si>
    <t>Составил ______________________      Е. М. Добровольская</t>
  </si>
  <si>
    <t>Проверил ______________________        А.В. Костянецкая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</si>
  <si>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</si>
  <si>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</si>
  <si>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</si>
  <si>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</si>
  <si>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</si>
  <si>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</si>
  <si>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</si>
  <si>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</si>
  <si>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</si>
  <si>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</si>
  <si>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</si>
  <si>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</si>
  <si>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</si>
  <si>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</si>
  <si>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</si>
  <si>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</si>
  <si>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</si>
  <si>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Расчёт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</si>
  <si>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</si>
  <si>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</si>
  <si>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</si>
  <si>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</si>
  <si>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</si>
  <si>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</si>
  <si>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</si>
  <si>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</si>
  <si>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</si>
  <si>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</si>
  <si>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</si>
  <si>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</si>
  <si>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</si>
  <si>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</si>
  <si>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</si>
  <si>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</si>
  <si>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</si>
  <si>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</si>
  <si>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</si>
  <si>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</si>
  <si>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</si>
  <si>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</si>
  <si>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</si>
  <si>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</si>
  <si>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</si>
  <si>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</si>
  <si>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</si>
  <si>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</si>
  <si>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</si>
  <si>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</si>
  <si>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</si>
  <si>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</si>
  <si>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</si>
  <si>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</si>
  <si>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</si>
  <si>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</si>
  <si>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</si>
  <si>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</si>
  <si>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</si>
  <si>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</si>
  <si>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</si>
  <si>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</si>
  <si>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</si>
  <si>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</si>
  <si>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r>
      <t>С</t>
    </r>
    <r>
      <rPr>
        <vertAlign val="subscript"/>
        <sz val="11"/>
        <color rgb="FF000000"/>
        <rFont val="Calibri"/>
      </rPr>
      <t>1ср</t>
    </r>
  </si>
  <si>
    <r>
      <t>t</t>
    </r>
    <r>
      <rPr>
        <vertAlign val="subscript"/>
        <sz val="11"/>
        <color rgb="FF000000"/>
        <rFont val="Calibri"/>
      </rPr>
      <t>ср</t>
    </r>
  </si>
  <si>
    <r>
      <t>К</t>
    </r>
    <r>
      <rPr>
        <vertAlign val="subscript"/>
        <sz val="11"/>
        <color rgb="FF000000"/>
        <rFont val="Calibri"/>
      </rPr>
      <t>Т</t>
    </r>
  </si>
  <si>
    <r>
      <t>К</t>
    </r>
    <r>
      <rPr>
        <vertAlign val="subscript"/>
        <sz val="11"/>
        <color rgb="FF000000"/>
        <rFont val="Calibri"/>
      </rPr>
      <t>инф</t>
    </r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</si>
  <si>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</si>
  <si>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</si>
  <si>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</si>
  <si>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</si>
  <si>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</si>
  <si>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</si>
  <si>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</si>
  <si>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</si>
  <si>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</si>
  <si>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</si>
  <si>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</si>
  <si>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</si>
  <si>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</si>
  <si>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</si>
  <si>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</si>
  <si>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</si>
  <si>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</si>
  <si>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</si>
  <si>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</si>
  <si>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</si>
  <si>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</si>
  <si>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</si>
  <si>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</si>
  <si>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</si>
  <si>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</si>
  <si>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</si>
  <si>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</si>
  <si>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</si>
  <si>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</si>
  <si>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</si>
  <si>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</si>
  <si>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</si>
  <si>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</si>
  <si>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</si>
  <si>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</si>
  <si>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</si>
  <si>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</si>
  <si>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</si>
  <si>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</si>
  <si>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</si>
  <si>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</si>
  <si>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</si>
  <si>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</si>
  <si>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</si>
  <si>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</si>
  <si>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</si>
  <si>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</si>
  <si>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</si>
  <si>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</si>
  <si>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</si>
  <si>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</si>
  <si>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</si>
  <si>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</si>
  <si>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</si>
  <si>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</si>
  <si>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</si>
  <si>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</si>
  <si>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</si>
  <si>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</si>
  <si>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</si>
  <si>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</si>
  <si>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</si>
  <si>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</si>
  <si>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</si>
  <si>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</si>
  <si>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</si>
  <si>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</si>
  <si>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</si>
  <si>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</si>
  <si>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</si>
  <si>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</si>
  <si>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</si>
  <si>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</si>
  <si>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</si>
  <si>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</si>
  <si>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</si>
  <si>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</si>
  <si>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</si>
  <si>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</si>
  <si>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</si>
  <si>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</si>
  <si>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</si>
  <si>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</si>
  <si>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</si>
  <si>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</si>
  <si>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</si>
  <si>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</si>
  <si>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</si>
  <si>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</si>
  <si>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</si>
  <si>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</si>
  <si>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</si>
  <si>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</si>
  <si>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</si>
  <si>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</si>
  <si>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</si>
  <si>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Цифровой трансформатор напряжения 500, 2000 ВА - 3 шт,
Шкаф ЯЗН-11-АСКУЭ - 1 шт.
Шкаф догрузочных резисторов - 1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</si>
</sst>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\ _₽"/>
    <numFmt numFmtId="170" formatCode="#,##0.0000"/>
  </numFmts>
  <fonts count="38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b/>
      <i/>
      <sz val="10"/>
      <color rgb="FF000000"/>
      <name val="Arial Cyr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0"/>
      <color rgb="FF000000"/>
      <name val="Arial Cyr"/>
    </font>
    <font>
      <sz val="11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Arial"/>
    </font>
    <font>
      <b/>
      <sz val="12"/>
      <color rgb="FF000000"/>
      <name val="Calibri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20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49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right" vertical="center" wrapText="1"/>
    </xf>
    <xf numFmtId="169" fontId="23" fillId="0" borderId="1" xfId="0" applyNumberFormat="1" applyFont="1" applyBorder="1" applyAlignment="1">
      <alignment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24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25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right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11" fillId="4" borderId="0" xfId="0" applyFont="1" applyFill="1" applyAlignment="1">
      <alignment vertical="top"/>
    </xf>
    <xf numFmtId="0" fontId="26" fillId="4" borderId="0" xfId="0" applyFont="1" applyFill="1" applyAlignment="1">
      <alignment horizontal="center" vertical="center"/>
    </xf>
    <xf numFmtId="2" fontId="26" fillId="4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right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49" fontId="1" fillId="4" borderId="0" xfId="0" applyNumberFormat="1" applyFont="1" applyFill="1" applyAlignment="1">
      <alignment horizontal="center" vertical="top" wrapText="1"/>
    </xf>
    <xf numFmtId="0" fontId="1" fillId="4" borderId="0" xfId="0" applyFont="1" applyFill="1" applyAlignment="1">
      <alignment horizontal="right" vertical="top" wrapText="1"/>
    </xf>
    <xf numFmtId="2" fontId="1" fillId="4" borderId="0" xfId="0" applyNumberFormat="1" applyFont="1" applyFill="1" applyAlignment="1">
      <alignment horizontal="right" vertical="top" wrapText="1"/>
    </xf>
    <xf numFmtId="0" fontId="17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vertical="top" wrapText="1"/>
    </xf>
    <xf numFmtId="168" fontId="23" fillId="4" borderId="1" xfId="0" applyNumberFormat="1" applyFont="1" applyFill="1" applyBorder="1" applyAlignment="1">
      <alignment horizontal="center" vertical="center" wrapText="1"/>
    </xf>
    <xf numFmtId="2" fontId="23" fillId="4" borderId="1" xfId="0" applyNumberFormat="1" applyFont="1" applyFill="1" applyBorder="1" applyAlignment="1">
      <alignment horizontal="right" vertical="center" wrapText="1"/>
    </xf>
    <xf numFmtId="49" fontId="1" fillId="4" borderId="1" xfId="0" applyNumberFormat="1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center"/>
    </xf>
    <xf numFmtId="168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top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justify" vertical="center"/>
    </xf>
    <xf numFmtId="4" fontId="17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7" fillId="0" borderId="4" xfId="0" applyNumberFormat="1" applyFont="1" applyBorder="1" applyAlignment="1">
      <alignment vertical="center" wrapText="1"/>
    </xf>
    <xf numFmtId="4" fontId="27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4" borderId="0" xfId="0" applyFont="1" applyFill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justify" vertical="center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left" vertical="center" wrapText="1"/>
    </xf>
    <xf numFmtId="49" fontId="2" fillId="4" borderId="7" xfId="0" applyNumberFormat="1" applyFont="1" applyFill="1" applyBorder="1" applyAlignment="1">
      <alignment horizontal="left" vertical="center" wrapText="1"/>
    </xf>
    <xf numFmtId="49" fontId="2" fillId="4" borderId="8" xfId="0" applyNumberFormat="1" applyFont="1" applyFill="1" applyBorder="1" applyAlignment="1">
      <alignment horizontal="left" vertical="center" wrapText="1"/>
    </xf>
    <xf numFmtId="49" fontId="1" fillId="4" borderId="0" xfId="0" applyNumberFormat="1" applyFont="1" applyFill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0" fontId="28" fillId="4" borderId="0" xfId="0" applyFont="1" applyFill="1" applyAlignment="1">
      <alignment horizontal="center" vertical="center"/>
    </xf>
    <xf numFmtId="4" fontId="4" fillId="4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1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457655</xdr:colOff>
      <xdr:row>16</xdr:row>
      <xdr:rowOff>560</xdr:rowOff>
    </xdr:from>
    <xdr:to>
      <xdr:col>2</xdr:col>
      <xdr:colOff>1360849</xdr:colOff>
      <xdr:row>17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69" y="5035203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276600</xdr:colOff>
      <xdr:row>66</xdr:row>
      <xdr:rowOff>180415</xdr:rowOff>
    </xdr:from>
    <xdr:to>
      <xdr:col>3</xdr:col>
      <xdr:colOff>91142</xdr:colOff>
      <xdr:row>69</xdr:row>
      <xdr:rowOff>164540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953" y="15790209"/>
          <a:ext cx="935130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83858</xdr:colOff>
      <xdr:row>64</xdr:row>
      <xdr:rowOff>179854</xdr:rowOff>
    </xdr:from>
    <xdr:to>
      <xdr:col>2</xdr:col>
      <xdr:colOff>983690</xdr:colOff>
      <xdr:row>66</xdr:row>
      <xdr:rowOff>144967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211" y="15408648"/>
          <a:ext cx="899832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1062692</xdr:colOff>
      <xdr:row>43</xdr:row>
      <xdr:rowOff>62193</xdr:rowOff>
    </xdr:from>
    <xdr:to>
      <xdr:col>1</xdr:col>
      <xdr:colOff>2001184</xdr:colOff>
      <xdr:row>46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917" y="118160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1050926</xdr:colOff>
      <xdr:row>41</xdr:row>
      <xdr:rowOff>48185</xdr:rowOff>
    </xdr:from>
    <xdr:to>
      <xdr:col>1</xdr:col>
      <xdr:colOff>1954120</xdr:colOff>
      <xdr:row>43</xdr:row>
      <xdr:rowOff>3773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151" y="114210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929342</xdr:colOff>
      <xdr:row>81</xdr:row>
      <xdr:rowOff>33618</xdr:rowOff>
    </xdr:from>
    <xdr:to>
      <xdr:col>2</xdr:col>
      <xdr:colOff>362884</xdr:colOff>
      <xdr:row>84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342" y="20474268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1041401</xdr:colOff>
      <xdr:row>79</xdr:row>
      <xdr:rowOff>29135</xdr:rowOff>
    </xdr:from>
    <xdr:to>
      <xdr:col>2</xdr:col>
      <xdr:colOff>439645</xdr:colOff>
      <xdr:row>80</xdr:row>
      <xdr:rowOff>184748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1" y="20088785"/>
          <a:ext cx="903194" cy="34611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40" t="s">
        <v>0</v>
      </c>
      <c r="B2" s="240"/>
      <c r="C2" s="240"/>
    </row>
    <row r="3" spans="1:3" x14ac:dyDescent="0.25">
      <c r="A3" s="1"/>
      <c r="B3" s="1"/>
      <c r="C3" s="1"/>
    </row>
    <row r="4" spans="1:3" x14ac:dyDescent="0.25">
      <c r="A4" s="241" t="s">
        <v>1</v>
      </c>
      <c r="B4" s="241"/>
      <c r="C4" s="24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42" t="s">
        <v>3</v>
      </c>
      <c r="C6" s="242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2009.1774700679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90" t="s">
        <v>295</v>
      </c>
      <c r="B1" s="290"/>
      <c r="C1" s="290"/>
      <c r="D1" s="290"/>
      <c r="E1" s="290"/>
      <c r="F1" s="290"/>
      <c r="G1" s="290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40" t="s">
        <v>296</v>
      </c>
      <c r="B3" s="240"/>
      <c r="C3" s="240"/>
      <c r="D3" s="240"/>
      <c r="E3" s="240"/>
      <c r="F3" s="240"/>
      <c r="G3" s="240"/>
    </row>
    <row r="4" spans="1:7" ht="25.5" customHeight="1" x14ac:dyDescent="0.25">
      <c r="A4" s="243" t="s">
        <v>48</v>
      </c>
      <c r="B4" s="243"/>
      <c r="C4" s="243"/>
      <c r="D4" s="243"/>
      <c r="E4" s="243"/>
      <c r="F4" s="243"/>
      <c r="G4" s="243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76" t="s">
        <v>13</v>
      </c>
      <c r="B6" s="276" t="s">
        <v>99</v>
      </c>
      <c r="C6" s="276" t="s">
        <v>215</v>
      </c>
      <c r="D6" s="276" t="s">
        <v>101</v>
      </c>
      <c r="E6" s="288" t="s">
        <v>267</v>
      </c>
      <c r="F6" s="295" t="s">
        <v>103</v>
      </c>
      <c r="G6" s="295"/>
    </row>
    <row r="7" spans="1:7" x14ac:dyDescent="0.25">
      <c r="A7" s="276"/>
      <c r="B7" s="276"/>
      <c r="C7" s="276"/>
      <c r="D7" s="276"/>
      <c r="E7" s="289"/>
      <c r="F7" s="2" t="s">
        <v>270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91" t="s">
        <v>297</v>
      </c>
      <c r="C9" s="292"/>
      <c r="D9" s="292"/>
      <c r="E9" s="292"/>
      <c r="F9" s="292"/>
      <c r="G9" s="293"/>
    </row>
    <row r="10" spans="1:7" ht="27" customHeight="1" x14ac:dyDescent="0.25">
      <c r="A10" s="2"/>
      <c r="B10" s="104"/>
      <c r="C10" s="8" t="s">
        <v>298</v>
      </c>
      <c r="D10" s="104"/>
      <c r="E10" s="105"/>
      <c r="F10" s="103"/>
      <c r="G10" s="103">
        <v>0</v>
      </c>
    </row>
    <row r="11" spans="1:7" x14ac:dyDescent="0.25">
      <c r="A11" s="2"/>
      <c r="B11" s="275" t="s">
        <v>299</v>
      </c>
      <c r="C11" s="275"/>
      <c r="D11" s="275"/>
      <c r="E11" s="294"/>
      <c r="F11" s="278"/>
      <c r="G11" s="278"/>
    </row>
    <row r="12" spans="1:7" ht="25.5" customHeight="1" x14ac:dyDescent="0.25">
      <c r="A12" s="2">
        <v>1</v>
      </c>
      <c r="B12" s="169" t="s">
        <v>300</v>
      </c>
      <c r="C12" s="8" t="s">
        <v>154</v>
      </c>
      <c r="D12" s="195" t="s">
        <v>155</v>
      </c>
      <c r="E12" s="195">
        <v>3</v>
      </c>
      <c r="F12" s="196">
        <v>662310.48722044996</v>
      </c>
      <c r="G12" s="32">
        <f>E12*F12</f>
        <v>1986931.4616612999</v>
      </c>
    </row>
    <row r="13" spans="1:7" x14ac:dyDescent="0.25">
      <c r="A13" s="2">
        <v>2</v>
      </c>
      <c r="B13" s="169" t="s">
        <v>153</v>
      </c>
      <c r="C13" s="194" t="s">
        <v>156</v>
      </c>
      <c r="D13" s="195" t="s">
        <v>155</v>
      </c>
      <c r="E13" s="195">
        <v>1</v>
      </c>
      <c r="F13" s="32">
        <v>4046.8706070287999</v>
      </c>
      <c r="G13" s="32">
        <f>E13*F13</f>
        <v>4046.8706070287999</v>
      </c>
    </row>
    <row r="14" spans="1:7" x14ac:dyDescent="0.25">
      <c r="A14" s="2">
        <v>3</v>
      </c>
      <c r="B14" s="169" t="s">
        <v>157</v>
      </c>
      <c r="C14" s="194" t="s">
        <v>158</v>
      </c>
      <c r="D14" s="195" t="s">
        <v>155</v>
      </c>
      <c r="E14" s="195">
        <v>1</v>
      </c>
      <c r="F14" s="32">
        <v>3664.0495207668</v>
      </c>
      <c r="G14" s="32">
        <f>E14*F14</f>
        <v>3664.0495207668</v>
      </c>
    </row>
    <row r="15" spans="1:7" ht="25.5" customHeight="1" x14ac:dyDescent="0.25">
      <c r="A15" s="2"/>
      <c r="B15" s="194"/>
      <c r="C15" s="194" t="s">
        <v>301</v>
      </c>
      <c r="D15" s="194"/>
      <c r="E15" s="197"/>
      <c r="F15" s="198"/>
      <c r="G15" s="32">
        <f>SUM(G12:G14)</f>
        <v>1994642.3817890999</v>
      </c>
    </row>
    <row r="16" spans="1:7" ht="19.5" customHeight="1" x14ac:dyDescent="0.25">
      <c r="A16" s="2"/>
      <c r="B16" s="8"/>
      <c r="C16" s="8" t="s">
        <v>302</v>
      </c>
      <c r="D16" s="8"/>
      <c r="E16" s="47"/>
      <c r="F16" s="103"/>
      <c r="G16" s="32">
        <f>G10+G15</f>
        <v>1994642.3817890999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x14ac:dyDescent="0.25">
      <c r="A18" s="4" t="s">
        <v>94</v>
      </c>
      <c r="B18" s="12"/>
      <c r="C18" s="12"/>
      <c r="D18" s="30"/>
      <c r="E18" s="30"/>
      <c r="F18" s="30"/>
      <c r="G18" s="30"/>
    </row>
    <row r="19" spans="1:7" x14ac:dyDescent="0.25">
      <c r="A19" s="33" t="s">
        <v>76</v>
      </c>
      <c r="B19" s="12"/>
      <c r="C19" s="12"/>
      <c r="D19" s="30"/>
      <c r="E19" s="30"/>
      <c r="F19" s="30"/>
      <c r="G19" s="30"/>
    </row>
    <row r="20" spans="1:7" x14ac:dyDescent="0.25">
      <c r="A20" s="4"/>
      <c r="B20" s="12"/>
      <c r="C20" s="12"/>
      <c r="D20" s="30"/>
      <c r="E20" s="30"/>
      <c r="F20" s="30"/>
      <c r="G20" s="30"/>
    </row>
    <row r="21" spans="1:7" x14ac:dyDescent="0.25">
      <c r="A21" s="4" t="s">
        <v>77</v>
      </c>
      <c r="B21" s="12"/>
      <c r="C21" s="12"/>
      <c r="D21" s="30"/>
      <c r="E21" s="30"/>
      <c r="F21" s="30"/>
      <c r="G21" s="30"/>
    </row>
    <row r="22" spans="1:7" x14ac:dyDescent="0.25">
      <c r="A22" s="33" t="s">
        <v>78</v>
      </c>
      <c r="B22" s="12"/>
      <c r="C22" s="12"/>
      <c r="D22" s="30"/>
      <c r="E22" s="30"/>
      <c r="F22" s="30"/>
      <c r="G22" s="3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303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40" t="s">
        <v>304</v>
      </c>
      <c r="B3" s="240"/>
      <c r="C3" s="240"/>
      <c r="D3" s="240"/>
    </row>
    <row r="4" spans="1:5" ht="24.75" customHeight="1" x14ac:dyDescent="0.25">
      <c r="A4" s="143"/>
      <c r="B4" s="143"/>
      <c r="C4" s="143"/>
      <c r="D4" s="143"/>
    </row>
    <row r="5" spans="1:5" ht="54.75" customHeight="1" x14ac:dyDescent="0.25">
      <c r="A5" s="243" t="s">
        <v>264</v>
      </c>
      <c r="B5" s="243"/>
      <c r="C5" s="243"/>
      <c r="D5" s="233" t="str">
        <f>'Прил.5 Расчет СМР и ОБ'!D6</f>
        <v>Элементы ПС без устройства фундаментов. Цифровой ТН на три фазы 330 кВ.</v>
      </c>
    </row>
    <row r="6" spans="1:5" ht="19.899999999999999" customHeight="1" x14ac:dyDescent="0.25">
      <c r="A6" s="243" t="s">
        <v>50</v>
      </c>
      <c r="B6" s="243"/>
      <c r="C6" s="243"/>
      <c r="D6" s="233"/>
    </row>
    <row r="7" spans="1:5" x14ac:dyDescent="0.25">
      <c r="A7" s="4"/>
      <c r="B7" s="4"/>
      <c r="C7" s="4"/>
      <c r="D7" s="4"/>
    </row>
    <row r="8" spans="1:5" ht="14.45" customHeight="1" x14ac:dyDescent="0.25">
      <c r="A8" s="255" t="s">
        <v>5</v>
      </c>
      <c r="B8" s="255" t="s">
        <v>6</v>
      </c>
      <c r="C8" s="255" t="s">
        <v>305</v>
      </c>
      <c r="D8" s="255" t="s">
        <v>306</v>
      </c>
    </row>
    <row r="9" spans="1:5" ht="15" customHeight="1" x14ac:dyDescent="0.25">
      <c r="A9" s="255"/>
      <c r="B9" s="255"/>
      <c r="C9" s="255"/>
      <c r="D9" s="255"/>
    </row>
    <row r="10" spans="1:5" x14ac:dyDescent="0.25">
      <c r="A10" s="234">
        <v>1</v>
      </c>
      <c r="B10" s="234">
        <v>2</v>
      </c>
      <c r="C10" s="234">
        <v>3</v>
      </c>
      <c r="D10" s="234">
        <v>4</v>
      </c>
    </row>
    <row r="11" spans="1:5" ht="41.45" customHeight="1" x14ac:dyDescent="0.25">
      <c r="A11" s="234" t="s">
        <v>307</v>
      </c>
      <c r="B11" s="234" t="s">
        <v>308</v>
      </c>
      <c r="C11" s="235" t="str">
        <f>D5</f>
        <v>Элементы ПС без устройства фундаментов. Цифровой ТН на три фазы 330 кВ.</v>
      </c>
      <c r="D11" s="236">
        <f>'Прил.4 РМ'!C41/1000</f>
        <v>14694.822910000001</v>
      </c>
      <c r="E11" s="142"/>
    </row>
    <row r="12" spans="1:5" x14ac:dyDescent="0.25">
      <c r="A12" s="30"/>
      <c r="B12" s="106"/>
      <c r="C12" s="30"/>
      <c r="D12" s="30"/>
    </row>
    <row r="13" spans="1:5" x14ac:dyDescent="0.25">
      <c r="A13" s="4" t="s">
        <v>309</v>
      </c>
      <c r="B13" s="12"/>
      <c r="C13" s="12"/>
      <c r="D13" s="30"/>
    </row>
    <row r="14" spans="1:5" x14ac:dyDescent="0.25">
      <c r="A14" s="33" t="s">
        <v>76</v>
      </c>
      <c r="B14" s="12"/>
      <c r="C14" s="12"/>
      <c r="D14" s="30"/>
    </row>
    <row r="15" spans="1:5" x14ac:dyDescent="0.25">
      <c r="A15" s="4"/>
      <c r="B15" s="12"/>
      <c r="C15" s="12"/>
      <c r="D15" s="30"/>
    </row>
    <row r="16" spans="1:5" x14ac:dyDescent="0.25">
      <c r="A16" s="4" t="s">
        <v>310</v>
      </c>
      <c r="B16" s="12"/>
      <c r="C16" s="12"/>
      <c r="D16" s="30"/>
    </row>
    <row r="17" spans="1:4" x14ac:dyDescent="0.25">
      <c r="A17" s="33" t="s">
        <v>78</v>
      </c>
      <c r="B17" s="12"/>
      <c r="C17" s="12"/>
      <c r="D17" s="30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4" zoomScale="60" zoomScaleNormal="85" workbookViewId="0">
      <selection activeCell="A26" sqref="A26:XFD30"/>
    </sheetView>
  </sheetViews>
  <sheetFormatPr defaultRowHeight="15" x14ac:dyDescent="0.25"/>
  <cols>
    <col min="1" max="1" width="9.140625" customWidth="1"/>
    <col min="2" max="2" width="40.7109375" customWidth="1"/>
    <col min="3" max="3" width="38.5703125" customWidth="1"/>
    <col min="4" max="4" width="32" customWidth="1"/>
    <col min="5" max="5" width="9.140625" customWidth="1"/>
  </cols>
  <sheetData>
    <row r="4" spans="2:5" ht="15.75" customHeight="1" x14ac:dyDescent="0.25">
      <c r="B4" s="248" t="s">
        <v>311</v>
      </c>
      <c r="C4" s="248"/>
      <c r="D4" s="248"/>
    </row>
    <row r="5" spans="2:5" ht="18.75" customHeight="1" x14ac:dyDescent="0.25">
      <c r="B5" s="137"/>
    </row>
    <row r="6" spans="2:5" ht="15.75" customHeight="1" x14ac:dyDescent="0.25">
      <c r="B6" s="254" t="s">
        <v>312</v>
      </c>
      <c r="C6" s="254"/>
      <c r="D6" s="254"/>
    </row>
    <row r="7" spans="2:5" x14ac:dyDescent="0.25">
      <c r="B7" s="296" t="s">
        <v>313</v>
      </c>
      <c r="C7" s="296"/>
      <c r="D7" s="296"/>
      <c r="E7" s="296"/>
    </row>
    <row r="8" spans="2:5" x14ac:dyDescent="0.25">
      <c r="B8" s="156"/>
      <c r="C8" s="156"/>
      <c r="D8" s="156"/>
      <c r="E8" s="156"/>
    </row>
    <row r="9" spans="2:5" ht="47.25" customHeight="1" x14ac:dyDescent="0.25">
      <c r="B9" s="117" t="s">
        <v>314</v>
      </c>
      <c r="C9" s="117" t="s">
        <v>315</v>
      </c>
      <c r="D9" s="117" t="s">
        <v>316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31.5" customHeight="1" x14ac:dyDescent="0.25">
      <c r="B11" s="117" t="s">
        <v>317</v>
      </c>
      <c r="C11" s="117" t="s">
        <v>318</v>
      </c>
      <c r="D11" s="117">
        <v>44.29</v>
      </c>
    </row>
    <row r="12" spans="2:5" ht="31.5" customHeight="1" x14ac:dyDescent="0.25">
      <c r="B12" s="117" t="s">
        <v>319</v>
      </c>
      <c r="C12" s="117" t="s">
        <v>318</v>
      </c>
      <c r="D12" s="117">
        <v>13.47</v>
      </c>
    </row>
    <row r="13" spans="2:5" ht="31.5" customHeight="1" x14ac:dyDescent="0.25">
      <c r="B13" s="117" t="s">
        <v>320</v>
      </c>
      <c r="C13" s="117" t="s">
        <v>318</v>
      </c>
      <c r="D13" s="117">
        <v>8.0399999999999991</v>
      </c>
    </row>
    <row r="14" spans="2:5" ht="31.5" customHeight="1" x14ac:dyDescent="0.25">
      <c r="B14" s="117" t="s">
        <v>321</v>
      </c>
      <c r="C14" s="119" t="s">
        <v>322</v>
      </c>
      <c r="D14" s="117">
        <v>6.26</v>
      </c>
    </row>
    <row r="15" spans="2:5" ht="89.25" customHeight="1" x14ac:dyDescent="0.25">
      <c r="B15" s="117" t="s">
        <v>323</v>
      </c>
      <c r="C15" s="117" t="s">
        <v>324</v>
      </c>
      <c r="D15" s="138">
        <v>3.9E-2</v>
      </c>
    </row>
    <row r="16" spans="2:5" ht="78.75" customHeight="1" x14ac:dyDescent="0.25">
      <c r="B16" s="117" t="s">
        <v>325</v>
      </c>
      <c r="C16" s="117" t="s">
        <v>326</v>
      </c>
      <c r="D16" s="138">
        <v>2.1000000000000001E-2</v>
      </c>
    </row>
    <row r="17" spans="2:4" ht="15.75" customHeight="1" x14ac:dyDescent="0.25">
      <c r="B17" s="117" t="s">
        <v>327</v>
      </c>
      <c r="C17" s="117"/>
      <c r="D17" s="117" t="s">
        <v>328</v>
      </c>
    </row>
    <row r="18" spans="2:4" ht="31.5" customHeight="1" x14ac:dyDescent="0.25">
      <c r="B18" s="117" t="s">
        <v>239</v>
      </c>
      <c r="C18" s="117" t="s">
        <v>329</v>
      </c>
      <c r="D18" s="138">
        <v>2.1399999999999999E-2</v>
      </c>
    </row>
    <row r="19" spans="2:4" ht="31.5" customHeight="1" x14ac:dyDescent="0.25">
      <c r="B19" s="117" t="s">
        <v>261</v>
      </c>
      <c r="C19" s="117" t="s">
        <v>330</v>
      </c>
      <c r="D19" s="138">
        <v>2E-3</v>
      </c>
    </row>
    <row r="20" spans="2:4" ht="24" customHeight="1" x14ac:dyDescent="0.25">
      <c r="B20" s="117" t="s">
        <v>242</v>
      </c>
      <c r="C20" s="117" t="s">
        <v>331</v>
      </c>
      <c r="D20" s="138">
        <v>0.03</v>
      </c>
    </row>
    <row r="21" spans="2:4" ht="18.75" customHeight="1" x14ac:dyDescent="0.25">
      <c r="B21" s="116"/>
    </row>
    <row r="22" spans="2:4" ht="18.75" customHeight="1" x14ac:dyDescent="0.25">
      <c r="B22" s="116"/>
    </row>
    <row r="23" spans="2:4" ht="18.75" customHeight="1" x14ac:dyDescent="0.25">
      <c r="B23" s="116"/>
    </row>
    <row r="24" spans="2:4" ht="18.75" customHeight="1" x14ac:dyDescent="0.25">
      <c r="B24" s="116"/>
    </row>
    <row r="27" spans="2:4" x14ac:dyDescent="0.25">
      <c r="B27" s="4" t="s">
        <v>332</v>
      </c>
      <c r="C27" s="12"/>
    </row>
    <row r="28" spans="2:4" x14ac:dyDescent="0.25">
      <c r="B28" s="33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77</v>
      </c>
      <c r="C30" s="12"/>
    </row>
    <row r="31" spans="2:4" x14ac:dyDescent="0.25">
      <c r="B31" s="33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54" t="s">
        <v>333</v>
      </c>
      <c r="B2" s="254"/>
      <c r="C2" s="254"/>
      <c r="D2" s="254"/>
      <c r="E2" s="254"/>
      <c r="F2" s="254"/>
    </row>
    <row r="4" spans="1:7" ht="18" customHeight="1" x14ac:dyDescent="0.25">
      <c r="A4" s="124" t="s">
        <v>334</v>
      </c>
      <c r="B4" s="125"/>
      <c r="C4" s="125"/>
      <c r="D4" s="125"/>
      <c r="E4" s="125"/>
      <c r="F4" s="125"/>
      <c r="G4" s="125"/>
    </row>
    <row r="5" spans="1:7" ht="15.75" customHeight="1" x14ac:dyDescent="0.25">
      <c r="A5" s="126" t="s">
        <v>13</v>
      </c>
      <c r="B5" s="126" t="s">
        <v>335</v>
      </c>
      <c r="C5" s="126" t="s">
        <v>336</v>
      </c>
      <c r="D5" s="126" t="s">
        <v>337</v>
      </c>
      <c r="E5" s="126" t="s">
        <v>338</v>
      </c>
      <c r="F5" s="126" t="s">
        <v>339</v>
      </c>
      <c r="G5" s="125"/>
    </row>
    <row r="6" spans="1:7" ht="15.75" customHeight="1" x14ac:dyDescent="0.25">
      <c r="A6" s="126">
        <v>1</v>
      </c>
      <c r="B6" s="126">
        <v>2</v>
      </c>
      <c r="C6" s="126">
        <v>3</v>
      </c>
      <c r="D6" s="126">
        <v>4</v>
      </c>
      <c r="E6" s="126">
        <v>5</v>
      </c>
      <c r="F6" s="126">
        <v>6</v>
      </c>
      <c r="G6" s="125"/>
    </row>
    <row r="7" spans="1:7" ht="110.25" customHeight="1" x14ac:dyDescent="0.25">
      <c r="A7" s="127" t="s">
        <v>340</v>
      </c>
      <c r="B7" s="128" t="s">
        <v>341</v>
      </c>
      <c r="C7" s="117" t="s">
        <v>342</v>
      </c>
      <c r="D7" s="117" t="s">
        <v>343</v>
      </c>
      <c r="E7" s="129">
        <v>47872.94</v>
      </c>
      <c r="F7" s="128" t="s">
        <v>344</v>
      </c>
      <c r="G7" s="125"/>
    </row>
    <row r="8" spans="1:7" ht="31.5" customHeight="1" x14ac:dyDescent="0.25">
      <c r="A8" s="127" t="s">
        <v>345</v>
      </c>
      <c r="B8" s="128" t="s">
        <v>346</v>
      </c>
      <c r="C8" s="117" t="s">
        <v>347</v>
      </c>
      <c r="D8" s="117" t="s">
        <v>348</v>
      </c>
      <c r="E8" s="129">
        <f>1973/12</f>
        <v>164.41666666667001</v>
      </c>
      <c r="F8" s="128" t="s">
        <v>349</v>
      </c>
      <c r="G8" s="130"/>
    </row>
    <row r="9" spans="1:7" ht="15.75" customHeight="1" x14ac:dyDescent="0.25">
      <c r="A9" s="127" t="s">
        <v>350</v>
      </c>
      <c r="B9" s="128" t="s">
        <v>351</v>
      </c>
      <c r="C9" s="117" t="s">
        <v>352</v>
      </c>
      <c r="D9" s="117" t="s">
        <v>343</v>
      </c>
      <c r="E9" s="129">
        <v>1</v>
      </c>
      <c r="F9" s="128"/>
      <c r="G9" s="130"/>
    </row>
    <row r="10" spans="1:7" ht="15.75" customHeight="1" x14ac:dyDescent="0.25">
      <c r="A10" s="127" t="s">
        <v>353</v>
      </c>
      <c r="B10" s="128" t="s">
        <v>354</v>
      </c>
      <c r="C10" s="117"/>
      <c r="D10" s="117"/>
      <c r="E10" s="131">
        <v>4</v>
      </c>
      <c r="F10" s="128" t="s">
        <v>355</v>
      </c>
      <c r="G10" s="130"/>
    </row>
    <row r="11" spans="1:7" ht="78.75" customHeight="1" x14ac:dyDescent="0.25">
      <c r="A11" s="127" t="s">
        <v>356</v>
      </c>
      <c r="B11" s="128" t="s">
        <v>357</v>
      </c>
      <c r="C11" s="117" t="s">
        <v>358</v>
      </c>
      <c r="D11" s="117" t="s">
        <v>343</v>
      </c>
      <c r="E11" s="132">
        <v>1.34</v>
      </c>
      <c r="F11" s="128" t="s">
        <v>359</v>
      </c>
      <c r="G11" s="125"/>
    </row>
    <row r="12" spans="1:7" ht="78.75" customHeight="1" x14ac:dyDescent="0.25">
      <c r="A12" s="127" t="s">
        <v>360</v>
      </c>
      <c r="B12" s="118" t="s">
        <v>361</v>
      </c>
      <c r="C12" s="117" t="s">
        <v>362</v>
      </c>
      <c r="D12" s="117" t="s">
        <v>343</v>
      </c>
      <c r="E12" s="133">
        <v>1.139</v>
      </c>
      <c r="F12" s="134" t="s">
        <v>363</v>
      </c>
      <c r="G12" s="130" t="s">
        <v>364</v>
      </c>
    </row>
    <row r="13" spans="1:7" ht="63" customHeight="1" x14ac:dyDescent="0.25">
      <c r="A13" s="127" t="s">
        <v>365</v>
      </c>
      <c r="B13" s="135" t="s">
        <v>366</v>
      </c>
      <c r="C13" s="117" t="s">
        <v>367</v>
      </c>
      <c r="D13" s="117" t="s">
        <v>368</v>
      </c>
      <c r="E13" s="136">
        <f>((E7*E9/E8)*E11)*E12</f>
        <v>444.39870291576</v>
      </c>
      <c r="F13" s="128" t="s">
        <v>369</v>
      </c>
      <c r="G13" s="125"/>
    </row>
    <row r="14" spans="1:7" ht="15.75" customHeight="1" x14ac:dyDescent="0.25">
      <c r="A14" s="125"/>
      <c r="B14" s="121" t="s">
        <v>110</v>
      </c>
      <c r="C14" s="125"/>
      <c r="D14" s="125"/>
      <c r="E14" s="125"/>
      <c r="F14" s="125"/>
    </row>
    <row r="15" spans="1:7" ht="110.25" customHeight="1" x14ac:dyDescent="0.25">
      <c r="A15" s="127" t="s">
        <v>340</v>
      </c>
      <c r="B15" s="128" t="s">
        <v>341</v>
      </c>
      <c r="C15" s="117" t="s">
        <v>342</v>
      </c>
      <c r="D15" s="117" t="s">
        <v>343</v>
      </c>
      <c r="E15" s="129">
        <v>47872.94</v>
      </c>
      <c r="F15" s="128" t="s">
        <v>344</v>
      </c>
    </row>
    <row r="16" spans="1:7" ht="31.5" customHeight="1" x14ac:dyDescent="0.25">
      <c r="A16" s="127" t="s">
        <v>345</v>
      </c>
      <c r="B16" s="128" t="s">
        <v>346</v>
      </c>
      <c r="C16" s="117" t="s">
        <v>347</v>
      </c>
      <c r="D16" s="117" t="s">
        <v>348</v>
      </c>
      <c r="E16" s="129">
        <f>1973/12</f>
        <v>164.41666666667001</v>
      </c>
      <c r="F16" s="128" t="s">
        <v>349</v>
      </c>
    </row>
    <row r="17" spans="1:6" ht="15.75" customHeight="1" x14ac:dyDescent="0.25">
      <c r="A17" s="127" t="s">
        <v>350</v>
      </c>
      <c r="B17" s="128" t="s">
        <v>351</v>
      </c>
      <c r="C17" s="117" t="s">
        <v>352</v>
      </c>
      <c r="D17" s="117" t="s">
        <v>343</v>
      </c>
      <c r="E17" s="129">
        <v>1</v>
      </c>
      <c r="F17" s="128"/>
    </row>
    <row r="18" spans="1:6" ht="15.75" customHeight="1" x14ac:dyDescent="0.25">
      <c r="A18" s="127" t="s">
        <v>353</v>
      </c>
      <c r="B18" s="128" t="s">
        <v>354</v>
      </c>
      <c r="C18" s="117"/>
      <c r="D18" s="117"/>
      <c r="E18" s="131">
        <v>1</v>
      </c>
      <c r="F18" s="128" t="s">
        <v>355</v>
      </c>
    </row>
    <row r="19" spans="1:6" ht="78.75" customHeight="1" x14ac:dyDescent="0.25">
      <c r="A19" s="127" t="s">
        <v>356</v>
      </c>
      <c r="B19" s="128" t="s">
        <v>357</v>
      </c>
      <c r="C19" s="117" t="s">
        <v>358</v>
      </c>
      <c r="D19" s="117" t="s">
        <v>343</v>
      </c>
      <c r="E19" s="132">
        <v>2.15</v>
      </c>
      <c r="F19" s="128" t="s">
        <v>370</v>
      </c>
    </row>
    <row r="20" spans="1:6" ht="78.75" customHeight="1" x14ac:dyDescent="0.25">
      <c r="A20" s="127" t="s">
        <v>360</v>
      </c>
      <c r="B20" s="118" t="s">
        <v>361</v>
      </c>
      <c r="C20" s="117" t="s">
        <v>362</v>
      </c>
      <c r="D20" s="117" t="s">
        <v>343</v>
      </c>
      <c r="E20" s="133">
        <v>1.139</v>
      </c>
      <c r="F20" s="134" t="s">
        <v>363</v>
      </c>
    </row>
    <row r="21" spans="1:6" ht="63" customHeight="1" x14ac:dyDescent="0.25">
      <c r="A21" s="127" t="s">
        <v>365</v>
      </c>
      <c r="B21" s="135" t="s">
        <v>371</v>
      </c>
      <c r="C21" s="117" t="s">
        <v>367</v>
      </c>
      <c r="D21" s="117" t="s">
        <v>368</v>
      </c>
      <c r="E21" s="136">
        <f>((E15*E17/E16)*E19)*E20</f>
        <v>713.02776960364997</v>
      </c>
      <c r="F21" s="128" t="s">
        <v>369</v>
      </c>
    </row>
    <row r="22" spans="1:6" ht="15.75" customHeight="1" x14ac:dyDescent="0.25">
      <c r="A22" s="125"/>
      <c r="B22" s="121" t="s">
        <v>117</v>
      </c>
      <c r="C22" s="125"/>
      <c r="D22" s="125"/>
      <c r="E22" s="125"/>
      <c r="F22" s="125"/>
    </row>
    <row r="23" spans="1:6" ht="110.25" customHeight="1" x14ac:dyDescent="0.25">
      <c r="A23" s="127" t="s">
        <v>340</v>
      </c>
      <c r="B23" s="128" t="s">
        <v>341</v>
      </c>
      <c r="C23" s="117" t="s">
        <v>342</v>
      </c>
      <c r="D23" s="117" t="s">
        <v>343</v>
      </c>
      <c r="E23" s="129">
        <v>47872.94</v>
      </c>
      <c r="F23" s="128" t="s">
        <v>344</v>
      </c>
    </row>
    <row r="24" spans="1:6" ht="31.5" customHeight="1" x14ac:dyDescent="0.25">
      <c r="A24" s="127" t="s">
        <v>345</v>
      </c>
      <c r="B24" s="128" t="s">
        <v>346</v>
      </c>
      <c r="C24" s="117" t="s">
        <v>347</v>
      </c>
      <c r="D24" s="117" t="s">
        <v>348</v>
      </c>
      <c r="E24" s="129">
        <f>1973/12</f>
        <v>164.41666666667001</v>
      </c>
      <c r="F24" s="128" t="s">
        <v>349</v>
      </c>
    </row>
    <row r="25" spans="1:6" ht="15.75" customHeight="1" x14ac:dyDescent="0.25">
      <c r="A25" s="127" t="s">
        <v>350</v>
      </c>
      <c r="B25" s="128" t="s">
        <v>351</v>
      </c>
      <c r="C25" s="117" t="s">
        <v>352</v>
      </c>
      <c r="D25" s="117" t="s">
        <v>343</v>
      </c>
      <c r="E25" s="129">
        <v>1</v>
      </c>
      <c r="F25" s="128"/>
    </row>
    <row r="26" spans="1:6" ht="15.75" customHeight="1" x14ac:dyDescent="0.25">
      <c r="A26" s="127" t="s">
        <v>353</v>
      </c>
      <c r="B26" s="128" t="s">
        <v>354</v>
      </c>
      <c r="C26" s="117"/>
      <c r="D26" s="117"/>
      <c r="E26" s="131">
        <v>1</v>
      </c>
      <c r="F26" s="128" t="s">
        <v>355</v>
      </c>
    </row>
    <row r="27" spans="1:6" ht="78.75" customHeight="1" x14ac:dyDescent="0.25">
      <c r="A27" s="127" t="s">
        <v>356</v>
      </c>
      <c r="B27" s="128" t="s">
        <v>357</v>
      </c>
      <c r="C27" s="117" t="s">
        <v>358</v>
      </c>
      <c r="D27" s="117" t="s">
        <v>343</v>
      </c>
      <c r="E27" s="132">
        <v>1.96</v>
      </c>
      <c r="F27" s="128" t="s">
        <v>370</v>
      </c>
    </row>
    <row r="28" spans="1:6" ht="78.75" customHeight="1" x14ac:dyDescent="0.25">
      <c r="A28" s="127" t="s">
        <v>360</v>
      </c>
      <c r="B28" s="118" t="s">
        <v>361</v>
      </c>
      <c r="C28" s="117" t="s">
        <v>362</v>
      </c>
      <c r="D28" s="117" t="s">
        <v>343</v>
      </c>
      <c r="E28" s="133">
        <v>1.139</v>
      </c>
      <c r="F28" s="134" t="s">
        <v>363</v>
      </c>
    </row>
    <row r="29" spans="1:6" ht="63" customHeight="1" x14ac:dyDescent="0.25">
      <c r="A29" s="127" t="s">
        <v>365</v>
      </c>
      <c r="B29" s="135" t="s">
        <v>371</v>
      </c>
      <c r="C29" s="117" t="s">
        <v>367</v>
      </c>
      <c r="D29" s="117" t="s">
        <v>368</v>
      </c>
      <c r="E29" s="136">
        <f>((E23*E25/E24)*E27)*E28</f>
        <v>650.01601322007002</v>
      </c>
      <c r="F29" s="128" t="s">
        <v>369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G16" sqref="G16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97" t="s">
        <v>372</v>
      </c>
      <c r="B2" s="297"/>
      <c r="C2" s="297"/>
      <c r="D2" s="297"/>
      <c r="E2" s="297"/>
      <c r="F2" s="297"/>
    </row>
    <row r="4" spans="1:7" ht="18" customHeight="1" x14ac:dyDescent="0.25">
      <c r="A4" s="158" t="s">
        <v>334</v>
      </c>
    </row>
    <row r="5" spans="1:7" x14ac:dyDescent="0.25">
      <c r="A5" s="58" t="s">
        <v>13</v>
      </c>
      <c r="B5" s="58" t="s">
        <v>335</v>
      </c>
      <c r="C5" s="58" t="s">
        <v>336</v>
      </c>
      <c r="D5" s="58" t="s">
        <v>337</v>
      </c>
      <c r="E5" s="58" t="s">
        <v>338</v>
      </c>
      <c r="F5" s="58" t="s">
        <v>339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59" t="s">
        <v>340</v>
      </c>
      <c r="B7" s="63" t="s">
        <v>341</v>
      </c>
      <c r="C7" s="54" t="s">
        <v>373</v>
      </c>
      <c r="D7" s="54" t="s">
        <v>343</v>
      </c>
      <c r="E7" s="61">
        <v>43361</v>
      </c>
      <c r="F7" s="63" t="s">
        <v>344</v>
      </c>
    </row>
    <row r="8" spans="1:7" ht="30" customHeight="1" x14ac:dyDescent="0.25">
      <c r="A8" s="159" t="s">
        <v>345</v>
      </c>
      <c r="B8" s="63" t="s">
        <v>346</v>
      </c>
      <c r="C8" s="54" t="s">
        <v>374</v>
      </c>
      <c r="D8" s="54" t="s">
        <v>348</v>
      </c>
      <c r="E8" s="61">
        <f>1973/12</f>
        <v>164.41666666667001</v>
      </c>
      <c r="F8" s="63" t="s">
        <v>349</v>
      </c>
      <c r="G8" s="160"/>
    </row>
    <row r="9" spans="1:7" x14ac:dyDescent="0.25">
      <c r="A9" s="159" t="s">
        <v>350</v>
      </c>
      <c r="B9" s="63" t="s">
        <v>351</v>
      </c>
      <c r="C9" s="54" t="s">
        <v>352</v>
      </c>
      <c r="D9" s="54" t="s">
        <v>343</v>
      </c>
      <c r="E9" s="61">
        <v>1</v>
      </c>
      <c r="F9" s="63"/>
      <c r="G9" s="161"/>
    </row>
    <row r="10" spans="1:7" x14ac:dyDescent="0.25">
      <c r="A10" s="159" t="s">
        <v>353</v>
      </c>
      <c r="B10" s="63" t="s">
        <v>354</v>
      </c>
      <c r="C10" s="54"/>
      <c r="D10" s="54"/>
      <c r="E10" s="162">
        <v>1</v>
      </c>
      <c r="F10" s="63" t="s">
        <v>355</v>
      </c>
      <c r="G10" s="161"/>
    </row>
    <row r="11" spans="1:7" ht="75" customHeight="1" x14ac:dyDescent="0.25">
      <c r="A11" s="159" t="s">
        <v>356</v>
      </c>
      <c r="B11" s="63" t="s">
        <v>357</v>
      </c>
      <c r="C11" s="54" t="s">
        <v>375</v>
      </c>
      <c r="D11" s="54" t="s">
        <v>343</v>
      </c>
      <c r="E11" s="163">
        <v>2.15</v>
      </c>
      <c r="F11" s="63" t="s">
        <v>370</v>
      </c>
    </row>
    <row r="12" spans="1:7" ht="75" customHeight="1" x14ac:dyDescent="0.25">
      <c r="A12" s="159" t="s">
        <v>360</v>
      </c>
      <c r="B12" s="164" t="s">
        <v>361</v>
      </c>
      <c r="C12" s="54" t="s">
        <v>376</v>
      </c>
      <c r="D12" s="54" t="s">
        <v>343</v>
      </c>
      <c r="E12" s="165">
        <v>1.139</v>
      </c>
      <c r="F12" s="166" t="s">
        <v>363</v>
      </c>
      <c r="G12" s="161" t="s">
        <v>364</v>
      </c>
    </row>
    <row r="13" spans="1:7" ht="60" customHeight="1" x14ac:dyDescent="0.25">
      <c r="A13" s="159" t="s">
        <v>365</v>
      </c>
      <c r="B13" s="167" t="s">
        <v>377</v>
      </c>
      <c r="C13" s="54" t="s">
        <v>378</v>
      </c>
      <c r="D13" s="54" t="s">
        <v>379</v>
      </c>
      <c r="E13" s="168">
        <f>((E7*E9/E8)*E11)*E12</f>
        <v>645.82616229093003</v>
      </c>
      <c r="F13" s="63" t="s">
        <v>369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2" sqref="E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97" t="s">
        <v>372</v>
      </c>
      <c r="B2" s="297"/>
      <c r="C2" s="297"/>
      <c r="D2" s="297"/>
      <c r="E2" s="297"/>
      <c r="F2" s="297"/>
    </row>
    <row r="4" spans="1:7" ht="18" customHeight="1" x14ac:dyDescent="0.25">
      <c r="A4" s="158" t="s">
        <v>334</v>
      </c>
    </row>
    <row r="5" spans="1:7" x14ac:dyDescent="0.25">
      <c r="A5" s="58" t="s">
        <v>13</v>
      </c>
      <c r="B5" s="58" t="s">
        <v>335</v>
      </c>
      <c r="C5" s="58" t="s">
        <v>336</v>
      </c>
      <c r="D5" s="58" t="s">
        <v>337</v>
      </c>
      <c r="E5" s="58" t="s">
        <v>338</v>
      </c>
      <c r="F5" s="58" t="s">
        <v>339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59" t="s">
        <v>340</v>
      </c>
      <c r="B7" s="63" t="s">
        <v>341</v>
      </c>
      <c r="C7" s="54" t="s">
        <v>373</v>
      </c>
      <c r="D7" s="54" t="s">
        <v>343</v>
      </c>
      <c r="E7" s="61">
        <v>43361</v>
      </c>
      <c r="F7" s="63" t="s">
        <v>344</v>
      </c>
    </row>
    <row r="8" spans="1:7" ht="30" customHeight="1" x14ac:dyDescent="0.25">
      <c r="A8" s="159" t="s">
        <v>345</v>
      </c>
      <c r="B8" s="63" t="s">
        <v>346</v>
      </c>
      <c r="C8" s="54" t="s">
        <v>374</v>
      </c>
      <c r="D8" s="54" t="s">
        <v>348</v>
      </c>
      <c r="E8" s="61">
        <f>1973/12</f>
        <v>164.41666666667001</v>
      </c>
      <c r="F8" s="63" t="s">
        <v>349</v>
      </c>
      <c r="G8" s="160"/>
    </row>
    <row r="9" spans="1:7" x14ac:dyDescent="0.25">
      <c r="A9" s="159" t="s">
        <v>350</v>
      </c>
      <c r="B9" s="63" t="s">
        <v>351</v>
      </c>
      <c r="C9" s="54" t="s">
        <v>352</v>
      </c>
      <c r="D9" s="54" t="s">
        <v>343</v>
      </c>
      <c r="E9" s="61">
        <v>1</v>
      </c>
      <c r="F9" s="63"/>
      <c r="G9" s="161"/>
    </row>
    <row r="10" spans="1:7" x14ac:dyDescent="0.25">
      <c r="A10" s="159" t="s">
        <v>353</v>
      </c>
      <c r="B10" s="63" t="s">
        <v>354</v>
      </c>
      <c r="C10" s="54"/>
      <c r="D10" s="54"/>
      <c r="E10" s="162">
        <v>1</v>
      </c>
      <c r="F10" s="63" t="s">
        <v>355</v>
      </c>
      <c r="G10" s="161"/>
    </row>
    <row r="11" spans="1:7" ht="75" customHeight="1" x14ac:dyDescent="0.25">
      <c r="A11" s="159" t="s">
        <v>356</v>
      </c>
      <c r="B11" s="63" t="s">
        <v>357</v>
      </c>
      <c r="C11" s="54" t="s">
        <v>375</v>
      </c>
      <c r="D11" s="54" t="s">
        <v>343</v>
      </c>
      <c r="E11" s="163">
        <v>1.96</v>
      </c>
      <c r="F11" s="63" t="s">
        <v>370</v>
      </c>
    </row>
    <row r="12" spans="1:7" ht="75" customHeight="1" x14ac:dyDescent="0.25">
      <c r="A12" s="159" t="s">
        <v>360</v>
      </c>
      <c r="B12" s="164" t="s">
        <v>361</v>
      </c>
      <c r="C12" s="54" t="s">
        <v>376</v>
      </c>
      <c r="D12" s="54" t="s">
        <v>343</v>
      </c>
      <c r="E12" s="165">
        <v>1.139</v>
      </c>
      <c r="F12" s="166" t="s">
        <v>363</v>
      </c>
      <c r="G12" s="161" t="s">
        <v>364</v>
      </c>
    </row>
    <row r="13" spans="1:7" ht="60" customHeight="1" x14ac:dyDescent="0.25">
      <c r="A13" s="159" t="s">
        <v>365</v>
      </c>
      <c r="B13" s="167" t="s">
        <v>377</v>
      </c>
      <c r="C13" s="54" t="s">
        <v>378</v>
      </c>
      <c r="D13" s="54" t="s">
        <v>379</v>
      </c>
      <c r="E13" s="168">
        <f>((E7*E9/E8)*E11)*E12</f>
        <v>588.75315260009995</v>
      </c>
      <c r="F13" s="63" t="s">
        <v>369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98" t="s">
        <v>380</v>
      </c>
      <c r="B1" s="298"/>
      <c r="C1" s="298"/>
      <c r="D1" s="298"/>
      <c r="E1" s="298"/>
      <c r="F1" s="298"/>
      <c r="G1" s="298"/>
      <c r="H1" s="298"/>
      <c r="I1" s="298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43" t="str">
        <f>'Прил. 3'!A6</f>
        <v>Наименование разрабатываемого показателя УНЦ - Элементы ПС без устройства фундаментов. Цифровой ТН на три фазы 330 кВ.</v>
      </c>
      <c r="B3" s="243"/>
      <c r="C3" s="243"/>
      <c r="D3" s="243"/>
      <c r="E3" s="243"/>
      <c r="F3" s="243"/>
      <c r="G3" s="243"/>
      <c r="H3" s="243"/>
      <c r="I3" s="243"/>
    </row>
    <row r="4" spans="1:13" s="4" customFormat="1" ht="15.75" customHeight="1" x14ac:dyDescent="0.2">
      <c r="A4" s="271"/>
      <c r="B4" s="271"/>
      <c r="C4" s="271"/>
      <c r="D4" s="271"/>
      <c r="E4" s="271"/>
      <c r="F4" s="271"/>
      <c r="G4" s="271"/>
      <c r="H4" s="271"/>
      <c r="I4" s="271"/>
    </row>
    <row r="5" spans="1:13" s="36" customFormat="1" ht="36.6" customHeight="1" x14ac:dyDescent="0.35">
      <c r="A5" s="299" t="s">
        <v>13</v>
      </c>
      <c r="B5" s="299" t="s">
        <v>381</v>
      </c>
      <c r="C5" s="299" t="s">
        <v>382</v>
      </c>
      <c r="D5" s="299" t="s">
        <v>383</v>
      </c>
      <c r="E5" s="295" t="s">
        <v>384</v>
      </c>
      <c r="F5" s="295"/>
      <c r="G5" s="295"/>
      <c r="H5" s="295"/>
      <c r="I5" s="295"/>
    </row>
    <row r="6" spans="1:13" s="30" customFormat="1" ht="31.5" customHeight="1" x14ac:dyDescent="0.2">
      <c r="A6" s="299"/>
      <c r="B6" s="299"/>
      <c r="C6" s="299"/>
      <c r="D6" s="299"/>
      <c r="E6" s="37" t="s">
        <v>86</v>
      </c>
      <c r="F6" s="37" t="s">
        <v>87</v>
      </c>
      <c r="G6" s="37" t="s">
        <v>43</v>
      </c>
      <c r="H6" s="37" t="s">
        <v>385</v>
      </c>
      <c r="I6" s="37" t="s">
        <v>386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234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387</v>
      </c>
      <c r="C9" s="8" t="s">
        <v>388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389</v>
      </c>
      <c r="C11" s="8" t="s">
        <v>325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390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391</v>
      </c>
      <c r="C12" s="8" t="s">
        <v>392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393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329</v>
      </c>
      <c r="C14" s="8" t="s">
        <v>394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395</v>
      </c>
      <c r="C16" s="8" t="s">
        <v>396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397</v>
      </c>
    </row>
    <row r="17" spans="1:10" s="30" customFormat="1" ht="81.75" customHeight="1" x14ac:dyDescent="0.2">
      <c r="A17" s="38">
        <v>7</v>
      </c>
      <c r="B17" s="8" t="s">
        <v>395</v>
      </c>
      <c r="C17" s="8" t="s">
        <v>398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399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400</v>
      </c>
      <c r="C20" s="8" t="s">
        <v>242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401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245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246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247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248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301" t="s">
        <v>402</v>
      </c>
      <c r="O2" s="301"/>
    </row>
    <row r="3" spans="1:16" x14ac:dyDescent="0.25">
      <c r="A3" s="297" t="s">
        <v>403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</row>
    <row r="5" spans="1:16" ht="37.5" customHeight="1" x14ac:dyDescent="0.25">
      <c r="A5" s="302" t="s">
        <v>404</v>
      </c>
      <c r="B5" s="305" t="s">
        <v>405</v>
      </c>
      <c r="C5" s="308" t="s">
        <v>406</v>
      </c>
      <c r="D5" s="311" t="s">
        <v>407</v>
      </c>
      <c r="E5" s="312"/>
      <c r="F5" s="312"/>
      <c r="G5" s="312"/>
      <c r="H5" s="312"/>
      <c r="I5" s="311" t="s">
        <v>408</v>
      </c>
      <c r="J5" s="312"/>
      <c r="K5" s="312"/>
      <c r="L5" s="312"/>
      <c r="M5" s="312"/>
      <c r="N5" s="312"/>
      <c r="O5" s="54" t="s">
        <v>409</v>
      </c>
    </row>
    <row r="6" spans="1:16" s="57" customFormat="1" ht="150" customHeight="1" x14ac:dyDescent="0.25">
      <c r="A6" s="303"/>
      <c r="B6" s="306"/>
      <c r="C6" s="309"/>
      <c r="D6" s="308" t="s">
        <v>410</v>
      </c>
      <c r="E6" s="313" t="s">
        <v>411</v>
      </c>
      <c r="F6" s="314"/>
      <c r="G6" s="315"/>
      <c r="H6" s="55" t="s">
        <v>412</v>
      </c>
      <c r="I6" s="316" t="s">
        <v>413</v>
      </c>
      <c r="J6" s="316" t="s">
        <v>410</v>
      </c>
      <c r="K6" s="317" t="s">
        <v>411</v>
      </c>
      <c r="L6" s="317"/>
      <c r="M6" s="317"/>
      <c r="N6" s="55" t="s">
        <v>412</v>
      </c>
      <c r="O6" s="56" t="s">
        <v>414</v>
      </c>
    </row>
    <row r="7" spans="1:16" s="57" customFormat="1" ht="30.75" customHeight="1" x14ac:dyDescent="0.25">
      <c r="A7" s="304"/>
      <c r="B7" s="307"/>
      <c r="C7" s="310"/>
      <c r="D7" s="310"/>
      <c r="E7" s="54" t="s">
        <v>86</v>
      </c>
      <c r="F7" s="54" t="s">
        <v>87</v>
      </c>
      <c r="G7" s="54" t="s">
        <v>43</v>
      </c>
      <c r="H7" s="58" t="s">
        <v>415</v>
      </c>
      <c r="I7" s="316"/>
      <c r="J7" s="316"/>
      <c r="K7" s="54" t="s">
        <v>86</v>
      </c>
      <c r="L7" s="54" t="s">
        <v>87</v>
      </c>
      <c r="M7" s="54" t="s">
        <v>43</v>
      </c>
      <c r="N7" s="58" t="s">
        <v>415</v>
      </c>
      <c r="O7" s="54" t="s">
        <v>416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302" t="s">
        <v>417</v>
      </c>
      <c r="C9" s="60" t="s">
        <v>418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304"/>
      <c r="C10" s="63" t="s">
        <v>419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302" t="s">
        <v>420</v>
      </c>
      <c r="C11" s="63" t="s">
        <v>421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304"/>
      <c r="C12" s="63" t="s">
        <v>422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302" t="s">
        <v>423</v>
      </c>
      <c r="C13" s="60" t="s">
        <v>424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304"/>
      <c r="C14" s="63" t="s">
        <v>425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426</v>
      </c>
      <c r="C15" s="63" t="s">
        <v>427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428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429</v>
      </c>
    </row>
    <row r="19" spans="1:15" ht="30.75" customHeight="1" x14ac:dyDescent="0.25">
      <c r="L19" s="75"/>
    </row>
    <row r="20" spans="1:15" ht="15" customHeight="1" outlineLevel="1" x14ac:dyDescent="0.25">
      <c r="G20" s="300" t="s">
        <v>430</v>
      </c>
      <c r="H20" s="300"/>
      <c r="I20" s="300"/>
      <c r="J20" s="300"/>
      <c r="K20" s="300"/>
      <c r="L20" s="300"/>
      <c r="M20" s="300"/>
      <c r="N20" s="300"/>
    </row>
    <row r="21" spans="1:15" ht="15.75" customHeight="1" outlineLevel="1" x14ac:dyDescent="0.25">
      <c r="G21" s="76"/>
      <c r="H21" s="76" t="s">
        <v>431</v>
      </c>
      <c r="I21" s="76" t="s">
        <v>432</v>
      </c>
      <c r="J21" s="76" t="s">
        <v>433</v>
      </c>
      <c r="K21" s="77" t="s">
        <v>434</v>
      </c>
      <c r="L21" s="76" t="s">
        <v>435</v>
      </c>
      <c r="M21" s="76" t="s">
        <v>436</v>
      </c>
      <c r="N21" s="76" t="s">
        <v>437</v>
      </c>
      <c r="O21" s="70"/>
    </row>
    <row r="22" spans="1:15" ht="15.75" customHeight="1" outlineLevel="1" x14ac:dyDescent="0.25">
      <c r="G22" s="319" t="s">
        <v>438</v>
      </c>
      <c r="H22" s="318">
        <v>6.09</v>
      </c>
      <c r="I22" s="320">
        <v>6.44</v>
      </c>
      <c r="J22" s="318">
        <v>5.77</v>
      </c>
      <c r="K22" s="320">
        <v>5.77</v>
      </c>
      <c r="L22" s="318">
        <v>5.23</v>
      </c>
      <c r="M22" s="318">
        <v>5.77</v>
      </c>
      <c r="N22" s="78">
        <v>6.29</v>
      </c>
      <c r="O22" t="s">
        <v>439</v>
      </c>
    </row>
    <row r="23" spans="1:15" ht="15.75" customHeight="1" outlineLevel="1" x14ac:dyDescent="0.25">
      <c r="G23" s="319"/>
      <c r="H23" s="318"/>
      <c r="I23" s="320"/>
      <c r="J23" s="318"/>
      <c r="K23" s="320"/>
      <c r="L23" s="318"/>
      <c r="M23" s="318"/>
      <c r="N23" s="78">
        <v>6.56</v>
      </c>
      <c r="O23" t="s">
        <v>440</v>
      </c>
    </row>
    <row r="24" spans="1:15" ht="15.75" customHeight="1" outlineLevel="1" x14ac:dyDescent="0.25">
      <c r="G24" s="79" t="s">
        <v>441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415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442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443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385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36" t="s">
        <v>444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</row>
    <row r="4" spans="1:18" ht="36.75" customHeight="1" x14ac:dyDescent="0.25">
      <c r="A4" s="302" t="s">
        <v>404</v>
      </c>
      <c r="B4" s="305" t="s">
        <v>405</v>
      </c>
      <c r="C4" s="308" t="s">
        <v>445</v>
      </c>
      <c r="D4" s="308" t="s">
        <v>446</v>
      </c>
      <c r="E4" s="311" t="s">
        <v>447</v>
      </c>
      <c r="F4" s="312"/>
      <c r="G4" s="312"/>
      <c r="H4" s="312"/>
      <c r="I4" s="312"/>
      <c r="J4" s="312"/>
      <c r="K4" s="312"/>
      <c r="L4" s="312"/>
      <c r="M4" s="312"/>
      <c r="N4" s="337" t="s">
        <v>448</v>
      </c>
      <c r="O4" s="338"/>
      <c r="P4" s="338"/>
      <c r="Q4" s="338"/>
      <c r="R4" s="339"/>
    </row>
    <row r="5" spans="1:18" ht="60" customHeight="1" x14ac:dyDescent="0.25">
      <c r="A5" s="303"/>
      <c r="B5" s="306"/>
      <c r="C5" s="309"/>
      <c r="D5" s="309"/>
      <c r="E5" s="316" t="s">
        <v>449</v>
      </c>
      <c r="F5" s="316" t="s">
        <v>450</v>
      </c>
      <c r="G5" s="313" t="s">
        <v>411</v>
      </c>
      <c r="H5" s="314"/>
      <c r="I5" s="314"/>
      <c r="J5" s="315"/>
      <c r="K5" s="316" t="s">
        <v>451</v>
      </c>
      <c r="L5" s="316"/>
      <c r="M5" s="316"/>
      <c r="N5" s="81" t="s">
        <v>452</v>
      </c>
      <c r="O5" s="81" t="s">
        <v>453</v>
      </c>
      <c r="P5" s="81" t="s">
        <v>454</v>
      </c>
      <c r="Q5" s="82" t="s">
        <v>455</v>
      </c>
      <c r="R5" s="81" t="s">
        <v>456</v>
      </c>
    </row>
    <row r="6" spans="1:18" ht="49.5" customHeight="1" x14ac:dyDescent="0.25">
      <c r="A6" s="304"/>
      <c r="B6" s="307"/>
      <c r="C6" s="310"/>
      <c r="D6" s="310"/>
      <c r="E6" s="316"/>
      <c r="F6" s="316"/>
      <c r="G6" s="54" t="s">
        <v>86</v>
      </c>
      <c r="H6" s="54" t="s">
        <v>87</v>
      </c>
      <c r="I6" s="54" t="s">
        <v>43</v>
      </c>
      <c r="J6" s="54" t="s">
        <v>385</v>
      </c>
      <c r="K6" s="54" t="s">
        <v>452</v>
      </c>
      <c r="L6" s="54" t="s">
        <v>453</v>
      </c>
      <c r="M6" s="54" t="s">
        <v>454</v>
      </c>
      <c r="N6" s="54" t="s">
        <v>457</v>
      </c>
      <c r="O6" s="54" t="s">
        <v>458</v>
      </c>
      <c r="P6" s="54" t="s">
        <v>459</v>
      </c>
      <c r="Q6" s="55" t="s">
        <v>460</v>
      </c>
      <c r="R6" s="54" t="s">
        <v>461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302">
        <v>1</v>
      </c>
      <c r="B9" s="302" t="s">
        <v>462</v>
      </c>
      <c r="C9" s="329" t="s">
        <v>418</v>
      </c>
      <c r="D9" s="60" t="s">
        <v>463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304"/>
      <c r="B10" s="303"/>
      <c r="C10" s="330"/>
      <c r="D10" s="60" t="s">
        <v>464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302">
        <v>2</v>
      </c>
      <c r="B11" s="303"/>
      <c r="C11" s="329" t="s">
        <v>465</v>
      </c>
      <c r="D11" s="60" t="s">
        <v>463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304"/>
      <c r="B12" s="304"/>
      <c r="C12" s="330"/>
      <c r="D12" s="60" t="s">
        <v>464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302">
        <v>3</v>
      </c>
      <c r="B13" s="302" t="s">
        <v>420</v>
      </c>
      <c r="C13" s="332" t="s">
        <v>421</v>
      </c>
      <c r="D13" s="60" t="s">
        <v>466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304"/>
      <c r="B14" s="303"/>
      <c r="C14" s="333"/>
      <c r="D14" s="60" t="s">
        <v>464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302">
        <v>4</v>
      </c>
      <c r="B15" s="303"/>
      <c r="C15" s="334" t="s">
        <v>422</v>
      </c>
      <c r="D15" s="63" t="s">
        <v>466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304"/>
      <c r="B16" s="304"/>
      <c r="C16" s="335"/>
      <c r="D16" s="63" t="s">
        <v>464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302">
        <v>5</v>
      </c>
      <c r="B17" s="317" t="s">
        <v>423</v>
      </c>
      <c r="C17" s="329" t="s">
        <v>467</v>
      </c>
      <c r="D17" s="60" t="s">
        <v>468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304"/>
      <c r="B18" s="317"/>
      <c r="C18" s="330"/>
      <c r="D18" s="60" t="s">
        <v>464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302">
        <v>6</v>
      </c>
      <c r="B19" s="317"/>
      <c r="C19" s="329" t="s">
        <v>425</v>
      </c>
      <c r="D19" s="63" t="s">
        <v>466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304"/>
      <c r="B20" s="317"/>
      <c r="C20" s="330"/>
      <c r="D20" s="63" t="s">
        <v>464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302">
        <v>7</v>
      </c>
      <c r="B21" s="302" t="s">
        <v>426</v>
      </c>
      <c r="C21" s="329" t="s">
        <v>427</v>
      </c>
      <c r="D21" s="63" t="s">
        <v>469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304"/>
      <c r="B22" s="304"/>
      <c r="C22" s="330"/>
      <c r="D22" s="86" t="s">
        <v>464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470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31" t="s">
        <v>471</v>
      </c>
      <c r="E26" s="331"/>
      <c r="F26" s="331"/>
      <c r="G26" s="331"/>
      <c r="H26" s="331"/>
      <c r="I26" s="331"/>
      <c r="J26" s="331"/>
      <c r="K26" s="331"/>
      <c r="L26" s="75"/>
      <c r="R26" s="93"/>
    </row>
    <row r="27" spans="1:18" outlineLevel="1" x14ac:dyDescent="0.25">
      <c r="D27" s="94"/>
      <c r="E27" s="94" t="s">
        <v>431</v>
      </c>
      <c r="F27" s="94" t="s">
        <v>432</v>
      </c>
      <c r="G27" s="94" t="s">
        <v>433</v>
      </c>
      <c r="H27" s="95" t="s">
        <v>434</v>
      </c>
      <c r="I27" s="95" t="s">
        <v>435</v>
      </c>
      <c r="J27" s="95" t="s">
        <v>436</v>
      </c>
      <c r="K27" s="66" t="s">
        <v>437</v>
      </c>
    </row>
    <row r="28" spans="1:18" outlineLevel="1" x14ac:dyDescent="0.25">
      <c r="D28" s="325" t="s">
        <v>438</v>
      </c>
      <c r="E28" s="323">
        <v>6.09</v>
      </c>
      <c r="F28" s="327">
        <v>6.63</v>
      </c>
      <c r="G28" s="323">
        <v>5.77</v>
      </c>
      <c r="H28" s="321">
        <v>5.77</v>
      </c>
      <c r="I28" s="321">
        <v>6.35</v>
      </c>
      <c r="J28" s="323">
        <v>5.77</v>
      </c>
      <c r="K28" s="96">
        <v>6.29</v>
      </c>
      <c r="L28" t="s">
        <v>439</v>
      </c>
    </row>
    <row r="29" spans="1:18" outlineLevel="1" x14ac:dyDescent="0.25">
      <c r="D29" s="326"/>
      <c r="E29" s="324"/>
      <c r="F29" s="328"/>
      <c r="G29" s="324"/>
      <c r="H29" s="322"/>
      <c r="I29" s="322"/>
      <c r="J29" s="324"/>
      <c r="K29" s="96">
        <v>6.56</v>
      </c>
      <c r="L29" t="s">
        <v>440</v>
      </c>
    </row>
    <row r="30" spans="1:18" outlineLevel="1" x14ac:dyDescent="0.25">
      <c r="D30" s="97" t="s">
        <v>441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25" t="s">
        <v>415</v>
      </c>
      <c r="E31" s="323">
        <v>11.37</v>
      </c>
      <c r="F31" s="327">
        <v>13.56</v>
      </c>
      <c r="G31" s="323">
        <v>15.91</v>
      </c>
      <c r="H31" s="321">
        <v>15.91</v>
      </c>
      <c r="I31" s="321">
        <v>14.03</v>
      </c>
      <c r="J31" s="323">
        <v>15.91</v>
      </c>
      <c r="K31" s="96">
        <v>8.2899999999999991</v>
      </c>
      <c r="L31" t="s">
        <v>439</v>
      </c>
    </row>
    <row r="32" spans="1:18" outlineLevel="1" x14ac:dyDescent="0.25">
      <c r="D32" s="326"/>
      <c r="E32" s="324"/>
      <c r="F32" s="328"/>
      <c r="G32" s="324"/>
      <c r="H32" s="322"/>
      <c r="I32" s="322"/>
      <c r="J32" s="324"/>
      <c r="K32" s="96">
        <v>11.84</v>
      </c>
      <c r="L32" t="s">
        <v>440</v>
      </c>
    </row>
    <row r="33" spans="4:12" ht="15" customHeight="1" outlineLevel="1" x14ac:dyDescent="0.25">
      <c r="D33" s="98" t="s">
        <v>442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472</v>
      </c>
    </row>
    <row r="34" spans="4:12" outlineLevel="1" x14ac:dyDescent="0.25">
      <c r="D34" s="98" t="s">
        <v>443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472</v>
      </c>
    </row>
    <row r="35" spans="4:12" outlineLevel="1" x14ac:dyDescent="0.25">
      <c r="D35" s="97" t="s">
        <v>385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40" t="s">
        <v>10</v>
      </c>
      <c r="B2" s="240"/>
      <c r="C2" s="240"/>
      <c r="D2" s="240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4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43"/>
    </row>
    <row r="5" spans="1:4" x14ac:dyDescent="0.25">
      <c r="A5" s="5"/>
      <c r="B5" s="1"/>
      <c r="C5" s="1"/>
    </row>
    <row r="6" spans="1:4" x14ac:dyDescent="0.25">
      <c r="A6" s="240" t="s">
        <v>12</v>
      </c>
      <c r="B6" s="240"/>
      <c r="C6" s="240"/>
      <c r="D6" s="240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2009.1774700679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1994.6423817891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2009.1774700679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44" t="s">
        <v>5</v>
      </c>
      <c r="B15" s="245" t="s">
        <v>15</v>
      </c>
      <c r="C15" s="245"/>
      <c r="D15" s="245"/>
    </row>
    <row r="16" spans="1:4" x14ac:dyDescent="0.25">
      <c r="A16" s="244"/>
      <c r="B16" s="244" t="s">
        <v>17</v>
      </c>
      <c r="C16" s="245" t="s">
        <v>28</v>
      </c>
      <c r="D16" s="245"/>
    </row>
    <row r="17" spans="1:4" ht="39" customHeight="1" x14ac:dyDescent="0.25">
      <c r="A17" s="244"/>
      <c r="B17" s="244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2009.1774700679</v>
      </c>
      <c r="C18" s="3">
        <f>C11</f>
        <v>0</v>
      </c>
      <c r="D18" s="3">
        <f>C12</f>
        <v>1994.6423817891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46" t="s">
        <v>29</v>
      </c>
      <c r="B2" s="246"/>
      <c r="C2" s="246"/>
      <c r="D2" s="246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19" zoomScale="85" zoomScaleNormal="70" workbookViewId="0">
      <selection activeCell="A26" sqref="A26:XFD30"/>
    </sheetView>
  </sheetViews>
  <sheetFormatPr defaultRowHeight="15" x14ac:dyDescent="0.25"/>
  <cols>
    <col min="3" max="3" width="36.85546875" customWidth="1"/>
    <col min="4" max="4" width="43.85546875" customWidth="1"/>
  </cols>
  <sheetData>
    <row r="3" spans="2:4" ht="15.75" customHeight="1" x14ac:dyDescent="0.25">
      <c r="B3" s="248" t="s">
        <v>45</v>
      </c>
      <c r="C3" s="248"/>
      <c r="D3" s="248"/>
    </row>
    <row r="4" spans="2:4" ht="18.75" customHeight="1" x14ac:dyDescent="0.25">
      <c r="B4" s="249" t="s">
        <v>46</v>
      </c>
      <c r="C4" s="249"/>
      <c r="D4" s="249"/>
    </row>
    <row r="5" spans="2:4" ht="84" customHeight="1" x14ac:dyDescent="0.25">
      <c r="B5" s="250" t="s">
        <v>47</v>
      </c>
      <c r="C5" s="250"/>
      <c r="D5" s="250"/>
    </row>
    <row r="6" spans="2:4" ht="18.75" customHeight="1" x14ac:dyDescent="0.25">
      <c r="B6" s="224"/>
      <c r="C6" s="224"/>
      <c r="D6" s="224"/>
    </row>
    <row r="7" spans="2:4" ht="46.5" customHeight="1" x14ac:dyDescent="0.25">
      <c r="B7" s="247" t="s">
        <v>48</v>
      </c>
      <c r="C7" s="247"/>
      <c r="D7" s="247"/>
    </row>
    <row r="8" spans="2:4" ht="15.75" customHeight="1" x14ac:dyDescent="0.25">
      <c r="B8" s="251" t="s">
        <v>49</v>
      </c>
      <c r="C8" s="251"/>
      <c r="D8" s="251"/>
    </row>
    <row r="9" spans="2:4" ht="15.75" customHeight="1" x14ac:dyDescent="0.25">
      <c r="B9" s="247" t="s">
        <v>50</v>
      </c>
      <c r="C9" s="247"/>
      <c r="D9" s="247"/>
    </row>
    <row r="10" spans="2:4" ht="18.75" customHeight="1" x14ac:dyDescent="0.25">
      <c r="B10" s="116"/>
    </row>
    <row r="11" spans="2:4" ht="15.75" customHeight="1" x14ac:dyDescent="0.25">
      <c r="B11" s="117" t="s">
        <v>33</v>
      </c>
      <c r="C11" s="117" t="s">
        <v>51</v>
      </c>
      <c r="D11" s="117" t="s">
        <v>52</v>
      </c>
    </row>
    <row r="12" spans="2:4" ht="47.25" customHeight="1" x14ac:dyDescent="0.25">
      <c r="B12" s="117">
        <v>1</v>
      </c>
      <c r="C12" s="118" t="s">
        <v>53</v>
      </c>
      <c r="D12" s="117" t="s">
        <v>54</v>
      </c>
    </row>
    <row r="13" spans="2:4" ht="31.5" customHeight="1" x14ac:dyDescent="0.25">
      <c r="B13" s="117">
        <v>2</v>
      </c>
      <c r="C13" s="118" t="s">
        <v>55</v>
      </c>
      <c r="D13" s="117" t="s">
        <v>56</v>
      </c>
    </row>
    <row r="14" spans="2:4" ht="15.75" customHeight="1" x14ac:dyDescent="0.25">
      <c r="B14" s="117">
        <v>3</v>
      </c>
      <c r="C14" s="118" t="s">
        <v>57</v>
      </c>
      <c r="D14" s="117" t="s">
        <v>58</v>
      </c>
    </row>
    <row r="15" spans="2:4" ht="15.75" customHeight="1" x14ac:dyDescent="0.25">
      <c r="B15" s="117">
        <v>4</v>
      </c>
      <c r="C15" s="118" t="s">
        <v>59</v>
      </c>
      <c r="D15" s="178">
        <v>1</v>
      </c>
    </row>
    <row r="16" spans="2:4" ht="107.25" customHeight="1" x14ac:dyDescent="0.25">
      <c r="B16" s="117">
        <v>5</v>
      </c>
      <c r="C16" s="119" t="s">
        <v>60</v>
      </c>
      <c r="D16" s="178" t="s">
        <v>61</v>
      </c>
    </row>
    <row r="17" spans="2:4" ht="95.25" customHeight="1" x14ac:dyDescent="0.25">
      <c r="B17" s="117">
        <v>6</v>
      </c>
      <c r="C17" s="119" t="s">
        <v>62</v>
      </c>
      <c r="D17" s="226">
        <f>SUM(D18:D21)</f>
        <v>9465.5826407902005</v>
      </c>
    </row>
    <row r="18" spans="2:4" ht="15.75" customHeight="1" x14ac:dyDescent="0.25">
      <c r="B18" s="120" t="s">
        <v>63</v>
      </c>
      <c r="C18" s="118" t="s">
        <v>64</v>
      </c>
      <c r="D18" s="226">
        <f>'Прил.2 Расч стоим'!G13</f>
        <v>561.51161980999996</v>
      </c>
    </row>
    <row r="19" spans="2:4" ht="15.75" customHeight="1" x14ac:dyDescent="0.25">
      <c r="B19" s="120" t="s">
        <v>65</v>
      </c>
      <c r="C19" s="118" t="s">
        <v>66</v>
      </c>
      <c r="D19" s="226">
        <f>'Прил.2 Расч стоим'!H13</f>
        <v>8864.3170764000006</v>
      </c>
    </row>
    <row r="20" spans="2:4" ht="15.75" customHeight="1" x14ac:dyDescent="0.25">
      <c r="B20" s="120" t="s">
        <v>67</v>
      </c>
      <c r="C20" s="118" t="s">
        <v>68</v>
      </c>
      <c r="D20" s="226"/>
    </row>
    <row r="21" spans="2:4" ht="15.75" customHeight="1" x14ac:dyDescent="0.25">
      <c r="B21" s="120" t="s">
        <v>69</v>
      </c>
      <c r="C21" s="118" t="s">
        <v>70</v>
      </c>
      <c r="D21" s="237">
        <f>D18*3.9%*0.8+(D18*3.9%*0.8+D18)*4.8%*0.8</f>
        <v>39.753944580237999</v>
      </c>
    </row>
    <row r="22" spans="2:4" ht="15.75" customHeight="1" x14ac:dyDescent="0.25">
      <c r="B22" s="117">
        <v>7</v>
      </c>
      <c r="C22" s="118" t="s">
        <v>71</v>
      </c>
      <c r="D22" s="238" t="s">
        <v>72</v>
      </c>
    </row>
    <row r="23" spans="2:4" ht="110.25" customHeight="1" x14ac:dyDescent="0.25">
      <c r="B23" s="117">
        <v>8</v>
      </c>
      <c r="C23" s="119" t="s">
        <v>73</v>
      </c>
      <c r="D23" s="226">
        <f>D17</f>
        <v>9465.5826407902005</v>
      </c>
    </row>
    <row r="24" spans="2:4" ht="61.5" customHeight="1" x14ac:dyDescent="0.25">
      <c r="B24" s="117">
        <v>9</v>
      </c>
      <c r="C24" s="119" t="s">
        <v>74</v>
      </c>
      <c r="D24" s="226">
        <f>D23/1</f>
        <v>9465.5826407902005</v>
      </c>
    </row>
    <row r="25" spans="2:4" ht="37.5" customHeight="1" x14ac:dyDescent="0.25">
      <c r="B25" s="121"/>
      <c r="C25" s="122"/>
      <c r="D25" s="122"/>
    </row>
    <row r="26" spans="2:4" x14ac:dyDescent="0.25">
      <c r="B26" s="4" t="s">
        <v>75</v>
      </c>
      <c r="C26" s="12"/>
    </row>
    <row r="27" spans="2:4" x14ac:dyDescent="0.25">
      <c r="B27" s="33" t="s">
        <v>76</v>
      </c>
      <c r="C27" s="12"/>
    </row>
    <row r="28" spans="2:4" x14ac:dyDescent="0.25">
      <c r="B28" s="4"/>
      <c r="C28" s="12"/>
    </row>
    <row r="29" spans="2:4" x14ac:dyDescent="0.25">
      <c r="B29" s="4" t="s">
        <v>77</v>
      </c>
      <c r="C29" s="12"/>
    </row>
    <row r="30" spans="2:4" x14ac:dyDescent="0.25">
      <c r="B30" s="33" t="s">
        <v>78</v>
      </c>
      <c r="C30" s="12"/>
    </row>
    <row r="31" spans="2:4" ht="15.75" customHeight="1" x14ac:dyDescent="0.25">
      <c r="B31" s="122"/>
      <c r="C31" s="122"/>
      <c r="D31" s="122"/>
    </row>
  </sheetData>
  <mergeCells count="6">
    <mergeCell ref="B9:D9"/>
    <mergeCell ref="B3:D3"/>
    <mergeCell ref="B4:D4"/>
    <mergeCell ref="B5:D5"/>
    <mergeCell ref="B8:D8"/>
    <mergeCell ref="B7:D7"/>
  </mergeCells>
  <pageMargins left="0.7" right="0.7" top="0.75" bottom="0.75" header="0.3" footer="0.3"/>
  <pageSetup paperSize="9" scale="79" orientation="portrait" cellComments="atEnd" r:id="rId1"/>
  <colBreaks count="1" manualBreakCount="1">
    <brk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zoomScale="70" zoomScaleNormal="70"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48" t="s">
        <v>79</v>
      </c>
      <c r="C3" s="248"/>
      <c r="D3" s="248"/>
      <c r="E3" s="248"/>
      <c r="F3" s="248"/>
      <c r="G3" s="248"/>
      <c r="H3" s="248"/>
      <c r="I3" s="248"/>
      <c r="J3" s="248"/>
      <c r="K3" s="248"/>
    </row>
    <row r="4" spans="2:11" ht="15.75" customHeight="1" x14ac:dyDescent="0.25">
      <c r="B4" s="254" t="s">
        <v>80</v>
      </c>
      <c r="C4" s="254"/>
      <c r="D4" s="254"/>
      <c r="E4" s="254"/>
      <c r="F4" s="254"/>
      <c r="G4" s="254"/>
      <c r="H4" s="254"/>
      <c r="I4" s="254"/>
      <c r="J4" s="254"/>
      <c r="K4" s="254"/>
    </row>
    <row r="5" spans="2:11" ht="15.75" customHeight="1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</row>
    <row r="6" spans="2:11" ht="15.75" customHeight="1" x14ac:dyDescent="0.25">
      <c r="B6" s="251" t="s">
        <v>48</v>
      </c>
      <c r="C6" s="251"/>
      <c r="D6" s="251"/>
      <c r="E6" s="251"/>
      <c r="F6" s="251"/>
      <c r="G6" s="251"/>
      <c r="H6" s="251"/>
      <c r="I6" s="251"/>
      <c r="J6" s="251"/>
      <c r="K6" s="251"/>
    </row>
    <row r="7" spans="2:11" ht="15.75" customHeight="1" x14ac:dyDescent="0.25">
      <c r="B7" s="251" t="s">
        <v>50</v>
      </c>
      <c r="C7" s="251"/>
      <c r="D7" s="251"/>
      <c r="E7" s="251"/>
      <c r="F7" s="251"/>
      <c r="G7" s="251"/>
      <c r="H7" s="251"/>
      <c r="I7" s="251"/>
      <c r="J7" s="251"/>
      <c r="K7" s="251"/>
    </row>
    <row r="8" spans="2:11" ht="18.75" customHeight="1" x14ac:dyDescent="0.25">
      <c r="B8" s="116"/>
    </row>
    <row r="9" spans="2:11" ht="15.75" customHeight="1" x14ac:dyDescent="0.25">
      <c r="B9" s="255" t="s">
        <v>33</v>
      </c>
      <c r="C9" s="255" t="s">
        <v>81</v>
      </c>
      <c r="D9" s="255" t="s">
        <v>82</v>
      </c>
      <c r="E9" s="255"/>
      <c r="F9" s="255"/>
      <c r="G9" s="255"/>
      <c r="H9" s="255"/>
      <c r="I9" s="255"/>
      <c r="J9" s="255"/>
    </row>
    <row r="10" spans="2:11" ht="15.75" customHeight="1" x14ac:dyDescent="0.25">
      <c r="B10" s="255"/>
      <c r="C10" s="255"/>
      <c r="D10" s="255" t="s">
        <v>83</v>
      </c>
      <c r="E10" s="255" t="s">
        <v>84</v>
      </c>
      <c r="F10" s="255" t="s">
        <v>85</v>
      </c>
      <c r="G10" s="255"/>
      <c r="H10" s="255"/>
      <c r="I10" s="255"/>
      <c r="J10" s="255"/>
    </row>
    <row r="11" spans="2:11" ht="73.5" customHeight="1" x14ac:dyDescent="0.25">
      <c r="B11" s="255"/>
      <c r="C11" s="255"/>
      <c r="D11" s="255"/>
      <c r="E11" s="255"/>
      <c r="F11" s="117" t="s">
        <v>86</v>
      </c>
      <c r="G11" s="117" t="s">
        <v>87</v>
      </c>
      <c r="H11" s="117" t="s">
        <v>43</v>
      </c>
      <c r="I11" s="117" t="s">
        <v>88</v>
      </c>
      <c r="J11" s="117" t="s">
        <v>89</v>
      </c>
    </row>
    <row r="12" spans="2:11" ht="94.5" customHeight="1" x14ac:dyDescent="0.25">
      <c r="B12" s="227">
        <v>1</v>
      </c>
      <c r="C12" s="178" t="s">
        <v>473</v>
      </c>
      <c r="D12" s="227" t="s">
        <v>90</v>
      </c>
      <c r="E12" s="239" t="s">
        <v>91</v>
      </c>
      <c r="F12" s="228"/>
      <c r="G12" s="228">
        <v>561.51161980999996</v>
      </c>
      <c r="H12" s="228">
        <v>8864.3170764000006</v>
      </c>
      <c r="I12" s="228"/>
      <c r="J12" s="228">
        <f>SUM(F12:I12)</f>
        <v>9425.828696210001</v>
      </c>
    </row>
    <row r="13" spans="2:11" ht="15.75" customHeight="1" x14ac:dyDescent="0.25">
      <c r="B13" s="252" t="s">
        <v>92</v>
      </c>
      <c r="C13" s="252"/>
      <c r="D13" s="252"/>
      <c r="E13" s="252"/>
      <c r="F13" s="229">
        <f>SUM(F12)</f>
        <v>0</v>
      </c>
      <c r="G13" s="229">
        <f>SUM(G12)</f>
        <v>561.51161980999996</v>
      </c>
      <c r="H13" s="229">
        <f>SUM(H12)</f>
        <v>8864.3170764000006</v>
      </c>
      <c r="I13" s="229"/>
      <c r="J13" s="229">
        <f>SUM(F13:I13)</f>
        <v>9425.828696210001</v>
      </c>
    </row>
    <row r="14" spans="2:11" ht="15.75" customHeight="1" x14ac:dyDescent="0.25">
      <c r="B14" s="253" t="s">
        <v>93</v>
      </c>
      <c r="C14" s="253"/>
      <c r="D14" s="253"/>
      <c r="E14" s="253"/>
      <c r="F14" s="230">
        <f>F13</f>
        <v>0</v>
      </c>
      <c r="G14" s="230">
        <f>G13</f>
        <v>561.51161980999996</v>
      </c>
      <c r="H14" s="230">
        <f>H13</f>
        <v>8864.3170764000006</v>
      </c>
      <c r="I14" s="230">
        <f>'Прил.1 Сравнит табл'!D21</f>
        <v>39.753944580237999</v>
      </c>
      <c r="J14" s="229">
        <f>SUM(F14:I14)</f>
        <v>9465.5826407902387</v>
      </c>
    </row>
    <row r="15" spans="2:11" ht="18.75" customHeight="1" x14ac:dyDescent="0.25">
      <c r="B15" s="225"/>
      <c r="C15" s="204"/>
      <c r="D15" s="204"/>
      <c r="E15" s="204"/>
      <c r="F15" s="204"/>
      <c r="G15" s="204"/>
      <c r="H15" s="204"/>
      <c r="I15" s="204"/>
      <c r="J15" s="204"/>
    </row>
    <row r="18" spans="2:3" x14ac:dyDescent="0.25">
      <c r="B18" s="4" t="s">
        <v>75</v>
      </c>
      <c r="C18" s="12"/>
    </row>
    <row r="19" spans="2:3" x14ac:dyDescent="0.25">
      <c r="B19" s="33" t="s">
        <v>76</v>
      </c>
      <c r="C19" s="12"/>
    </row>
    <row r="20" spans="2:3" x14ac:dyDescent="0.25">
      <c r="B20" s="4"/>
      <c r="C20" s="12"/>
    </row>
    <row r="21" spans="2:3" x14ac:dyDescent="0.25">
      <c r="B21" s="4" t="s">
        <v>77</v>
      </c>
      <c r="C21" s="12"/>
    </row>
    <row r="22" spans="2:3" x14ac:dyDescent="0.25">
      <c r="B22" s="33" t="s">
        <v>78</v>
      </c>
      <c r="C22" s="12"/>
    </row>
  </sheetData>
  <mergeCells count="12"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71"/>
  <sheetViews>
    <sheetView view="pageBreakPreview" zoomScale="85" workbookViewId="0">
      <selection activeCell="D8" sqref="D8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9.42578125" style="155" customWidth="1"/>
  </cols>
  <sheetData>
    <row r="2" spans="1:9" ht="15.75" customHeight="1" x14ac:dyDescent="0.25">
      <c r="A2" s="248" t="s">
        <v>95</v>
      </c>
      <c r="B2" s="248"/>
      <c r="C2" s="248"/>
      <c r="D2" s="248"/>
      <c r="E2" s="248"/>
      <c r="F2" s="248"/>
      <c r="G2" s="248"/>
      <c r="H2" s="248"/>
    </row>
    <row r="3" spans="1:9" ht="18.75" customHeight="1" x14ac:dyDescent="0.25">
      <c r="A3" s="269" t="s">
        <v>96</v>
      </c>
      <c r="B3" s="269"/>
      <c r="C3" s="269"/>
      <c r="D3" s="269"/>
      <c r="E3" s="269"/>
      <c r="F3" s="269"/>
      <c r="G3" s="269"/>
      <c r="H3" s="269"/>
    </row>
    <row r="4" spans="1:9" x14ac:dyDescent="0.25">
      <c r="A4" s="204"/>
      <c r="B4" s="205"/>
      <c r="C4" s="267"/>
      <c r="D4" s="267"/>
      <c r="E4" s="267"/>
      <c r="F4" s="267"/>
      <c r="G4" s="267"/>
      <c r="H4" s="267"/>
    </row>
    <row r="5" spans="1:9" ht="15.75" customHeight="1" x14ac:dyDescent="0.25">
      <c r="A5" s="204"/>
      <c r="B5" s="204"/>
      <c r="C5" s="206"/>
      <c r="D5" s="206"/>
      <c r="E5" s="206"/>
      <c r="F5" s="206"/>
      <c r="G5" s="206"/>
      <c r="H5" s="207"/>
    </row>
    <row r="6" spans="1:9" ht="15" customHeight="1" x14ac:dyDescent="0.25">
      <c r="A6" s="270" t="s">
        <v>48</v>
      </c>
      <c r="B6" s="270"/>
      <c r="C6" s="270"/>
      <c r="D6" s="270"/>
      <c r="E6" s="270"/>
      <c r="F6" s="270"/>
      <c r="G6" s="270"/>
      <c r="H6" s="270"/>
    </row>
    <row r="7" spans="1:9" ht="14.25" customHeight="1" x14ac:dyDescent="0.25">
      <c r="A7" s="270"/>
      <c r="B7" s="270"/>
      <c r="C7" s="270"/>
      <c r="D7" s="270"/>
      <c r="E7" s="270"/>
      <c r="F7" s="270"/>
      <c r="G7" s="270"/>
      <c r="H7" s="270"/>
    </row>
    <row r="8" spans="1:9" ht="15.75" customHeight="1" x14ac:dyDescent="0.25">
      <c r="A8" s="204"/>
      <c r="B8" s="204"/>
      <c r="C8" s="208"/>
      <c r="D8" s="209"/>
      <c r="E8" s="210"/>
      <c r="F8" s="211"/>
      <c r="G8" s="212"/>
      <c r="H8" s="213"/>
    </row>
    <row r="9" spans="1:9" ht="38.25" customHeight="1" x14ac:dyDescent="0.25">
      <c r="A9" s="263" t="s">
        <v>97</v>
      </c>
      <c r="B9" s="263" t="s">
        <v>98</v>
      </c>
      <c r="C9" s="263" t="s">
        <v>99</v>
      </c>
      <c r="D9" s="263" t="s">
        <v>100</v>
      </c>
      <c r="E9" s="263" t="s">
        <v>101</v>
      </c>
      <c r="F9" s="263" t="s">
        <v>102</v>
      </c>
      <c r="G9" s="263" t="s">
        <v>103</v>
      </c>
      <c r="H9" s="263"/>
    </row>
    <row r="10" spans="1:9" ht="40.5" customHeight="1" x14ac:dyDescent="0.25">
      <c r="A10" s="263"/>
      <c r="B10" s="263"/>
      <c r="C10" s="263"/>
      <c r="D10" s="263"/>
      <c r="E10" s="263"/>
      <c r="F10" s="263"/>
      <c r="G10" s="214" t="s">
        <v>104</v>
      </c>
      <c r="H10" s="214" t="s">
        <v>105</v>
      </c>
    </row>
    <row r="11" spans="1:9" ht="15.75" customHeight="1" x14ac:dyDescent="0.25">
      <c r="A11" s="214">
        <v>1</v>
      </c>
      <c r="B11" s="215"/>
      <c r="C11" s="214">
        <v>2</v>
      </c>
      <c r="D11" s="214" t="s">
        <v>106</v>
      </c>
      <c r="E11" s="214">
        <v>4</v>
      </c>
      <c r="F11" s="214">
        <v>5</v>
      </c>
      <c r="G11" s="215">
        <v>6</v>
      </c>
      <c r="H11" s="215">
        <v>7</v>
      </c>
    </row>
    <row r="12" spans="1:9" ht="15" customHeight="1" x14ac:dyDescent="0.25">
      <c r="A12" s="264" t="s">
        <v>107</v>
      </c>
      <c r="B12" s="265"/>
      <c r="C12" s="265"/>
      <c r="D12" s="266"/>
      <c r="E12" s="216"/>
      <c r="F12" s="217">
        <f>SUM(F13:F17)</f>
        <v>1024.1765800000001</v>
      </c>
      <c r="G12" s="216"/>
      <c r="H12" s="218">
        <f>SUM(H13:H17)</f>
        <v>12896.52</v>
      </c>
    </row>
    <row r="13" spans="1:9" x14ac:dyDescent="0.25">
      <c r="A13" s="199" t="s">
        <v>108</v>
      </c>
      <c r="B13" s="199"/>
      <c r="C13" s="219" t="s">
        <v>109</v>
      </c>
      <c r="D13" s="220" t="s">
        <v>110</v>
      </c>
      <c r="E13" s="221" t="s">
        <v>111</v>
      </c>
      <c r="F13" s="222">
        <v>294.7</v>
      </c>
      <c r="G13" s="223">
        <v>15.49</v>
      </c>
      <c r="H13" s="196">
        <f>ROUND(F13*G13,2)</f>
        <v>4564.8999999999996</v>
      </c>
      <c r="I13" s="151"/>
    </row>
    <row r="14" spans="1:9" x14ac:dyDescent="0.25">
      <c r="A14" s="169" t="s">
        <v>112</v>
      </c>
      <c r="B14" s="169"/>
      <c r="C14" s="153" t="s">
        <v>113</v>
      </c>
      <c r="D14" s="176" t="s">
        <v>114</v>
      </c>
      <c r="E14" s="7" t="s">
        <v>111</v>
      </c>
      <c r="F14" s="174">
        <v>423.04318000000001</v>
      </c>
      <c r="G14" s="177">
        <v>9.6199999999999992</v>
      </c>
      <c r="H14" s="32">
        <f>ROUND(F14*G14,2)</f>
        <v>4069.68</v>
      </c>
      <c r="I14" s="151"/>
    </row>
    <row r="15" spans="1:9" x14ac:dyDescent="0.25">
      <c r="A15" s="169" t="s">
        <v>115</v>
      </c>
      <c r="B15" s="169"/>
      <c r="C15" s="153" t="s">
        <v>116</v>
      </c>
      <c r="D15" s="176" t="s">
        <v>117</v>
      </c>
      <c r="E15" s="7" t="s">
        <v>111</v>
      </c>
      <c r="F15" s="174">
        <v>294.7</v>
      </c>
      <c r="G15" s="177">
        <v>14.09</v>
      </c>
      <c r="H15" s="32">
        <f>ROUND(F15*G15,2)</f>
        <v>4152.32</v>
      </c>
      <c r="I15" s="151"/>
    </row>
    <row r="16" spans="1:9" x14ac:dyDescent="0.25">
      <c r="A16" s="169" t="s">
        <v>118</v>
      </c>
      <c r="B16" s="169"/>
      <c r="C16" s="153" t="s">
        <v>119</v>
      </c>
      <c r="D16" s="176" t="s">
        <v>120</v>
      </c>
      <c r="E16" s="7" t="s">
        <v>111</v>
      </c>
      <c r="F16" s="174">
        <v>10.7128</v>
      </c>
      <c r="G16" s="177">
        <v>9.4</v>
      </c>
      <c r="H16" s="32">
        <f>ROUND(F16*G16,2)</f>
        <v>100.7</v>
      </c>
      <c r="I16" s="151"/>
    </row>
    <row r="17" spans="1:9" x14ac:dyDescent="0.25">
      <c r="A17" s="169" t="s">
        <v>121</v>
      </c>
      <c r="B17" s="169"/>
      <c r="C17" s="153" t="s">
        <v>122</v>
      </c>
      <c r="D17" s="176" t="s">
        <v>123</v>
      </c>
      <c r="E17" s="7" t="s">
        <v>111</v>
      </c>
      <c r="F17" s="174">
        <v>1.0206</v>
      </c>
      <c r="G17" s="177">
        <v>8.74</v>
      </c>
      <c r="H17" s="32">
        <f>ROUND(F17*G17,2)</f>
        <v>8.92</v>
      </c>
      <c r="I17" s="151"/>
    </row>
    <row r="18" spans="1:9" x14ac:dyDescent="0.25">
      <c r="A18" s="256" t="s">
        <v>124</v>
      </c>
      <c r="B18" s="257"/>
      <c r="C18" s="258"/>
      <c r="D18" s="259"/>
      <c r="E18" s="152"/>
      <c r="F18" s="153"/>
      <c r="G18" s="150"/>
      <c r="H18" s="171">
        <f>H19</f>
        <v>91.881600000000006</v>
      </c>
      <c r="I18" s="151"/>
    </row>
    <row r="19" spans="1:9" x14ac:dyDescent="0.25">
      <c r="A19" s="169">
        <f>A17+1</f>
        <v>6</v>
      </c>
      <c r="B19" s="170"/>
      <c r="C19" s="169">
        <v>2</v>
      </c>
      <c r="D19" s="8" t="s">
        <v>124</v>
      </c>
      <c r="E19" s="2" t="s">
        <v>111</v>
      </c>
      <c r="F19" s="173">
        <v>121.4922</v>
      </c>
      <c r="G19" s="32"/>
      <c r="H19" s="32">
        <v>91.881600000000006</v>
      </c>
    </row>
    <row r="20" spans="1:9" ht="15" customHeight="1" x14ac:dyDescent="0.25">
      <c r="A20" s="260" t="s">
        <v>125</v>
      </c>
      <c r="B20" s="260"/>
      <c r="C20" s="260"/>
      <c r="D20" s="260"/>
      <c r="E20" s="149"/>
      <c r="F20" s="149"/>
      <c r="G20" s="149"/>
      <c r="H20" s="172">
        <f>SUM(H21:H33)</f>
        <v>13390.32</v>
      </c>
    </row>
    <row r="21" spans="1:9" ht="25.5" customHeight="1" x14ac:dyDescent="0.25">
      <c r="A21" s="2">
        <f>A19+1</f>
        <v>7</v>
      </c>
      <c r="B21" s="169"/>
      <c r="C21" s="169" t="s">
        <v>126</v>
      </c>
      <c r="D21" s="8" t="s">
        <v>127</v>
      </c>
      <c r="E21" s="2" t="s">
        <v>128</v>
      </c>
      <c r="F21" s="2">
        <v>48</v>
      </c>
      <c r="G21" s="103">
        <v>110.86</v>
      </c>
      <c r="H21" s="32">
        <f t="shared" ref="H21:H33" si="0">ROUND(F21*G21,2)</f>
        <v>5321.28</v>
      </c>
    </row>
    <row r="22" spans="1:9" ht="25.5" customHeight="1" x14ac:dyDescent="0.25">
      <c r="A22" s="2">
        <f t="shared" ref="A22:A33" si="1">A21+1</f>
        <v>8</v>
      </c>
      <c r="B22" s="169"/>
      <c r="C22" s="169" t="s">
        <v>129</v>
      </c>
      <c r="D22" s="8" t="s">
        <v>130</v>
      </c>
      <c r="E22" s="2" t="s">
        <v>128</v>
      </c>
      <c r="F22" s="2">
        <v>32.46</v>
      </c>
      <c r="G22" s="103">
        <v>111.99</v>
      </c>
      <c r="H22" s="32">
        <f t="shared" si="0"/>
        <v>3635.2</v>
      </c>
    </row>
    <row r="23" spans="1:9" x14ac:dyDescent="0.25">
      <c r="A23" s="2">
        <f t="shared" si="1"/>
        <v>9</v>
      </c>
      <c r="B23" s="169"/>
      <c r="C23" s="169" t="s">
        <v>131</v>
      </c>
      <c r="D23" s="8" t="s">
        <v>132</v>
      </c>
      <c r="E23" s="2" t="s">
        <v>128</v>
      </c>
      <c r="F23" s="2">
        <v>8.25</v>
      </c>
      <c r="G23" s="103">
        <v>287.99</v>
      </c>
      <c r="H23" s="32">
        <f t="shared" si="0"/>
        <v>2375.92</v>
      </c>
    </row>
    <row r="24" spans="1:9" ht="25.5" customHeight="1" x14ac:dyDescent="0.25">
      <c r="A24" s="2">
        <f t="shared" si="1"/>
        <v>10</v>
      </c>
      <c r="B24" s="169"/>
      <c r="C24" s="169" t="s">
        <v>133</v>
      </c>
      <c r="D24" s="8" t="s">
        <v>134</v>
      </c>
      <c r="E24" s="2" t="s">
        <v>128</v>
      </c>
      <c r="F24" s="2">
        <v>8.25</v>
      </c>
      <c r="G24" s="103">
        <v>131.44</v>
      </c>
      <c r="H24" s="32">
        <f t="shared" si="0"/>
        <v>1084.3800000000001</v>
      </c>
    </row>
    <row r="25" spans="1:9" x14ac:dyDescent="0.25">
      <c r="A25" s="2">
        <f t="shared" si="1"/>
        <v>11</v>
      </c>
      <c r="B25" s="169"/>
      <c r="C25" s="169" t="s">
        <v>135</v>
      </c>
      <c r="D25" s="8" t="s">
        <v>136</v>
      </c>
      <c r="E25" s="2" t="s">
        <v>128</v>
      </c>
      <c r="F25" s="2">
        <v>15.88</v>
      </c>
      <c r="G25" s="103">
        <v>29.6</v>
      </c>
      <c r="H25" s="32">
        <f t="shared" si="0"/>
        <v>470.05</v>
      </c>
    </row>
    <row r="26" spans="1:9" x14ac:dyDescent="0.25">
      <c r="A26" s="2">
        <f t="shared" si="1"/>
        <v>12</v>
      </c>
      <c r="B26" s="169"/>
      <c r="C26" s="169" t="s">
        <v>137</v>
      </c>
      <c r="D26" s="8" t="s">
        <v>138</v>
      </c>
      <c r="E26" s="2" t="s">
        <v>128</v>
      </c>
      <c r="F26" s="2">
        <v>6.2</v>
      </c>
      <c r="G26" s="103">
        <v>65.709999999999994</v>
      </c>
      <c r="H26" s="32">
        <f t="shared" si="0"/>
        <v>407.4</v>
      </c>
    </row>
    <row r="27" spans="1:9" ht="25.5" customHeight="1" x14ac:dyDescent="0.25">
      <c r="A27" s="2">
        <f t="shared" si="1"/>
        <v>13</v>
      </c>
      <c r="B27" s="169"/>
      <c r="C27" s="169" t="s">
        <v>139</v>
      </c>
      <c r="D27" s="8" t="s">
        <v>140</v>
      </c>
      <c r="E27" s="2" t="s">
        <v>128</v>
      </c>
      <c r="F27" s="2">
        <v>9.08</v>
      </c>
      <c r="G27" s="103">
        <v>8.1</v>
      </c>
      <c r="H27" s="32">
        <f t="shared" si="0"/>
        <v>73.55</v>
      </c>
    </row>
    <row r="28" spans="1:9" x14ac:dyDescent="0.25">
      <c r="A28" s="2">
        <f t="shared" si="1"/>
        <v>14</v>
      </c>
      <c r="B28" s="169"/>
      <c r="C28" s="169" t="s">
        <v>141</v>
      </c>
      <c r="D28" s="8" t="s">
        <v>142</v>
      </c>
      <c r="E28" s="2" t="s">
        <v>128</v>
      </c>
      <c r="F28" s="2">
        <v>16.5</v>
      </c>
      <c r="G28" s="103">
        <v>0.9</v>
      </c>
      <c r="H28" s="32">
        <f t="shared" si="0"/>
        <v>14.85</v>
      </c>
    </row>
    <row r="29" spans="1:9" x14ac:dyDescent="0.25">
      <c r="A29" s="2">
        <f t="shared" si="1"/>
        <v>15</v>
      </c>
      <c r="B29" s="169"/>
      <c r="C29" s="169" t="s">
        <v>143</v>
      </c>
      <c r="D29" s="8" t="s">
        <v>144</v>
      </c>
      <c r="E29" s="2" t="s">
        <v>128</v>
      </c>
      <c r="F29" s="2">
        <v>0.05</v>
      </c>
      <c r="G29" s="103">
        <v>70</v>
      </c>
      <c r="H29" s="32">
        <f t="shared" si="0"/>
        <v>3.5</v>
      </c>
    </row>
    <row r="30" spans="1:9" x14ac:dyDescent="0.25">
      <c r="A30" s="195">
        <f t="shared" si="1"/>
        <v>16</v>
      </c>
      <c r="B30" s="199"/>
      <c r="C30" s="199" t="s">
        <v>145</v>
      </c>
      <c r="D30" s="194" t="s">
        <v>146</v>
      </c>
      <c r="E30" s="195" t="s">
        <v>128</v>
      </c>
      <c r="F30" s="195">
        <v>0.05</v>
      </c>
      <c r="G30" s="103">
        <v>56.24</v>
      </c>
      <c r="H30" s="32">
        <f t="shared" si="0"/>
        <v>2.81</v>
      </c>
    </row>
    <row r="31" spans="1:9" x14ac:dyDescent="0.25">
      <c r="A31" s="195">
        <f t="shared" si="1"/>
        <v>17</v>
      </c>
      <c r="B31" s="199"/>
      <c r="C31" s="199" t="s">
        <v>147</v>
      </c>
      <c r="D31" s="194" t="s">
        <v>148</v>
      </c>
      <c r="E31" s="195" t="s">
        <v>128</v>
      </c>
      <c r="F31" s="195">
        <v>0.05</v>
      </c>
      <c r="G31" s="103">
        <v>16.920000000000002</v>
      </c>
      <c r="H31" s="32">
        <f t="shared" si="0"/>
        <v>0.85</v>
      </c>
    </row>
    <row r="32" spans="1:9" ht="25.5" customHeight="1" x14ac:dyDescent="0.25">
      <c r="A32" s="195">
        <f t="shared" si="1"/>
        <v>18</v>
      </c>
      <c r="B32" s="199"/>
      <c r="C32" s="199" t="s">
        <v>149</v>
      </c>
      <c r="D32" s="194" t="s">
        <v>150</v>
      </c>
      <c r="E32" s="195" t="s">
        <v>128</v>
      </c>
      <c r="F32" s="195">
        <v>0.06</v>
      </c>
      <c r="G32" s="103">
        <v>6.82</v>
      </c>
      <c r="H32" s="32">
        <f t="shared" si="0"/>
        <v>0.41</v>
      </c>
    </row>
    <row r="33" spans="1:8" x14ac:dyDescent="0.25">
      <c r="A33" s="195">
        <f t="shared" si="1"/>
        <v>19</v>
      </c>
      <c r="B33" s="199"/>
      <c r="C33" s="199" t="s">
        <v>151</v>
      </c>
      <c r="D33" s="194" t="s">
        <v>152</v>
      </c>
      <c r="E33" s="195" t="s">
        <v>128</v>
      </c>
      <c r="F33" s="195">
        <v>0.05</v>
      </c>
      <c r="G33" s="103">
        <v>2.36</v>
      </c>
      <c r="H33" s="32">
        <f t="shared" si="0"/>
        <v>0.12</v>
      </c>
    </row>
    <row r="34" spans="1:8" ht="15" customHeight="1" x14ac:dyDescent="0.25">
      <c r="A34" s="262" t="s">
        <v>43</v>
      </c>
      <c r="B34" s="262"/>
      <c r="C34" s="262"/>
      <c r="D34" s="262"/>
      <c r="E34" s="200"/>
      <c r="F34" s="201"/>
      <c r="G34" s="150"/>
      <c r="H34" s="175">
        <f>SUM(H35:H37)</f>
        <v>1996467.81</v>
      </c>
    </row>
    <row r="35" spans="1:8" ht="15" customHeight="1" x14ac:dyDescent="0.25">
      <c r="A35" s="195">
        <f>A33+1</f>
        <v>20</v>
      </c>
      <c r="B35" s="202"/>
      <c r="C35" s="193" t="s">
        <v>153</v>
      </c>
      <c r="D35" s="8" t="s">
        <v>154</v>
      </c>
      <c r="E35" s="195" t="s">
        <v>155</v>
      </c>
      <c r="F35" s="195">
        <v>3</v>
      </c>
      <c r="G35" s="103">
        <v>662310.48722044996</v>
      </c>
      <c r="H35" s="32">
        <f>ROUND(F35*G35,2)</f>
        <v>1986931.46</v>
      </c>
    </row>
    <row r="36" spans="1:8" x14ac:dyDescent="0.25">
      <c r="A36" s="195">
        <f>A35+1</f>
        <v>21</v>
      </c>
      <c r="B36" s="199"/>
      <c r="C36" s="193" t="s">
        <v>153</v>
      </c>
      <c r="D36" s="194" t="s">
        <v>156</v>
      </c>
      <c r="E36" s="195" t="s">
        <v>155</v>
      </c>
      <c r="F36" s="195">
        <v>1</v>
      </c>
      <c r="G36" s="103">
        <v>5872.3</v>
      </c>
      <c r="H36" s="32">
        <f>ROUND(F36*G36,2)</f>
        <v>5872.3</v>
      </c>
    </row>
    <row r="37" spans="1:8" x14ac:dyDescent="0.25">
      <c r="A37" s="195">
        <f>A36+1</f>
        <v>22</v>
      </c>
      <c r="B37" s="199"/>
      <c r="C37" s="169" t="s">
        <v>157</v>
      </c>
      <c r="D37" s="194" t="s">
        <v>158</v>
      </c>
      <c r="E37" s="195" t="s">
        <v>155</v>
      </c>
      <c r="F37" s="195">
        <v>1</v>
      </c>
      <c r="G37" s="103">
        <v>3664.05</v>
      </c>
      <c r="H37" s="32">
        <f>ROUND(F37*G37,2)</f>
        <v>3664.05</v>
      </c>
    </row>
    <row r="38" spans="1:8" ht="15" customHeight="1" x14ac:dyDescent="0.25">
      <c r="A38" s="261" t="s">
        <v>159</v>
      </c>
      <c r="B38" s="261"/>
      <c r="C38" s="261"/>
      <c r="D38" s="261"/>
      <c r="E38" s="203"/>
      <c r="F38" s="203"/>
      <c r="G38" s="149"/>
      <c r="H38" s="172">
        <f>SUM(H39:H61)</f>
        <v>11590</v>
      </c>
    </row>
    <row r="39" spans="1:8" ht="25.5" customHeight="1" x14ac:dyDescent="0.25">
      <c r="A39" s="195">
        <f>A37+1</f>
        <v>23</v>
      </c>
      <c r="B39" s="199"/>
      <c r="C39" s="199" t="s">
        <v>160</v>
      </c>
      <c r="D39" s="194" t="s">
        <v>161</v>
      </c>
      <c r="E39" s="195" t="s">
        <v>162</v>
      </c>
      <c r="F39" s="195">
        <f>0.013*3*1</f>
        <v>3.9E-2</v>
      </c>
      <c r="G39" s="103">
        <v>98440.41</v>
      </c>
      <c r="H39" s="32">
        <f t="shared" ref="H39:H61" si="2">ROUND(F39*G39,2)</f>
        <v>3839.18</v>
      </c>
    </row>
    <row r="40" spans="1:8" x14ac:dyDescent="0.25">
      <c r="A40" s="195">
        <f t="shared" ref="A40:A61" si="3">A39+1</f>
        <v>24</v>
      </c>
      <c r="B40" s="199"/>
      <c r="C40" s="199" t="s">
        <v>163</v>
      </c>
      <c r="D40" s="194" t="s">
        <v>164</v>
      </c>
      <c r="E40" s="195" t="s">
        <v>162</v>
      </c>
      <c r="F40" s="195">
        <f>0.02*3*1</f>
        <v>0.06</v>
      </c>
      <c r="G40" s="103">
        <v>38348.22</v>
      </c>
      <c r="H40" s="32">
        <f t="shared" si="2"/>
        <v>2300.89</v>
      </c>
    </row>
    <row r="41" spans="1:8" ht="51" customHeight="1" x14ac:dyDescent="0.25">
      <c r="A41" s="2">
        <f t="shared" si="3"/>
        <v>25</v>
      </c>
      <c r="B41" s="169"/>
      <c r="C41" s="169" t="s">
        <v>165</v>
      </c>
      <c r="D41" s="8" t="s">
        <v>166</v>
      </c>
      <c r="E41" s="2" t="s">
        <v>167</v>
      </c>
      <c r="F41" s="2">
        <v>5.5399999999999998E-2</v>
      </c>
      <c r="G41" s="103">
        <v>32758.86</v>
      </c>
      <c r="H41" s="32">
        <f t="shared" si="2"/>
        <v>1814.84</v>
      </c>
    </row>
    <row r="42" spans="1:8" x14ac:dyDescent="0.25">
      <c r="A42" s="2">
        <f t="shared" si="3"/>
        <v>26</v>
      </c>
      <c r="B42" s="169"/>
      <c r="C42" s="169" t="s">
        <v>168</v>
      </c>
      <c r="D42" s="8" t="s">
        <v>169</v>
      </c>
      <c r="E42" s="2" t="s">
        <v>170</v>
      </c>
      <c r="F42" s="2">
        <v>0.03</v>
      </c>
      <c r="G42" s="103">
        <v>35576</v>
      </c>
      <c r="H42" s="32">
        <f t="shared" si="2"/>
        <v>1067.28</v>
      </c>
    </row>
    <row r="43" spans="1:8" x14ac:dyDescent="0.25">
      <c r="A43" s="2">
        <f t="shared" si="3"/>
        <v>27</v>
      </c>
      <c r="B43" s="169"/>
      <c r="C43" s="169" t="s">
        <v>171</v>
      </c>
      <c r="D43" s="8" t="s">
        <v>172</v>
      </c>
      <c r="E43" s="2" t="s">
        <v>170</v>
      </c>
      <c r="F43" s="2">
        <v>0.03</v>
      </c>
      <c r="G43" s="103">
        <v>35576</v>
      </c>
      <c r="H43" s="32">
        <f t="shared" si="2"/>
        <v>1067.28</v>
      </c>
    </row>
    <row r="44" spans="1:8" ht="25.5" customHeight="1" x14ac:dyDescent="0.25">
      <c r="A44" s="2">
        <f t="shared" si="3"/>
        <v>28</v>
      </c>
      <c r="B44" s="169"/>
      <c r="C44" s="169" t="s">
        <v>173</v>
      </c>
      <c r="D44" s="8" t="s">
        <v>174</v>
      </c>
      <c r="E44" s="2" t="s">
        <v>175</v>
      </c>
      <c r="F44" s="2">
        <f>0.28*1</f>
        <v>0.28000000000000003</v>
      </c>
      <c r="G44" s="103">
        <v>1837.28</v>
      </c>
      <c r="H44" s="32">
        <f t="shared" si="2"/>
        <v>514.44000000000005</v>
      </c>
    </row>
    <row r="45" spans="1:8" x14ac:dyDescent="0.25">
      <c r="A45" s="2">
        <f t="shared" si="3"/>
        <v>29</v>
      </c>
      <c r="B45" s="169"/>
      <c r="C45" s="169" t="s">
        <v>176</v>
      </c>
      <c r="D45" s="8" t="s">
        <v>177</v>
      </c>
      <c r="E45" s="2" t="s">
        <v>178</v>
      </c>
      <c r="F45" s="2">
        <v>4</v>
      </c>
      <c r="G45" s="103">
        <v>50</v>
      </c>
      <c r="H45" s="32">
        <f t="shared" si="2"/>
        <v>200</v>
      </c>
    </row>
    <row r="46" spans="1:8" ht="25.5" customHeight="1" x14ac:dyDescent="0.25">
      <c r="A46" s="2">
        <f t="shared" si="3"/>
        <v>30</v>
      </c>
      <c r="B46" s="169"/>
      <c r="C46" s="169" t="s">
        <v>179</v>
      </c>
      <c r="D46" s="8" t="s">
        <v>180</v>
      </c>
      <c r="E46" s="2" t="s">
        <v>181</v>
      </c>
      <c r="F46" s="2">
        <v>165.26589999999999</v>
      </c>
      <c r="G46" s="103">
        <v>1</v>
      </c>
      <c r="H46" s="32">
        <f t="shared" si="2"/>
        <v>165.27</v>
      </c>
    </row>
    <row r="47" spans="1:8" x14ac:dyDescent="0.25">
      <c r="A47" s="2">
        <f t="shared" si="3"/>
        <v>31</v>
      </c>
      <c r="B47" s="169"/>
      <c r="C47" s="169" t="s">
        <v>182</v>
      </c>
      <c r="D47" s="8" t="s">
        <v>183</v>
      </c>
      <c r="E47" s="2" t="s">
        <v>175</v>
      </c>
      <c r="F47" s="2">
        <f>1.4*1*1</f>
        <v>1.4</v>
      </c>
      <c r="G47" s="103">
        <v>108.4</v>
      </c>
      <c r="H47" s="32">
        <f t="shared" si="2"/>
        <v>151.76</v>
      </c>
    </row>
    <row r="48" spans="1:8" x14ac:dyDescent="0.25">
      <c r="A48" s="2">
        <f t="shared" si="3"/>
        <v>32</v>
      </c>
      <c r="B48" s="169"/>
      <c r="C48" s="169" t="s">
        <v>184</v>
      </c>
      <c r="D48" s="8" t="s">
        <v>185</v>
      </c>
      <c r="E48" s="2" t="s">
        <v>178</v>
      </c>
      <c r="F48" s="2">
        <v>15.3</v>
      </c>
      <c r="G48" s="103">
        <v>9.0399999999999991</v>
      </c>
      <c r="H48" s="32">
        <f t="shared" si="2"/>
        <v>138.31</v>
      </c>
    </row>
    <row r="49" spans="1:8" x14ac:dyDescent="0.25">
      <c r="A49" s="2">
        <f t="shared" si="3"/>
        <v>33</v>
      </c>
      <c r="B49" s="169"/>
      <c r="C49" s="169" t="s">
        <v>186</v>
      </c>
      <c r="D49" s="8" t="s">
        <v>187</v>
      </c>
      <c r="E49" s="2" t="s">
        <v>178</v>
      </c>
      <c r="F49" s="2">
        <v>2.5920000000000001</v>
      </c>
      <c r="G49" s="103">
        <v>28.6</v>
      </c>
      <c r="H49" s="32">
        <f t="shared" si="2"/>
        <v>74.13</v>
      </c>
    </row>
    <row r="50" spans="1:8" x14ac:dyDescent="0.25">
      <c r="A50" s="2">
        <f t="shared" si="3"/>
        <v>34</v>
      </c>
      <c r="B50" s="169"/>
      <c r="C50" s="169" t="s">
        <v>188</v>
      </c>
      <c r="D50" s="8" t="s">
        <v>189</v>
      </c>
      <c r="E50" s="2" t="s">
        <v>167</v>
      </c>
      <c r="F50" s="2">
        <v>9.4199999999999996E-3</v>
      </c>
      <c r="G50" s="103">
        <v>6159.22</v>
      </c>
      <c r="H50" s="32">
        <f t="shared" si="2"/>
        <v>58.02</v>
      </c>
    </row>
    <row r="51" spans="1:8" ht="25.5" customHeight="1" x14ac:dyDescent="0.25">
      <c r="A51" s="2">
        <f t="shared" si="3"/>
        <v>35</v>
      </c>
      <c r="B51" s="169"/>
      <c r="C51" s="169" t="s">
        <v>190</v>
      </c>
      <c r="D51" s="8" t="s">
        <v>191</v>
      </c>
      <c r="E51" s="2" t="s">
        <v>167</v>
      </c>
      <c r="F51" s="2">
        <v>1.0699999999999999E-2</v>
      </c>
      <c r="G51" s="103">
        <v>5000</v>
      </c>
      <c r="H51" s="32">
        <f t="shared" si="2"/>
        <v>53.5</v>
      </c>
    </row>
    <row r="52" spans="1:8" x14ac:dyDescent="0.25">
      <c r="A52" s="2">
        <f t="shared" si="3"/>
        <v>36</v>
      </c>
      <c r="B52" s="169"/>
      <c r="C52" s="169" t="s">
        <v>192</v>
      </c>
      <c r="D52" s="8" t="s">
        <v>193</v>
      </c>
      <c r="E52" s="2" t="s">
        <v>178</v>
      </c>
      <c r="F52" s="2">
        <v>0.13800000000000001</v>
      </c>
      <c r="G52" s="103">
        <v>238.48</v>
      </c>
      <c r="H52" s="32">
        <f t="shared" si="2"/>
        <v>32.909999999999997</v>
      </c>
    </row>
    <row r="53" spans="1:8" x14ac:dyDescent="0.25">
      <c r="A53" s="2">
        <f t="shared" si="3"/>
        <v>37</v>
      </c>
      <c r="B53" s="169"/>
      <c r="C53" s="169" t="s">
        <v>194</v>
      </c>
      <c r="D53" s="8" t="s">
        <v>195</v>
      </c>
      <c r="E53" s="2" t="s">
        <v>196</v>
      </c>
      <c r="F53" s="2">
        <v>0.378</v>
      </c>
      <c r="G53" s="103">
        <v>79.099999999999994</v>
      </c>
      <c r="H53" s="32">
        <f t="shared" si="2"/>
        <v>29.9</v>
      </c>
    </row>
    <row r="54" spans="1:8" x14ac:dyDescent="0.25">
      <c r="A54" s="2">
        <f t="shared" si="3"/>
        <v>38</v>
      </c>
      <c r="B54" s="169"/>
      <c r="C54" s="169" t="s">
        <v>197</v>
      </c>
      <c r="D54" s="8" t="s">
        <v>198</v>
      </c>
      <c r="E54" s="2" t="s">
        <v>170</v>
      </c>
      <c r="F54" s="2">
        <v>0.26519999999999999</v>
      </c>
      <c r="G54" s="103">
        <v>86</v>
      </c>
      <c r="H54" s="32">
        <f t="shared" si="2"/>
        <v>22.81</v>
      </c>
    </row>
    <row r="55" spans="1:8" ht="25.5" customHeight="1" x14ac:dyDescent="0.25">
      <c r="A55" s="2">
        <f t="shared" si="3"/>
        <v>39</v>
      </c>
      <c r="B55" s="169"/>
      <c r="C55" s="169" t="s">
        <v>199</v>
      </c>
      <c r="D55" s="8" t="s">
        <v>200</v>
      </c>
      <c r="E55" s="2" t="s">
        <v>167</v>
      </c>
      <c r="F55" s="2">
        <v>1.1000000000000001E-3</v>
      </c>
      <c r="G55" s="103">
        <v>17500</v>
      </c>
      <c r="H55" s="32">
        <f t="shared" si="2"/>
        <v>19.25</v>
      </c>
    </row>
    <row r="56" spans="1:8" x14ac:dyDescent="0.25">
      <c r="A56" s="2">
        <f t="shared" si="3"/>
        <v>40</v>
      </c>
      <c r="B56" s="169"/>
      <c r="C56" s="169" t="s">
        <v>201</v>
      </c>
      <c r="D56" s="8" t="s">
        <v>202</v>
      </c>
      <c r="E56" s="2" t="s">
        <v>178</v>
      </c>
      <c r="F56" s="2">
        <v>1.758</v>
      </c>
      <c r="G56" s="103">
        <v>10.57</v>
      </c>
      <c r="H56" s="32">
        <f t="shared" si="2"/>
        <v>18.579999999999998</v>
      </c>
    </row>
    <row r="57" spans="1:8" ht="25.5" customHeight="1" x14ac:dyDescent="0.25">
      <c r="A57" s="2">
        <f t="shared" si="3"/>
        <v>41</v>
      </c>
      <c r="B57" s="169"/>
      <c r="C57" s="169" t="s">
        <v>203</v>
      </c>
      <c r="D57" s="8" t="s">
        <v>204</v>
      </c>
      <c r="E57" s="2" t="s">
        <v>205</v>
      </c>
      <c r="F57" s="2">
        <v>0.95</v>
      </c>
      <c r="G57" s="103">
        <v>15.13</v>
      </c>
      <c r="H57" s="32">
        <f t="shared" si="2"/>
        <v>14.37</v>
      </c>
    </row>
    <row r="58" spans="1:8" ht="25.5" customHeight="1" x14ac:dyDescent="0.25">
      <c r="A58" s="2">
        <f t="shared" si="3"/>
        <v>42</v>
      </c>
      <c r="B58" s="169"/>
      <c r="C58" s="169" t="s">
        <v>206</v>
      </c>
      <c r="D58" s="8" t="s">
        <v>207</v>
      </c>
      <c r="E58" s="2" t="s">
        <v>167</v>
      </c>
      <c r="F58" s="2">
        <v>1E-3</v>
      </c>
      <c r="G58" s="103">
        <v>5941.89</v>
      </c>
      <c r="H58" s="32">
        <f t="shared" si="2"/>
        <v>5.94</v>
      </c>
    </row>
    <row r="59" spans="1:8" x14ac:dyDescent="0.25">
      <c r="A59" s="2">
        <f t="shared" si="3"/>
        <v>43</v>
      </c>
      <c r="B59" s="169"/>
      <c r="C59" s="169" t="s">
        <v>208</v>
      </c>
      <c r="D59" s="8" t="s">
        <v>209</v>
      </c>
      <c r="E59" s="2" t="s">
        <v>170</v>
      </c>
      <c r="F59" s="2">
        <v>0.02</v>
      </c>
      <c r="G59" s="103">
        <v>26.6</v>
      </c>
      <c r="H59" s="32">
        <f t="shared" si="2"/>
        <v>0.53</v>
      </c>
    </row>
    <row r="60" spans="1:8" x14ac:dyDescent="0.25">
      <c r="A60" s="2">
        <f t="shared" si="3"/>
        <v>44</v>
      </c>
      <c r="B60" s="169"/>
      <c r="C60" s="169" t="s">
        <v>210</v>
      </c>
      <c r="D60" s="8" t="s">
        <v>211</v>
      </c>
      <c r="E60" s="2" t="s">
        <v>170</v>
      </c>
      <c r="F60" s="2">
        <v>0.26519999999999999</v>
      </c>
      <c r="G60" s="103">
        <v>2</v>
      </c>
      <c r="H60" s="32">
        <f t="shared" si="2"/>
        <v>0.53</v>
      </c>
    </row>
    <row r="61" spans="1:8" ht="25.5" customHeight="1" x14ac:dyDescent="0.25">
      <c r="A61" s="2">
        <f t="shared" si="3"/>
        <v>45</v>
      </c>
      <c r="B61" s="169"/>
      <c r="C61" s="169" t="s">
        <v>212</v>
      </c>
      <c r="D61" s="8" t="s">
        <v>213</v>
      </c>
      <c r="E61" s="2" t="s">
        <v>178</v>
      </c>
      <c r="F61" s="2">
        <v>0.01</v>
      </c>
      <c r="G61" s="103">
        <v>28.22</v>
      </c>
      <c r="H61" s="32">
        <f t="shared" si="2"/>
        <v>0.28000000000000003</v>
      </c>
    </row>
    <row r="62" spans="1:8" x14ac:dyDescent="0.25">
      <c r="C62" s="147"/>
      <c r="D62" s="145"/>
      <c r="E62" s="146"/>
      <c r="F62" s="146"/>
      <c r="G62" s="148"/>
      <c r="H62" s="157"/>
    </row>
    <row r="63" spans="1:8" ht="25.5" customHeight="1" x14ac:dyDescent="0.25">
      <c r="B63" s="154"/>
      <c r="C63" s="268"/>
      <c r="D63" s="268"/>
      <c r="E63" s="268"/>
      <c r="F63" s="268"/>
      <c r="G63" s="268"/>
      <c r="H63" s="268"/>
    </row>
    <row r="67" spans="2:8" x14ac:dyDescent="0.25">
      <c r="B67" s="4" t="s">
        <v>75</v>
      </c>
      <c r="C67" s="12"/>
      <c r="H67"/>
    </row>
    <row r="68" spans="2:8" x14ac:dyDescent="0.25">
      <c r="B68" s="33" t="s">
        <v>76</v>
      </c>
      <c r="C68" s="12"/>
      <c r="H68"/>
    </row>
    <row r="69" spans="2:8" x14ac:dyDescent="0.25">
      <c r="B69" s="4"/>
      <c r="C69" s="12"/>
      <c r="H69"/>
    </row>
    <row r="70" spans="2:8" x14ac:dyDescent="0.25">
      <c r="B70" s="4" t="s">
        <v>77</v>
      </c>
      <c r="C70" s="12"/>
      <c r="H70"/>
    </row>
    <row r="71" spans="2:8" x14ac:dyDescent="0.25">
      <c r="B71" s="33" t="s">
        <v>78</v>
      </c>
      <c r="C71" s="12"/>
      <c r="H71"/>
    </row>
  </sheetData>
  <mergeCells count="17">
    <mergeCell ref="C63:H63"/>
    <mergeCell ref="A3:H3"/>
    <mergeCell ref="D9:D10"/>
    <mergeCell ref="C9:C10"/>
    <mergeCell ref="B9:B10"/>
    <mergeCell ref="G9:H9"/>
    <mergeCell ref="A6:H7"/>
    <mergeCell ref="A2:H2"/>
    <mergeCell ref="A18:D18"/>
    <mergeCell ref="A20:D20"/>
    <mergeCell ref="A38:D38"/>
    <mergeCell ref="A34:D34"/>
    <mergeCell ref="A9:A10"/>
    <mergeCell ref="A12:D12"/>
    <mergeCell ref="E9:E10"/>
    <mergeCell ref="F9:F10"/>
    <mergeCell ref="C4:H4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46" t="s">
        <v>214</v>
      </c>
      <c r="B1" s="246"/>
      <c r="C1" s="246"/>
      <c r="D1" s="246"/>
    </row>
    <row r="2" spans="1:10" x14ac:dyDescent="0.25">
      <c r="A2" s="271" t="str">
        <f>'4.1 Отдел 1'!A10</f>
        <v>И5-05-02</v>
      </c>
      <c r="B2" s="271"/>
      <c r="C2" s="271"/>
      <c r="D2" s="271"/>
    </row>
    <row r="3" spans="1:10" x14ac:dyDescent="0.25">
      <c r="A3" s="272"/>
      <c r="B3" s="272"/>
      <c r="C3" s="272"/>
      <c r="D3" s="272"/>
    </row>
    <row r="4" spans="1:10" ht="51.75" customHeight="1" x14ac:dyDescent="0.25">
      <c r="A4" s="243" t="str">
        <f>'Прил. 3'!A6</f>
        <v>Наименование разрабатываемого показателя УНЦ - Элементы ПС без устройства фундаментов. Цифровой ТН на три фазы 330 кВ.</v>
      </c>
      <c r="B4" s="243"/>
      <c r="C4" s="243"/>
      <c r="D4" s="243"/>
    </row>
    <row r="5" spans="1:10" ht="15" customHeight="1" x14ac:dyDescent="0.25">
      <c r="A5" s="243"/>
      <c r="B5" s="273"/>
      <c r="C5" s="273"/>
      <c r="D5" s="273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215</v>
      </c>
      <c r="B7" s="2" t="s">
        <v>103</v>
      </c>
      <c r="C7" s="2" t="s">
        <v>216</v>
      </c>
      <c r="D7" s="2" t="s">
        <v>217</v>
      </c>
    </row>
    <row r="8" spans="1:10" x14ac:dyDescent="0.25">
      <c r="A8" s="25" t="s">
        <v>218</v>
      </c>
      <c r="B8" s="26">
        <f>'Прил.5 Расчет СМР и ОБ'!G16</f>
        <v>12896.52</v>
      </c>
      <c r="C8" s="27">
        <f t="shared" ref="C8:C15" si="0">B8/$B$21</f>
        <v>0.21370688108079</v>
      </c>
      <c r="D8" s="27">
        <f t="shared" ref="D8:D15" si="1">B8/$B$35</f>
        <v>6.4188058009450001E-3</v>
      </c>
      <c r="I8" s="28"/>
      <c r="J8" s="28"/>
    </row>
    <row r="9" spans="1:10" x14ac:dyDescent="0.25">
      <c r="A9" s="25" t="s">
        <v>219</v>
      </c>
      <c r="B9" s="26">
        <f>'Прил.5 Расчет СМР и ОБ'!G25</f>
        <v>12416.78</v>
      </c>
      <c r="C9" s="27">
        <f t="shared" si="0"/>
        <v>0.20575715982810999</v>
      </c>
      <c r="D9" s="27">
        <f t="shared" si="1"/>
        <v>6.1800314730685001E-3</v>
      </c>
      <c r="I9" s="28"/>
      <c r="J9" s="28"/>
    </row>
    <row r="10" spans="1:10" x14ac:dyDescent="0.25">
      <c r="A10" s="25" t="s">
        <v>220</v>
      </c>
      <c r="B10" s="26">
        <f>'Прил.5 Расчет СМР и ОБ'!G35</f>
        <v>973.54</v>
      </c>
      <c r="C10" s="27">
        <f t="shared" si="0"/>
        <v>1.6132429291576E-2</v>
      </c>
      <c r="D10" s="27">
        <f t="shared" si="1"/>
        <v>4.8454654429660001E-4</v>
      </c>
      <c r="I10" s="28"/>
      <c r="J10" s="28"/>
    </row>
    <row r="11" spans="1:10" x14ac:dyDescent="0.25">
      <c r="A11" s="25" t="s">
        <v>221</v>
      </c>
      <c r="B11" s="26">
        <f>B9+B10</f>
        <v>13390.32</v>
      </c>
      <c r="C11" s="27">
        <f t="shared" si="0"/>
        <v>0.22188958911967999</v>
      </c>
      <c r="D11" s="27">
        <f t="shared" si="1"/>
        <v>6.6645780173650998E-3</v>
      </c>
      <c r="I11" s="28"/>
      <c r="J11" s="28"/>
    </row>
    <row r="12" spans="1:10" x14ac:dyDescent="0.25">
      <c r="A12" s="25" t="s">
        <v>222</v>
      </c>
      <c r="B12" s="26">
        <f>'Прил.5 Расчет СМР и ОБ'!G18</f>
        <v>91.881600000000006</v>
      </c>
      <c r="C12" s="27">
        <f t="shared" si="0"/>
        <v>1.5225603623856001E-3</v>
      </c>
      <c r="D12" s="27">
        <f t="shared" si="1"/>
        <v>4.5730952774865003E-5</v>
      </c>
      <c r="I12" s="28"/>
      <c r="J12" s="28"/>
    </row>
    <row r="13" spans="1:10" x14ac:dyDescent="0.25">
      <c r="A13" s="25" t="s">
        <v>223</v>
      </c>
      <c r="B13" s="26">
        <f>'Прил.5 Расчет СМР и ОБ'!G53</f>
        <v>10089.469999999999</v>
      </c>
      <c r="C13" s="27">
        <f t="shared" si="0"/>
        <v>0.16719154977143</v>
      </c>
      <c r="D13" s="27">
        <f t="shared" si="1"/>
        <v>5.0216917869674001E-3</v>
      </c>
      <c r="I13" s="28"/>
      <c r="J13" s="28"/>
    </row>
    <row r="14" spans="1:10" x14ac:dyDescent="0.25">
      <c r="A14" s="25" t="s">
        <v>224</v>
      </c>
      <c r="B14" s="26">
        <f>'Прил.5 Расчет СМР и ОБ'!G72</f>
        <v>1500.53</v>
      </c>
      <c r="C14" s="27">
        <f t="shared" si="0"/>
        <v>2.4865125341422999E-2</v>
      </c>
      <c r="D14" s="27">
        <f t="shared" si="1"/>
        <v>7.4683795849515996E-4</v>
      </c>
      <c r="I14" s="28"/>
      <c r="J14" s="28"/>
    </row>
    <row r="15" spans="1:10" x14ac:dyDescent="0.25">
      <c r="A15" s="25" t="s">
        <v>225</v>
      </c>
      <c r="B15" s="26">
        <f>B13+B14</f>
        <v>11590</v>
      </c>
      <c r="C15" s="27">
        <f t="shared" si="0"/>
        <v>0.19205667511284999</v>
      </c>
      <c r="D15" s="27">
        <f t="shared" si="1"/>
        <v>5.7685297454625004E-3</v>
      </c>
      <c r="I15" s="28"/>
      <c r="J15" s="28"/>
    </row>
    <row r="16" spans="1:10" x14ac:dyDescent="0.25">
      <c r="A16" s="25" t="s">
        <v>226</v>
      </c>
      <c r="B16" s="26">
        <f>B8+B11+B15</f>
        <v>37876.839999999997</v>
      </c>
      <c r="C16" s="27"/>
      <c r="D16" s="27"/>
      <c r="I16" s="28"/>
      <c r="J16" s="28"/>
    </row>
    <row r="17" spans="1:10" x14ac:dyDescent="0.25">
      <c r="A17" s="25" t="s">
        <v>227</v>
      </c>
      <c r="B17" s="26">
        <f>'Прил.5 Расчет СМР и ОБ'!G76</f>
        <v>9481.5300000000007</v>
      </c>
      <c r="C17" s="27">
        <f>B17/$B$21</f>
        <v>0.15711743975692</v>
      </c>
      <c r="D17" s="27">
        <f>B17/$B$35</f>
        <v>4.7191102534507997E-3</v>
      </c>
      <c r="I17" s="28"/>
      <c r="J17" s="28"/>
    </row>
    <row r="18" spans="1:10" x14ac:dyDescent="0.25">
      <c r="A18" s="25" t="s">
        <v>228</v>
      </c>
      <c r="B18" s="29">
        <f>B17/(B8+B12)</f>
        <v>0.72999975609008005</v>
      </c>
      <c r="C18" s="27"/>
      <c r="D18" s="27"/>
      <c r="I18" s="28"/>
      <c r="J18" s="28"/>
    </row>
    <row r="19" spans="1:10" x14ac:dyDescent="0.25">
      <c r="A19" s="25" t="s">
        <v>229</v>
      </c>
      <c r="B19" s="26">
        <f>'Прил.5 Расчет СМР и ОБ'!G75</f>
        <v>12988.4</v>
      </c>
      <c r="C19" s="27">
        <f>B19/$B$21</f>
        <v>0.21522941492975001</v>
      </c>
      <c r="D19" s="27">
        <f>B19/$B$35</f>
        <v>6.4645359573740997E-3</v>
      </c>
      <c r="I19" s="28"/>
      <c r="J19" s="28"/>
    </row>
    <row r="20" spans="1:10" x14ac:dyDescent="0.25">
      <c r="A20" s="25" t="s">
        <v>230</v>
      </c>
      <c r="B20" s="29">
        <f>B19/(B8+B12)</f>
        <v>0.99999987681317004</v>
      </c>
      <c r="C20" s="27"/>
      <c r="D20" s="27"/>
      <c r="J20" s="28"/>
    </row>
    <row r="21" spans="1:10" x14ac:dyDescent="0.25">
      <c r="A21" s="25" t="s">
        <v>231</v>
      </c>
      <c r="B21" s="26">
        <f>B16+B17+B19</f>
        <v>60346.77</v>
      </c>
      <c r="C21" s="27">
        <f>B21/$B$21</f>
        <v>1</v>
      </c>
      <c r="D21" s="27">
        <f>B21/$B$35</f>
        <v>3.0035559774597001E-2</v>
      </c>
      <c r="J21" s="28"/>
    </row>
    <row r="22" spans="1:10" ht="26.45" customHeight="1" x14ac:dyDescent="0.25">
      <c r="A22" s="25" t="s">
        <v>232</v>
      </c>
      <c r="B22" s="26">
        <f>'Прил.6 Расчет ОБ'!G16</f>
        <v>1994642.3817890999</v>
      </c>
      <c r="C22" s="27"/>
      <c r="D22" s="27">
        <f>B22/$B$35</f>
        <v>0.99276565236504999</v>
      </c>
      <c r="J22" s="28"/>
    </row>
    <row r="23" spans="1:10" ht="26.45" customHeight="1" x14ac:dyDescent="0.25">
      <c r="A23" s="25" t="s">
        <v>233</v>
      </c>
      <c r="B23" s="26">
        <f>'Прил.6 Расчет ОБ'!G15</f>
        <v>1994642.3817890999</v>
      </c>
      <c r="C23" s="27"/>
      <c r="D23" s="27">
        <f>B23/$B$35</f>
        <v>0.99276565236504999</v>
      </c>
      <c r="J23" s="28"/>
    </row>
    <row r="24" spans="1:10" x14ac:dyDescent="0.25">
      <c r="A24" s="25" t="s">
        <v>234</v>
      </c>
      <c r="B24" s="26">
        <f>'Прил.5 Расчет СМР и ОБ'!G78</f>
        <v>1942521.3323003</v>
      </c>
      <c r="C24" s="27"/>
      <c r="D24" s="27">
        <f>B24/$B$35</f>
        <v>0.96682416622691003</v>
      </c>
      <c r="J24" s="28"/>
    </row>
    <row r="25" spans="1:10" ht="26.45" customHeight="1" x14ac:dyDescent="0.25">
      <c r="A25" s="25" t="s">
        <v>235</v>
      </c>
      <c r="B25" s="26"/>
      <c r="C25" s="27"/>
      <c r="D25" s="27"/>
      <c r="J25" s="28"/>
    </row>
    <row r="26" spans="1:10" x14ac:dyDescent="0.25">
      <c r="A26" s="25" t="s">
        <v>236</v>
      </c>
      <c r="B26" s="26">
        <f>'4.7 Прил.6 Расчет Прочие'!I9*1000</f>
        <v>278.41007999999999</v>
      </c>
      <c r="C26" s="27"/>
      <c r="D26" s="27">
        <f>B26/$B$35</f>
        <v>1.3856918273654999E-4</v>
      </c>
      <c r="J26" s="28"/>
    </row>
    <row r="27" spans="1:10" x14ac:dyDescent="0.25">
      <c r="A27" s="25" t="s">
        <v>237</v>
      </c>
      <c r="B27" s="26">
        <f>'4.7 Прил.6 Расчет Прочие'!I11*1000</f>
        <v>86.950678710000005</v>
      </c>
      <c r="C27" s="27"/>
      <c r="D27" s="27">
        <f>B27/$B$35</f>
        <v>4.3276753798688003E-5</v>
      </c>
      <c r="J27" s="28"/>
    </row>
    <row r="28" spans="1:10" x14ac:dyDescent="0.25">
      <c r="A28" s="25" t="s">
        <v>238</v>
      </c>
      <c r="B28" s="26">
        <f>'4.7 Прил.6 Расчет Прочие'!I12*1000</f>
        <v>5470.4031199999999</v>
      </c>
      <c r="C28" s="27"/>
      <c r="D28" s="27">
        <f>B28/$B$35</f>
        <v>2.7227077754435999E-3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239</v>
      </c>
      <c r="B30" s="26">
        <f>'4.7 Прил.6 Расчет Прочие'!I14*1000</f>
        <v>2300.6417510043998</v>
      </c>
      <c r="C30" s="27"/>
      <c r="D30" s="27">
        <f>B30/$B$35</f>
        <v>1.1450664688802E-3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240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241</v>
      </c>
      <c r="B33" s="26">
        <f>B24+B26+B27+B28+B30+B32</f>
        <v>1950657.7379300001</v>
      </c>
      <c r="C33" s="27"/>
      <c r="D33" s="27">
        <f>B33/$B$35</f>
        <v>0.97087378640777</v>
      </c>
      <c r="J33" s="28"/>
    </row>
    <row r="34" spans="1:10" x14ac:dyDescent="0.25">
      <c r="A34" s="25" t="s">
        <v>242</v>
      </c>
      <c r="B34" s="26">
        <f>B33*3%</f>
        <v>58519.732137901003</v>
      </c>
      <c r="C34" s="27"/>
      <c r="D34" s="27">
        <f>B34/$B$35</f>
        <v>2.9126213592233E-2</v>
      </c>
      <c r="J34" s="28"/>
    </row>
    <row r="35" spans="1:10" x14ac:dyDescent="0.25">
      <c r="A35" s="25" t="s">
        <v>243</v>
      </c>
      <c r="B35" s="26">
        <f>B33+B34</f>
        <v>2009177.4700678999</v>
      </c>
      <c r="C35" s="27"/>
      <c r="D35" s="27">
        <f>B35/$B$35</f>
        <v>1</v>
      </c>
      <c r="J35" s="28"/>
    </row>
    <row r="36" spans="1:10" x14ac:dyDescent="0.25">
      <c r="A36" s="25" t="s">
        <v>244</v>
      </c>
      <c r="B36" s="26">
        <f>B35</f>
        <v>2009177.4700678999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245</v>
      </c>
      <c r="B38" s="30"/>
      <c r="C38" s="30"/>
      <c r="D38" s="30"/>
    </row>
    <row r="39" spans="1:10" x14ac:dyDescent="0.25">
      <c r="A39" s="31" t="s">
        <v>246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247</v>
      </c>
      <c r="B41" s="30"/>
      <c r="C41" s="30"/>
      <c r="D41" s="30"/>
    </row>
    <row r="42" spans="1:10" x14ac:dyDescent="0.25">
      <c r="A42" s="31" t="s">
        <v>248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249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40" t="s">
        <v>214</v>
      </c>
      <c r="C5" s="240"/>
      <c r="D5" s="240"/>
      <c r="E5" s="240"/>
    </row>
    <row r="6" spans="2:5" x14ac:dyDescent="0.25">
      <c r="B6" s="139"/>
      <c r="C6" s="4"/>
      <c r="D6" s="4"/>
      <c r="E6" s="4"/>
    </row>
    <row r="7" spans="2:5" ht="25.5" customHeight="1" x14ac:dyDescent="0.25">
      <c r="B7" s="273" t="s">
        <v>48</v>
      </c>
      <c r="C7" s="273"/>
      <c r="D7" s="273"/>
      <c r="E7" s="273"/>
    </row>
    <row r="8" spans="2:5" x14ac:dyDescent="0.25">
      <c r="B8" s="274" t="s">
        <v>50</v>
      </c>
      <c r="C8" s="274"/>
      <c r="D8" s="274"/>
      <c r="E8" s="274"/>
    </row>
    <row r="9" spans="2:5" x14ac:dyDescent="0.25">
      <c r="B9" s="139"/>
      <c r="C9" s="4"/>
      <c r="D9" s="4"/>
      <c r="E9" s="4"/>
    </row>
    <row r="10" spans="2:5" ht="51" customHeight="1" x14ac:dyDescent="0.25">
      <c r="B10" s="2" t="s">
        <v>215</v>
      </c>
      <c r="C10" s="2" t="s">
        <v>250</v>
      </c>
      <c r="D10" s="2" t="s">
        <v>251</v>
      </c>
      <c r="E10" s="2" t="s">
        <v>252</v>
      </c>
    </row>
    <row r="11" spans="2:5" x14ac:dyDescent="0.25">
      <c r="B11" s="25" t="s">
        <v>218</v>
      </c>
      <c r="C11" s="179">
        <f>'Прил.5 Расчет СМР и ОБ'!J16</f>
        <v>594752.71</v>
      </c>
      <c r="D11" s="27">
        <f t="shared" ref="D11:D18" si="0">C11/$C$24</f>
        <v>0.31232632949741002</v>
      </c>
      <c r="E11" s="27">
        <f t="shared" ref="E11:E18" si="1">C11/$C$40</f>
        <v>4.0473622148604997E-2</v>
      </c>
    </row>
    <row r="12" spans="2:5" x14ac:dyDescent="0.25">
      <c r="B12" s="25" t="s">
        <v>219</v>
      </c>
      <c r="C12" s="179">
        <f>'Прил.5 Расчет СМР и ОБ'!J25</f>
        <v>167253.95000000001</v>
      </c>
      <c r="D12" s="27">
        <f t="shared" si="0"/>
        <v>8.7831146322046999E-2</v>
      </c>
      <c r="E12" s="27">
        <f t="shared" si="1"/>
        <v>1.1381828214219999E-2</v>
      </c>
    </row>
    <row r="13" spans="2:5" x14ac:dyDescent="0.25">
      <c r="B13" s="25" t="s">
        <v>220</v>
      </c>
      <c r="C13" s="179">
        <f>'Прил.5 Расчет СМР и ОБ'!J35</f>
        <v>13113.42</v>
      </c>
      <c r="D13" s="27">
        <f t="shared" si="0"/>
        <v>6.8863348865749003E-3</v>
      </c>
      <c r="E13" s="27">
        <f t="shared" si="1"/>
        <v>8.9238367010712003E-4</v>
      </c>
    </row>
    <row r="14" spans="2:5" x14ac:dyDescent="0.25">
      <c r="B14" s="25" t="s">
        <v>221</v>
      </c>
      <c r="C14" s="179">
        <f>C13+C12</f>
        <v>180367.37</v>
      </c>
      <c r="D14" s="27">
        <f t="shared" si="0"/>
        <v>9.4717481208622001E-2</v>
      </c>
      <c r="E14" s="27">
        <f t="shared" si="1"/>
        <v>1.2274211884327001E-2</v>
      </c>
    </row>
    <row r="15" spans="2:5" x14ac:dyDescent="0.25">
      <c r="B15" s="25" t="s">
        <v>222</v>
      </c>
      <c r="C15" s="179">
        <f>'Прил.5 Расчет СМР и ОБ'!J18</f>
        <v>4069.99</v>
      </c>
      <c r="D15" s="27">
        <f t="shared" si="0"/>
        <v>2.1373001188866999E-3</v>
      </c>
      <c r="E15" s="27">
        <f t="shared" si="1"/>
        <v>2.7696761130957998E-4</v>
      </c>
    </row>
    <row r="16" spans="2:5" x14ac:dyDescent="0.25">
      <c r="B16" s="25" t="s">
        <v>223</v>
      </c>
      <c r="C16" s="179">
        <f>'Прил.5 Расчет СМР и ОБ'!J53</f>
        <v>81119.34</v>
      </c>
      <c r="D16" s="27">
        <f t="shared" si="0"/>
        <v>4.2598722607674999E-2</v>
      </c>
      <c r="E16" s="27">
        <f t="shared" si="1"/>
        <v>5.5202665929915996E-3</v>
      </c>
    </row>
    <row r="17" spans="2:7" x14ac:dyDescent="0.25">
      <c r="B17" s="25" t="s">
        <v>224</v>
      </c>
      <c r="C17" s="179">
        <f>'Прил.5 Расчет СМР и ОБ'!J72</f>
        <v>12064.27</v>
      </c>
      <c r="D17" s="27">
        <f t="shared" si="0"/>
        <v>6.3353879752237998E-3</v>
      </c>
      <c r="E17" s="27">
        <f t="shared" si="1"/>
        <v>8.2098777738860002E-4</v>
      </c>
      <c r="G17" s="140"/>
    </row>
    <row r="18" spans="2:7" x14ac:dyDescent="0.25">
      <c r="B18" s="25" t="s">
        <v>225</v>
      </c>
      <c r="C18" s="179">
        <f>C17+C16</f>
        <v>93183.61</v>
      </c>
      <c r="D18" s="27">
        <f t="shared" si="0"/>
        <v>4.8934110582899003E-2</v>
      </c>
      <c r="E18" s="27">
        <f t="shared" si="1"/>
        <v>6.3412543703801998E-3</v>
      </c>
    </row>
    <row r="19" spans="2:7" x14ac:dyDescent="0.25">
      <c r="B19" s="25" t="s">
        <v>226</v>
      </c>
      <c r="C19" s="179">
        <f>C18+C14+C11</f>
        <v>868303.69</v>
      </c>
      <c r="D19" s="27"/>
      <c r="E19" s="25"/>
    </row>
    <row r="20" spans="2:7" x14ac:dyDescent="0.25">
      <c r="B20" s="25" t="s">
        <v>227</v>
      </c>
      <c r="C20" s="179">
        <f>ROUND(C21*(C11+C15),2)</f>
        <v>437140.57</v>
      </c>
      <c r="D20" s="27">
        <f>C20/$C$24</f>
        <v>0.22955844909476</v>
      </c>
      <c r="E20" s="27">
        <f>C20/$C$40</f>
        <v>2.9747930456686E-2</v>
      </c>
    </row>
    <row r="21" spans="2:7" x14ac:dyDescent="0.25">
      <c r="B21" s="25" t="s">
        <v>228</v>
      </c>
      <c r="C21" s="29">
        <f>'Прил.5 Расчет СМР и ОБ'!D76</f>
        <v>0.73</v>
      </c>
      <c r="D21" s="27"/>
      <c r="E21" s="25"/>
    </row>
    <row r="22" spans="2:7" x14ac:dyDescent="0.25">
      <c r="B22" s="25" t="s">
        <v>229</v>
      </c>
      <c r="C22" s="179">
        <f>ROUND(C23*(C11+C15),2)</f>
        <v>598822.69999999995</v>
      </c>
      <c r="D22" s="27">
        <f>C22/$C$24</f>
        <v>0.31446362961629998</v>
      </c>
      <c r="E22" s="27">
        <f>C22/$C$40</f>
        <v>4.0750589759913997E-2</v>
      </c>
    </row>
    <row r="23" spans="2:7" x14ac:dyDescent="0.25">
      <c r="B23" s="25" t="s">
        <v>230</v>
      </c>
      <c r="C23" s="29">
        <f>'Прил.5 Расчет СМР и ОБ'!D75</f>
        <v>1</v>
      </c>
      <c r="D23" s="27"/>
      <c r="E23" s="25"/>
    </row>
    <row r="24" spans="2:7" x14ac:dyDescent="0.25">
      <c r="B24" s="25" t="s">
        <v>231</v>
      </c>
      <c r="C24" s="179">
        <f>C19+C20+C22</f>
        <v>1904266.96</v>
      </c>
      <c r="D24" s="27">
        <f>C24/$C$24</f>
        <v>1</v>
      </c>
      <c r="E24" s="27">
        <f>C24/$C$40</f>
        <v>0.12958760861991001</v>
      </c>
    </row>
    <row r="25" spans="2:7" ht="25.5" customHeight="1" x14ac:dyDescent="0.25">
      <c r="B25" s="25" t="s">
        <v>232</v>
      </c>
      <c r="C25" s="179">
        <f>'Прил.5 Расчет СМР и ОБ'!J44</f>
        <v>11782412.76</v>
      </c>
      <c r="D25" s="27"/>
      <c r="E25" s="27">
        <f>C25/$C$40</f>
        <v>0.80180706036150995</v>
      </c>
    </row>
    <row r="26" spans="2:7" ht="25.5" customHeight="1" x14ac:dyDescent="0.25">
      <c r="B26" s="25" t="s">
        <v>233</v>
      </c>
      <c r="C26" s="179">
        <f>C25</f>
        <v>11782412.76</v>
      </c>
      <c r="D26" s="27"/>
      <c r="E26" s="27">
        <f>C26/$C$40</f>
        <v>0.80180706036150995</v>
      </c>
    </row>
    <row r="27" spans="2:7" x14ac:dyDescent="0.25">
      <c r="B27" s="25" t="s">
        <v>234</v>
      </c>
      <c r="C27" s="26">
        <f>C24+C25</f>
        <v>13686679.720000001</v>
      </c>
      <c r="D27" s="27"/>
      <c r="E27" s="27">
        <f>C27/$C$40</f>
        <v>0.93139466898141998</v>
      </c>
    </row>
    <row r="28" spans="2:7" ht="33" customHeight="1" x14ac:dyDescent="0.25">
      <c r="B28" s="25" t="s">
        <v>235</v>
      </c>
      <c r="C28" s="25"/>
      <c r="D28" s="25"/>
      <c r="E28" s="25"/>
    </row>
    <row r="29" spans="2:7" ht="25.5" customHeight="1" x14ac:dyDescent="0.25">
      <c r="B29" s="25" t="s">
        <v>253</v>
      </c>
      <c r="C29" s="26">
        <f>ROUND(C24*3.9%,2)</f>
        <v>74266.41</v>
      </c>
      <c r="D29" s="25"/>
      <c r="E29" s="27">
        <f t="shared" ref="E29:E38" si="2">C29/$C$40</f>
        <v>5.0539166381829001E-3</v>
      </c>
    </row>
    <row r="30" spans="2:7" ht="38.25" customHeight="1" x14ac:dyDescent="0.25">
      <c r="B30" s="25" t="s">
        <v>254</v>
      </c>
      <c r="C30" s="26">
        <f>ROUND((C24+C29)*2.1%,2)</f>
        <v>41549.199999999997</v>
      </c>
      <c r="D30" s="25"/>
      <c r="E30" s="27">
        <f t="shared" si="2"/>
        <v>2.8274719780206001E-3</v>
      </c>
    </row>
    <row r="31" spans="2:7" ht="25.5" customHeight="1" x14ac:dyDescent="0.25">
      <c r="B31" s="25" t="s">
        <v>255</v>
      </c>
      <c r="C31" s="26">
        <v>138112.79999999999</v>
      </c>
      <c r="D31" s="25"/>
      <c r="E31" s="27">
        <f t="shared" si="2"/>
        <v>9.3987386473376993E-3</v>
      </c>
    </row>
    <row r="32" spans="2:7" ht="25.5" customHeight="1" x14ac:dyDescent="0.25">
      <c r="B32" s="25" t="s">
        <v>256</v>
      </c>
      <c r="C32" s="26">
        <f>ROUND(C26*0%,2)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257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258</v>
      </c>
      <c r="C34" s="26">
        <f>ROUND(C28*0%,2)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259</v>
      </c>
      <c r="C35" s="26">
        <f>ROUND(C29*0%,2)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260</v>
      </c>
      <c r="C36" s="26">
        <f>ROUND((C27+C32+C33+C34+C35+C29+C31+C30)*2.14%,2)</f>
        <v>298329.01</v>
      </c>
      <c r="D36" s="25"/>
      <c r="E36" s="27">
        <f t="shared" si="2"/>
        <v>2.0301640368662E-2</v>
      </c>
      <c r="L36" s="141"/>
    </row>
    <row r="37" spans="2:12" x14ac:dyDescent="0.25">
      <c r="B37" s="25" t="s">
        <v>261</v>
      </c>
      <c r="C37" s="26">
        <f>ROUND((C27+C32+C33+C34+C35+C29+C31+C30)*0.2%,2)</f>
        <v>27881.22</v>
      </c>
      <c r="D37" s="25"/>
      <c r="E37" s="27">
        <f t="shared" si="2"/>
        <v>1.8973498470013E-3</v>
      </c>
      <c r="L37" s="141"/>
    </row>
    <row r="38" spans="2:12" ht="38.25" customHeight="1" x14ac:dyDescent="0.25">
      <c r="B38" s="25" t="s">
        <v>241</v>
      </c>
      <c r="C38" s="179">
        <f>C27+C32+C33+C34+C35+C29+C31+C30+C36+C37</f>
        <v>14266818.359999999</v>
      </c>
      <c r="D38" s="25"/>
      <c r="E38" s="27">
        <f t="shared" si="2"/>
        <v>0.97087378646061995</v>
      </c>
    </row>
    <row r="39" spans="2:12" ht="13.5" customHeight="1" x14ac:dyDescent="0.25">
      <c r="B39" s="25" t="s">
        <v>242</v>
      </c>
      <c r="C39" s="179">
        <f>ROUND(C38*3%,2)</f>
        <v>428004.55</v>
      </c>
      <c r="D39" s="25"/>
      <c r="E39" s="27">
        <f>C39/$C$38</f>
        <v>2.9999999943925999E-2</v>
      </c>
    </row>
    <row r="40" spans="2:12" x14ac:dyDescent="0.25">
      <c r="B40" s="25" t="s">
        <v>243</v>
      </c>
      <c r="C40" s="179">
        <f>C39+C38</f>
        <v>14694822.91</v>
      </c>
      <c r="D40" s="25"/>
      <c r="E40" s="27">
        <f>C40/$C$40</f>
        <v>1</v>
      </c>
    </row>
    <row r="41" spans="2:12" x14ac:dyDescent="0.25">
      <c r="B41" s="25" t="s">
        <v>244</v>
      </c>
      <c r="C41" s="179">
        <f>C40/'Прил.5 Расчет СМР и ОБ'!E79</f>
        <v>14694822.91</v>
      </c>
      <c r="D41" s="25"/>
      <c r="E41" s="25"/>
    </row>
    <row r="42" spans="2:12" x14ac:dyDescent="0.25">
      <c r="B42" s="142"/>
      <c r="C42" s="4"/>
      <c r="D42" s="4"/>
      <c r="E42" s="4"/>
    </row>
    <row r="43" spans="2:12" x14ac:dyDescent="0.25">
      <c r="B43" s="4" t="s">
        <v>75</v>
      </c>
      <c r="C43" s="12"/>
    </row>
    <row r="44" spans="2:12" x14ac:dyDescent="0.25">
      <c r="B44" s="33" t="s">
        <v>76</v>
      </c>
      <c r="C44" s="12"/>
    </row>
    <row r="45" spans="2:12" x14ac:dyDescent="0.25">
      <c r="B45" s="4"/>
      <c r="C45" s="12"/>
    </row>
    <row r="46" spans="2:12" x14ac:dyDescent="0.25">
      <c r="B46" s="4" t="s">
        <v>77</v>
      </c>
      <c r="C46" s="12"/>
    </row>
    <row r="47" spans="2:12" x14ac:dyDescent="0.25">
      <c r="B47" s="33" t="s">
        <v>78</v>
      </c>
      <c r="C47" s="12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tabSelected="1" view="pageBreakPreview" topLeftCell="A67" zoomScaleSheetLayoutView="100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85" t="s">
        <v>262</v>
      </c>
      <c r="I2" s="285"/>
      <c r="J2" s="28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40" t="s">
        <v>263</v>
      </c>
      <c r="B4" s="240"/>
      <c r="C4" s="240"/>
      <c r="D4" s="240"/>
      <c r="E4" s="240"/>
      <c r="F4" s="240"/>
      <c r="G4" s="240"/>
      <c r="H4" s="240"/>
      <c r="I4" s="240"/>
      <c r="J4" s="240"/>
    </row>
    <row r="5" spans="1:14" s="4" customFormat="1" ht="12.75" customHeight="1" x14ac:dyDescent="0.2">
      <c r="A5" s="143"/>
      <c r="B5" s="143"/>
      <c r="C5" s="35"/>
      <c r="D5" s="143"/>
      <c r="E5" s="143"/>
      <c r="F5" s="143"/>
      <c r="G5" s="143"/>
      <c r="H5" s="143"/>
      <c r="I5" s="143"/>
      <c r="J5" s="143"/>
    </row>
    <row r="6" spans="1:14" s="4" customFormat="1" ht="12.75" customHeight="1" x14ac:dyDescent="0.2">
      <c r="A6" s="192" t="s">
        <v>264</v>
      </c>
      <c r="B6" s="192"/>
      <c r="C6" s="192"/>
      <c r="D6" s="192" t="s">
        <v>265</v>
      </c>
      <c r="E6" s="192"/>
      <c r="F6" s="192"/>
      <c r="G6" s="192"/>
      <c r="H6" s="192"/>
      <c r="I6" s="144"/>
      <c r="J6" s="144"/>
    </row>
    <row r="7" spans="1:14" s="4" customFormat="1" ht="12.75" customHeight="1" x14ac:dyDescent="0.2">
      <c r="A7" s="243" t="s">
        <v>266</v>
      </c>
      <c r="B7" s="273"/>
      <c r="C7" s="273"/>
      <c r="D7" s="273"/>
      <c r="E7" s="273"/>
      <c r="F7" s="273"/>
      <c r="G7" s="273"/>
      <c r="H7" s="273"/>
      <c r="I7" s="49"/>
      <c r="J7" s="49"/>
    </row>
    <row r="8" spans="1:14" s="4" customFormat="1" ht="13.5" customHeight="1" x14ac:dyDescent="0.2">
      <c r="A8" s="243"/>
      <c r="B8" s="273"/>
      <c r="C8" s="273"/>
      <c r="D8" s="273"/>
      <c r="E8" s="273"/>
      <c r="F8" s="273"/>
      <c r="G8" s="273"/>
      <c r="H8" s="273"/>
    </row>
    <row r="9" spans="1:14" ht="27" customHeight="1" x14ac:dyDescent="0.25">
      <c r="A9" s="276" t="s">
        <v>13</v>
      </c>
      <c r="B9" s="276" t="s">
        <v>99</v>
      </c>
      <c r="C9" s="276" t="s">
        <v>215</v>
      </c>
      <c r="D9" s="276" t="s">
        <v>101</v>
      </c>
      <c r="E9" s="288" t="s">
        <v>267</v>
      </c>
      <c r="F9" s="286" t="s">
        <v>103</v>
      </c>
      <c r="G9" s="287"/>
      <c r="H9" s="288" t="s">
        <v>268</v>
      </c>
      <c r="I9" s="286" t="s">
        <v>269</v>
      </c>
      <c r="J9" s="287"/>
      <c r="M9" s="12"/>
      <c r="N9" s="12"/>
    </row>
    <row r="10" spans="1:14" ht="28.5" customHeight="1" x14ac:dyDescent="0.25">
      <c r="A10" s="276"/>
      <c r="B10" s="276"/>
      <c r="C10" s="276"/>
      <c r="D10" s="276"/>
      <c r="E10" s="289"/>
      <c r="F10" s="2" t="s">
        <v>270</v>
      </c>
      <c r="G10" s="2" t="s">
        <v>105</v>
      </c>
      <c r="H10" s="289"/>
      <c r="I10" s="2" t="s">
        <v>270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0">
        <v>9</v>
      </c>
      <c r="J11" s="180">
        <v>10</v>
      </c>
      <c r="M11" s="12"/>
      <c r="N11" s="12"/>
    </row>
    <row r="12" spans="1:14" x14ac:dyDescent="0.25">
      <c r="A12" s="2"/>
      <c r="B12" s="280" t="s">
        <v>271</v>
      </c>
      <c r="C12" s="275"/>
      <c r="D12" s="276"/>
      <c r="E12" s="277"/>
      <c r="F12" s="278"/>
      <c r="G12" s="278"/>
      <c r="H12" s="279"/>
      <c r="I12" s="183"/>
      <c r="J12" s="183"/>
    </row>
    <row r="13" spans="1:14" x14ac:dyDescent="0.25">
      <c r="A13" s="2">
        <v>1</v>
      </c>
      <c r="B13" s="169" t="s">
        <v>109</v>
      </c>
      <c r="C13" s="8" t="s">
        <v>110</v>
      </c>
      <c r="D13" s="2" t="s">
        <v>272</v>
      </c>
      <c r="E13" s="231">
        <f>G13/F13</f>
        <v>294.69980632666</v>
      </c>
      <c r="F13" s="32">
        <v>15.49</v>
      </c>
      <c r="G13" s="32">
        <v>4564.8999999999996</v>
      </c>
      <c r="H13" s="184">
        <f>G13/G16</f>
        <v>0.35396370493745999</v>
      </c>
      <c r="I13" s="32">
        <f>ФОТр.тек.!E21</f>
        <v>713.02776960364997</v>
      </c>
      <c r="J13" s="32">
        <f>ROUND(I13*E13,2)</f>
        <v>210129.15</v>
      </c>
    </row>
    <row r="14" spans="1:14" ht="25.5" customHeight="1" x14ac:dyDescent="0.25">
      <c r="A14" s="2">
        <v>2</v>
      </c>
      <c r="B14" s="169" t="s">
        <v>113</v>
      </c>
      <c r="C14" s="8" t="s">
        <v>273</v>
      </c>
      <c r="D14" s="2" t="s">
        <v>272</v>
      </c>
      <c r="E14" s="231">
        <f>G14/F14</f>
        <v>434.43866943866999</v>
      </c>
      <c r="F14" s="32">
        <v>9.6199999999999992</v>
      </c>
      <c r="G14" s="32">
        <v>4179.3</v>
      </c>
      <c r="H14" s="184">
        <f>G14/G16</f>
        <v>0.32406416614715</v>
      </c>
      <c r="I14" s="32">
        <f>ФОТр.тек.!E13</f>
        <v>444.39870291576</v>
      </c>
      <c r="J14" s="32">
        <f>ROUND(I14*E14,2)</f>
        <v>193063.98</v>
      </c>
    </row>
    <row r="15" spans="1:14" x14ac:dyDescent="0.25">
      <c r="A15" s="2">
        <v>3</v>
      </c>
      <c r="B15" s="169" t="s">
        <v>116</v>
      </c>
      <c r="C15" s="8" t="s">
        <v>117</v>
      </c>
      <c r="D15" s="2" t="s">
        <v>272</v>
      </c>
      <c r="E15" s="231">
        <f>G15/F15</f>
        <v>294.69978708304001</v>
      </c>
      <c r="F15" s="32">
        <v>14.09</v>
      </c>
      <c r="G15" s="32">
        <v>4152.32</v>
      </c>
      <c r="H15" s="184">
        <f>G15/G16</f>
        <v>0.3219721289154</v>
      </c>
      <c r="I15" s="32">
        <f>ФОТр.тек.!E29</f>
        <v>650.01601322007002</v>
      </c>
      <c r="J15" s="32">
        <f>ROUND(I15*E15,2)</f>
        <v>191559.58</v>
      </c>
    </row>
    <row r="16" spans="1:14" s="12" customFormat="1" ht="25.5" customHeight="1" x14ac:dyDescent="0.2">
      <c r="A16" s="2"/>
      <c r="B16" s="2"/>
      <c r="C16" s="104" t="s">
        <v>274</v>
      </c>
      <c r="D16" s="2" t="s">
        <v>272</v>
      </c>
      <c r="E16" s="173">
        <f>SUM(E13:E15)</f>
        <v>1023.8382628483999</v>
      </c>
      <c r="F16" s="32"/>
      <c r="G16" s="32">
        <f>SUM(G13:G15)</f>
        <v>12896.52</v>
      </c>
      <c r="H16" s="182">
        <v>1</v>
      </c>
      <c r="I16" s="183"/>
      <c r="J16" s="32">
        <f>SUM(J13:J15)</f>
        <v>594752.71</v>
      </c>
    </row>
    <row r="17" spans="1:10" s="12" customFormat="1" ht="14.25" customHeight="1" x14ac:dyDescent="0.2">
      <c r="A17" s="2"/>
      <c r="B17" s="275" t="s">
        <v>124</v>
      </c>
      <c r="C17" s="275"/>
      <c r="D17" s="276"/>
      <c r="E17" s="277"/>
      <c r="F17" s="278"/>
      <c r="G17" s="278"/>
      <c r="H17" s="279"/>
      <c r="I17" s="183"/>
      <c r="J17" s="183"/>
    </row>
    <row r="18" spans="1:10" s="12" customFormat="1" ht="14.25" customHeight="1" x14ac:dyDescent="0.2">
      <c r="A18" s="2">
        <v>4</v>
      </c>
      <c r="B18" s="2">
        <v>2</v>
      </c>
      <c r="C18" s="8" t="s">
        <v>124</v>
      </c>
      <c r="D18" s="2" t="s">
        <v>272</v>
      </c>
      <c r="E18" s="173">
        <v>121.4922</v>
      </c>
      <c r="F18" s="32">
        <f>G18/E18</f>
        <v>0.75627571152716</v>
      </c>
      <c r="G18" s="32">
        <f>'Прил. 3'!H19</f>
        <v>91.881600000000006</v>
      </c>
      <c r="H18" s="182">
        <v>1</v>
      </c>
      <c r="I18" s="32">
        <f>ROUND(F18*'Прил. 10'!D11,2)</f>
        <v>33.5</v>
      </c>
      <c r="J18" s="32">
        <f>ROUND(I18*E18,2)</f>
        <v>4069.99</v>
      </c>
    </row>
    <row r="19" spans="1:10" s="12" customFormat="1" ht="14.25" customHeight="1" x14ac:dyDescent="0.2">
      <c r="A19" s="2"/>
      <c r="B19" s="280" t="s">
        <v>125</v>
      </c>
      <c r="C19" s="275"/>
      <c r="D19" s="276"/>
      <c r="E19" s="277"/>
      <c r="F19" s="278"/>
      <c r="G19" s="278"/>
      <c r="H19" s="279"/>
      <c r="I19" s="183"/>
      <c r="J19" s="183"/>
    </row>
    <row r="20" spans="1:10" s="12" customFormat="1" ht="14.25" customHeight="1" x14ac:dyDescent="0.2">
      <c r="A20" s="2"/>
      <c r="B20" s="275" t="s">
        <v>275</v>
      </c>
      <c r="C20" s="275"/>
      <c r="D20" s="276"/>
      <c r="E20" s="277"/>
      <c r="F20" s="278"/>
      <c r="G20" s="278"/>
      <c r="H20" s="279"/>
      <c r="I20" s="183"/>
      <c r="J20" s="183"/>
    </row>
    <row r="21" spans="1:10" s="12" customFormat="1" ht="38.25" customHeight="1" x14ac:dyDescent="0.2">
      <c r="A21" s="2">
        <v>5</v>
      </c>
      <c r="B21" s="169" t="s">
        <v>126</v>
      </c>
      <c r="C21" s="8" t="s">
        <v>127</v>
      </c>
      <c r="D21" s="2" t="s">
        <v>128</v>
      </c>
      <c r="E21" s="173">
        <v>48</v>
      </c>
      <c r="F21" s="32">
        <v>110.86</v>
      </c>
      <c r="G21" s="32">
        <f>ROUND(E21*F21,2)</f>
        <v>5321.28</v>
      </c>
      <c r="H21" s="184">
        <f>G21/$G$36</f>
        <v>0.39739752298675002</v>
      </c>
      <c r="I21" s="32">
        <f>ROUND(F21*'Прил. 10'!$D$12,2)</f>
        <v>1493.28</v>
      </c>
      <c r="J21" s="32">
        <f>ROUND(I21*E21,2)</f>
        <v>71677.440000000002</v>
      </c>
    </row>
    <row r="22" spans="1:10" s="12" customFormat="1" ht="25.5" customHeight="1" x14ac:dyDescent="0.2">
      <c r="A22" s="2">
        <v>6</v>
      </c>
      <c r="B22" s="169" t="s">
        <v>129</v>
      </c>
      <c r="C22" s="8" t="s">
        <v>130</v>
      </c>
      <c r="D22" s="2" t="s">
        <v>128</v>
      </c>
      <c r="E22" s="173">
        <v>32.46</v>
      </c>
      <c r="F22" s="32">
        <v>111.99</v>
      </c>
      <c r="G22" s="32">
        <f>ROUND(E22*F22,2)</f>
        <v>3635.2</v>
      </c>
      <c r="H22" s="184">
        <f>G22/$G$36</f>
        <v>0.27147969578024</v>
      </c>
      <c r="I22" s="32">
        <f>ROUND(F22*'Прил. 10'!$D$12,2)</f>
        <v>1508.51</v>
      </c>
      <c r="J22" s="32">
        <f>ROUND(I22*E22,2)</f>
        <v>48966.23</v>
      </c>
    </row>
    <row r="23" spans="1:10" s="12" customFormat="1" ht="25.5" customHeight="1" x14ac:dyDescent="0.2">
      <c r="A23" s="2">
        <v>7</v>
      </c>
      <c r="B23" s="169" t="s">
        <v>131</v>
      </c>
      <c r="C23" s="8" t="s">
        <v>132</v>
      </c>
      <c r="D23" s="2" t="s">
        <v>128</v>
      </c>
      <c r="E23" s="173">
        <v>8.25</v>
      </c>
      <c r="F23" s="32">
        <v>287.99</v>
      </c>
      <c r="G23" s="32">
        <f>ROUND(E23*F23,2)</f>
        <v>2375.92</v>
      </c>
      <c r="H23" s="184">
        <f>G23/$G$36</f>
        <v>0.17743564007432</v>
      </c>
      <c r="I23" s="32">
        <f>ROUND(F23*'Прил. 10'!$D$12,2)</f>
        <v>3879.23</v>
      </c>
      <c r="J23" s="32">
        <f>ROUND(I23*E23,2)</f>
        <v>32003.65</v>
      </c>
    </row>
    <row r="24" spans="1:10" s="12" customFormat="1" ht="25.5" customHeight="1" x14ac:dyDescent="0.2">
      <c r="A24" s="2">
        <v>8</v>
      </c>
      <c r="B24" s="169" t="s">
        <v>133</v>
      </c>
      <c r="C24" s="8" t="s">
        <v>134</v>
      </c>
      <c r="D24" s="2" t="s">
        <v>128</v>
      </c>
      <c r="E24" s="173">
        <v>8.25</v>
      </c>
      <c r="F24" s="32">
        <v>131.44</v>
      </c>
      <c r="G24" s="32">
        <f>ROUND(E24*F24,2)</f>
        <v>1084.3800000000001</v>
      </c>
      <c r="H24" s="184">
        <f>G24/$G$36</f>
        <v>8.0982381302313999E-2</v>
      </c>
      <c r="I24" s="32">
        <f>ROUND(F24*'Прил. 10'!$D$12,2)</f>
        <v>1770.5</v>
      </c>
      <c r="J24" s="32">
        <f>ROUND(I24*E24,2)</f>
        <v>14606.63</v>
      </c>
    </row>
    <row r="25" spans="1:10" s="12" customFormat="1" ht="14.25" customHeight="1" x14ac:dyDescent="0.2">
      <c r="A25" s="2"/>
      <c r="B25" s="169"/>
      <c r="C25" s="8" t="s">
        <v>276</v>
      </c>
      <c r="D25" s="2"/>
      <c r="E25" s="173"/>
      <c r="F25" s="32"/>
      <c r="G25" s="32">
        <f>SUM(G21:G24)</f>
        <v>12416.78</v>
      </c>
      <c r="H25" s="184">
        <f>G25/G36</f>
        <v>0.92729524014362996</v>
      </c>
      <c r="I25" s="32"/>
      <c r="J25" s="32">
        <f>SUM(J21:J24)</f>
        <v>167253.95000000001</v>
      </c>
    </row>
    <row r="26" spans="1:10" s="12" customFormat="1" ht="25.5" customHeight="1" outlineLevel="1" x14ac:dyDescent="0.2">
      <c r="A26" s="2">
        <v>9</v>
      </c>
      <c r="B26" s="169" t="s">
        <v>135</v>
      </c>
      <c r="C26" s="8" t="s">
        <v>136</v>
      </c>
      <c r="D26" s="2" t="s">
        <v>128</v>
      </c>
      <c r="E26" s="173">
        <v>15.88</v>
      </c>
      <c r="F26" s="32">
        <v>29.6</v>
      </c>
      <c r="G26" s="32">
        <f t="shared" ref="G26:G34" si="0">ROUND(E26*F26,2)</f>
        <v>470.05</v>
      </c>
      <c r="H26" s="184">
        <f t="shared" ref="H26:H34" si="1">G26/$G$36</f>
        <v>3.5103716714761E-2</v>
      </c>
      <c r="I26" s="32">
        <f>ROUND(F26*'Прил. 10'!$D$12,2)</f>
        <v>398.71</v>
      </c>
      <c r="J26" s="32">
        <f t="shared" ref="J26:J34" si="2">ROUND(I26*E26,2)</f>
        <v>6331.51</v>
      </c>
    </row>
    <row r="27" spans="1:10" s="12" customFormat="1" ht="25.5" customHeight="1" outlineLevel="1" x14ac:dyDescent="0.2">
      <c r="A27" s="2">
        <v>10</v>
      </c>
      <c r="B27" s="169" t="s">
        <v>137</v>
      </c>
      <c r="C27" s="8" t="s">
        <v>138</v>
      </c>
      <c r="D27" s="2" t="s">
        <v>128</v>
      </c>
      <c r="E27" s="173">
        <v>6.2</v>
      </c>
      <c r="F27" s="32">
        <v>65.709999999999994</v>
      </c>
      <c r="G27" s="32">
        <f t="shared" si="0"/>
        <v>407.4</v>
      </c>
      <c r="H27" s="184">
        <f t="shared" si="1"/>
        <v>3.0424963705124E-2</v>
      </c>
      <c r="I27" s="32">
        <f>ROUND(F27*'Прил. 10'!$D$12,2)</f>
        <v>885.11</v>
      </c>
      <c r="J27" s="32">
        <f t="shared" si="2"/>
        <v>5487.68</v>
      </c>
    </row>
    <row r="28" spans="1:10" s="12" customFormat="1" ht="25.5" customHeight="1" outlineLevel="1" x14ac:dyDescent="0.2">
      <c r="A28" s="2">
        <v>11</v>
      </c>
      <c r="B28" s="169" t="s">
        <v>139</v>
      </c>
      <c r="C28" s="8" t="s">
        <v>140</v>
      </c>
      <c r="D28" s="2" t="s">
        <v>128</v>
      </c>
      <c r="E28" s="173">
        <v>9.08</v>
      </c>
      <c r="F28" s="32">
        <v>8.1</v>
      </c>
      <c r="G28" s="32">
        <f t="shared" si="0"/>
        <v>73.55</v>
      </c>
      <c r="H28" s="184">
        <f t="shared" si="1"/>
        <v>5.492773884418E-3</v>
      </c>
      <c r="I28" s="32">
        <f>ROUND(F28*'Прил. 10'!$D$12,2)</f>
        <v>109.11</v>
      </c>
      <c r="J28" s="32">
        <f t="shared" si="2"/>
        <v>990.72</v>
      </c>
    </row>
    <row r="29" spans="1:10" s="12" customFormat="1" ht="25.5" customHeight="1" outlineLevel="1" x14ac:dyDescent="0.2">
      <c r="A29" s="2">
        <v>12</v>
      </c>
      <c r="B29" s="169" t="s">
        <v>141</v>
      </c>
      <c r="C29" s="8" t="s">
        <v>142</v>
      </c>
      <c r="D29" s="2" t="s">
        <v>128</v>
      </c>
      <c r="E29" s="173">
        <v>16.5</v>
      </c>
      <c r="F29" s="32">
        <v>0.9</v>
      </c>
      <c r="G29" s="32">
        <f t="shared" si="0"/>
        <v>14.85</v>
      </c>
      <c r="H29" s="184">
        <f t="shared" si="1"/>
        <v>1.1090100908716001E-3</v>
      </c>
      <c r="I29" s="32">
        <f>ROUND(F29*'Прил. 10'!$D$12,2)</f>
        <v>12.12</v>
      </c>
      <c r="J29" s="32">
        <f t="shared" si="2"/>
        <v>199.98</v>
      </c>
    </row>
    <row r="30" spans="1:10" s="12" customFormat="1" ht="25.5" customHeight="1" outlineLevel="1" x14ac:dyDescent="0.2">
      <c r="A30" s="2">
        <v>13</v>
      </c>
      <c r="B30" s="169" t="s">
        <v>143</v>
      </c>
      <c r="C30" s="8" t="s">
        <v>144</v>
      </c>
      <c r="D30" s="2" t="s">
        <v>128</v>
      </c>
      <c r="E30" s="173">
        <v>0.05</v>
      </c>
      <c r="F30" s="32">
        <v>70</v>
      </c>
      <c r="G30" s="32">
        <f t="shared" si="0"/>
        <v>3.5</v>
      </c>
      <c r="H30" s="184">
        <f t="shared" si="1"/>
        <v>2.6138284970037999E-4</v>
      </c>
      <c r="I30" s="32">
        <f>ROUND(F30*'Прил. 10'!$D$12,2)</f>
        <v>942.9</v>
      </c>
      <c r="J30" s="32">
        <f t="shared" si="2"/>
        <v>47.15</v>
      </c>
    </row>
    <row r="31" spans="1:10" s="12" customFormat="1" ht="25.5" customHeight="1" outlineLevel="1" x14ac:dyDescent="0.2">
      <c r="A31" s="2">
        <v>14</v>
      </c>
      <c r="B31" s="169" t="s">
        <v>145</v>
      </c>
      <c r="C31" s="8" t="s">
        <v>146</v>
      </c>
      <c r="D31" s="2" t="s">
        <v>128</v>
      </c>
      <c r="E31" s="173">
        <v>0.05</v>
      </c>
      <c r="F31" s="32">
        <v>56.24</v>
      </c>
      <c r="G31" s="32">
        <f t="shared" si="0"/>
        <v>2.81</v>
      </c>
      <c r="H31" s="184">
        <f t="shared" si="1"/>
        <v>2.0985308790230999E-4</v>
      </c>
      <c r="I31" s="32">
        <f>ROUND(F31*'Прил. 10'!$D$12,2)</f>
        <v>757.55</v>
      </c>
      <c r="J31" s="32">
        <f t="shared" si="2"/>
        <v>37.880000000000003</v>
      </c>
    </row>
    <row r="32" spans="1:10" s="12" customFormat="1" ht="25.5" customHeight="1" outlineLevel="1" x14ac:dyDescent="0.2">
      <c r="A32" s="2">
        <v>15</v>
      </c>
      <c r="B32" s="169" t="s">
        <v>147</v>
      </c>
      <c r="C32" s="8" t="s">
        <v>148</v>
      </c>
      <c r="D32" s="2" t="s">
        <v>128</v>
      </c>
      <c r="E32" s="173">
        <v>0.05</v>
      </c>
      <c r="F32" s="32">
        <v>16.920000000000002</v>
      </c>
      <c r="G32" s="32">
        <f t="shared" si="0"/>
        <v>0.85</v>
      </c>
      <c r="H32" s="184">
        <f t="shared" si="1"/>
        <v>6.3478692070091994E-5</v>
      </c>
      <c r="I32" s="32">
        <f>ROUND(F32*'Прил. 10'!$D$12,2)</f>
        <v>227.91</v>
      </c>
      <c r="J32" s="32">
        <f t="shared" si="2"/>
        <v>11.4</v>
      </c>
    </row>
    <row r="33" spans="1:10" s="12" customFormat="1" ht="38.25" customHeight="1" outlineLevel="1" x14ac:dyDescent="0.2">
      <c r="A33" s="2">
        <v>16</v>
      </c>
      <c r="B33" s="169" t="s">
        <v>149</v>
      </c>
      <c r="C33" s="8" t="s">
        <v>150</v>
      </c>
      <c r="D33" s="2" t="s">
        <v>128</v>
      </c>
      <c r="E33" s="173">
        <v>0.06</v>
      </c>
      <c r="F33" s="32">
        <v>6.82</v>
      </c>
      <c r="G33" s="32">
        <f t="shared" si="0"/>
        <v>0.41</v>
      </c>
      <c r="H33" s="184">
        <f t="shared" si="1"/>
        <v>3.0619133822044997E-5</v>
      </c>
      <c r="I33" s="32">
        <f>ROUND(F33*'Прил. 10'!$D$12,2)</f>
        <v>91.87</v>
      </c>
      <c r="J33" s="32">
        <f t="shared" si="2"/>
        <v>5.51</v>
      </c>
    </row>
    <row r="34" spans="1:10" s="12" customFormat="1" ht="14.25" customHeight="1" outlineLevel="1" x14ac:dyDescent="0.2">
      <c r="A34" s="2">
        <v>17</v>
      </c>
      <c r="B34" s="169" t="s">
        <v>151</v>
      </c>
      <c r="C34" s="8" t="s">
        <v>152</v>
      </c>
      <c r="D34" s="2" t="s">
        <v>128</v>
      </c>
      <c r="E34" s="173">
        <v>0.05</v>
      </c>
      <c r="F34" s="32">
        <v>2.36</v>
      </c>
      <c r="G34" s="32">
        <f t="shared" si="0"/>
        <v>0.12</v>
      </c>
      <c r="H34" s="184">
        <f t="shared" si="1"/>
        <v>8.9616977040130005E-6</v>
      </c>
      <c r="I34" s="32">
        <f>ROUND(F34*'Прил. 10'!$D$12,2)</f>
        <v>31.79</v>
      </c>
      <c r="J34" s="32">
        <f t="shared" si="2"/>
        <v>1.59</v>
      </c>
    </row>
    <row r="35" spans="1:10" s="12" customFormat="1" ht="14.25" customHeight="1" x14ac:dyDescent="0.2">
      <c r="A35" s="2"/>
      <c r="B35" s="2"/>
      <c r="C35" s="8" t="s">
        <v>277</v>
      </c>
      <c r="D35" s="2"/>
      <c r="E35" s="181"/>
      <c r="F35" s="32"/>
      <c r="G35" s="185">
        <f>SUM(G26:G34)</f>
        <v>973.54</v>
      </c>
      <c r="H35" s="184">
        <f>G35/G36</f>
        <v>7.2704759856373993E-2</v>
      </c>
      <c r="I35" s="32"/>
      <c r="J35" s="32">
        <f>SUM(J26:J34)</f>
        <v>13113.42</v>
      </c>
    </row>
    <row r="36" spans="1:10" s="12" customFormat="1" ht="25.5" customHeight="1" x14ac:dyDescent="0.2">
      <c r="A36" s="2"/>
      <c r="B36" s="2"/>
      <c r="C36" s="104" t="s">
        <v>278</v>
      </c>
      <c r="D36" s="2"/>
      <c r="E36" s="181"/>
      <c r="F36" s="32"/>
      <c r="G36" s="32">
        <f>G35+G25</f>
        <v>13390.32</v>
      </c>
      <c r="H36" s="186">
        <v>1</v>
      </c>
      <c r="I36" s="187"/>
      <c r="J36" s="188">
        <f>J35+J25</f>
        <v>180367.37</v>
      </c>
    </row>
    <row r="37" spans="1:10" s="12" customFormat="1" ht="14.25" customHeight="1" x14ac:dyDescent="0.2">
      <c r="A37" s="2"/>
      <c r="B37" s="280" t="s">
        <v>43</v>
      </c>
      <c r="C37" s="280"/>
      <c r="D37" s="281"/>
      <c r="E37" s="282"/>
      <c r="F37" s="283"/>
      <c r="G37" s="283"/>
      <c r="H37" s="284"/>
      <c r="I37" s="183"/>
      <c r="J37" s="183"/>
    </row>
    <row r="38" spans="1:10" x14ac:dyDescent="0.25">
      <c r="A38" s="2"/>
      <c r="B38" s="275" t="s">
        <v>279</v>
      </c>
      <c r="C38" s="275"/>
      <c r="D38" s="276"/>
      <c r="E38" s="277"/>
      <c r="F38" s="278"/>
      <c r="G38" s="278"/>
      <c r="H38" s="279"/>
      <c r="I38" s="183"/>
      <c r="J38" s="183"/>
    </row>
    <row r="39" spans="1:10" ht="25.5" customHeight="1" x14ac:dyDescent="0.25">
      <c r="A39" s="2">
        <v>18</v>
      </c>
      <c r="B39" s="169" t="s">
        <v>280</v>
      </c>
      <c r="C39" s="8" t="s">
        <v>154</v>
      </c>
      <c r="D39" s="2" t="s">
        <v>155</v>
      </c>
      <c r="E39" s="232">
        <v>3</v>
      </c>
      <c r="F39" s="32">
        <f>I39/'Прил. 10'!$D$14</f>
        <v>624821.21405751002</v>
      </c>
      <c r="G39" s="32">
        <f>F39*E39</f>
        <v>1874463.6421725</v>
      </c>
      <c r="H39" s="182">
        <f t="shared" ref="H39:H44" si="3">G39/$G$44</f>
        <v>0.99590318545248002</v>
      </c>
      <c r="I39" s="32">
        <v>3911380.8</v>
      </c>
      <c r="J39" s="189">
        <f>ROUND(I39*E39,2)</f>
        <v>11734142.4</v>
      </c>
    </row>
    <row r="40" spans="1:10" x14ac:dyDescent="0.25">
      <c r="A40" s="2"/>
      <c r="B40" s="2"/>
      <c r="C40" s="8" t="s">
        <v>281</v>
      </c>
      <c r="D40" s="2"/>
      <c r="E40" s="232"/>
      <c r="F40" s="103"/>
      <c r="G40" s="32">
        <f>G39</f>
        <v>1874463.6421725</v>
      </c>
      <c r="H40" s="182">
        <f t="shared" si="3"/>
        <v>0.99590318545248002</v>
      </c>
      <c r="I40" s="185"/>
      <c r="J40" s="32">
        <f>J39</f>
        <v>11734142.4</v>
      </c>
    </row>
    <row r="41" spans="1:10" x14ac:dyDescent="0.25">
      <c r="A41" s="2">
        <v>19</v>
      </c>
      <c r="B41" s="169" t="s">
        <v>153</v>
      </c>
      <c r="C41" s="8" t="s">
        <v>156</v>
      </c>
      <c r="D41" s="2" t="s">
        <v>155</v>
      </c>
      <c r="E41" s="232">
        <v>1</v>
      </c>
      <c r="F41" s="32">
        <f>I41/'Прил. 10'!$D$14</f>
        <v>4046.8706070287999</v>
      </c>
      <c r="G41" s="32">
        <f>F41*E41</f>
        <v>4046.8706070287999</v>
      </c>
      <c r="H41" s="182">
        <f t="shared" si="3"/>
        <v>2.1501037619395002E-3</v>
      </c>
      <c r="I41" s="32">
        <v>25333.41</v>
      </c>
      <c r="J41" s="189">
        <f>ROUND(I41*E41,2)</f>
        <v>25333.41</v>
      </c>
    </row>
    <row r="42" spans="1:10" x14ac:dyDescent="0.25">
      <c r="A42" s="2">
        <v>20</v>
      </c>
      <c r="B42" s="169" t="s">
        <v>157</v>
      </c>
      <c r="C42" s="8" t="s">
        <v>158</v>
      </c>
      <c r="D42" s="2" t="s">
        <v>155</v>
      </c>
      <c r="E42" s="232">
        <v>1</v>
      </c>
      <c r="F42" s="32">
        <f>I42/'Прил. 10'!$D$14</f>
        <v>3664.0495207668</v>
      </c>
      <c r="G42" s="32">
        <f>F42*E42</f>
        <v>3664.0495207668</v>
      </c>
      <c r="H42" s="182">
        <f t="shared" si="3"/>
        <v>1.946710785576E-3</v>
      </c>
      <c r="I42" s="32">
        <v>22936.95</v>
      </c>
      <c r="J42" s="189">
        <f>ROUND(I42*E42,2)</f>
        <v>22936.95</v>
      </c>
    </row>
    <row r="43" spans="1:10" x14ac:dyDescent="0.25">
      <c r="A43" s="2"/>
      <c r="B43" s="2"/>
      <c r="C43" s="8" t="s">
        <v>282</v>
      </c>
      <c r="D43" s="2"/>
      <c r="E43" s="173"/>
      <c r="F43" s="103"/>
      <c r="G43" s="32">
        <f>SUM(G41:G42)</f>
        <v>7710.9201277954999</v>
      </c>
      <c r="H43" s="182">
        <f t="shared" si="3"/>
        <v>4.0968145475154998E-3</v>
      </c>
      <c r="I43" s="185"/>
      <c r="J43" s="32">
        <f>SUM(J41:J42)</f>
        <v>48270.36</v>
      </c>
    </row>
    <row r="44" spans="1:10" x14ac:dyDescent="0.25">
      <c r="A44" s="2"/>
      <c r="B44" s="2"/>
      <c r="C44" s="104" t="s">
        <v>283</v>
      </c>
      <c r="D44" s="2"/>
      <c r="E44" s="181"/>
      <c r="F44" s="103"/>
      <c r="G44" s="32">
        <f>G40+G43</f>
        <v>1882174.5623003</v>
      </c>
      <c r="H44" s="182">
        <f t="shared" si="3"/>
        <v>1</v>
      </c>
      <c r="I44" s="185"/>
      <c r="J44" s="32">
        <f>J43+J40</f>
        <v>11782412.76</v>
      </c>
    </row>
    <row r="45" spans="1:10" ht="25.5" customHeight="1" x14ac:dyDescent="0.25">
      <c r="A45" s="2"/>
      <c r="B45" s="2"/>
      <c r="C45" s="8" t="s">
        <v>284</v>
      </c>
      <c r="D45" s="2"/>
      <c r="E45" s="190"/>
      <c r="F45" s="103"/>
      <c r="G45" s="32">
        <f>G44</f>
        <v>1882174.5623003</v>
      </c>
      <c r="H45" s="182"/>
      <c r="I45" s="185"/>
      <c r="J45" s="32">
        <f>J44</f>
        <v>11782412.76</v>
      </c>
    </row>
    <row r="46" spans="1:10" s="12" customFormat="1" ht="14.25" customHeight="1" x14ac:dyDescent="0.2">
      <c r="A46" s="2"/>
      <c r="B46" s="280" t="s">
        <v>159</v>
      </c>
      <c r="C46" s="280"/>
      <c r="D46" s="281"/>
      <c r="E46" s="282"/>
      <c r="F46" s="283"/>
      <c r="G46" s="283"/>
      <c r="H46" s="284"/>
      <c r="I46" s="183"/>
      <c r="J46" s="183"/>
    </row>
    <row r="47" spans="1:10" s="12" customFormat="1" ht="14.25" customHeight="1" x14ac:dyDescent="0.2">
      <c r="A47" s="2"/>
      <c r="B47" s="275" t="s">
        <v>285</v>
      </c>
      <c r="C47" s="275"/>
      <c r="D47" s="276"/>
      <c r="E47" s="277"/>
      <c r="F47" s="278"/>
      <c r="G47" s="278"/>
      <c r="H47" s="279"/>
      <c r="I47" s="183"/>
      <c r="J47" s="183"/>
    </row>
    <row r="48" spans="1:10" s="12" customFormat="1" ht="25.5" customHeight="1" x14ac:dyDescent="0.2">
      <c r="A48" s="2">
        <v>21</v>
      </c>
      <c r="B48" s="169" t="s">
        <v>160</v>
      </c>
      <c r="C48" s="8" t="s">
        <v>161</v>
      </c>
      <c r="D48" s="2" t="s">
        <v>162</v>
      </c>
      <c r="E48" s="173">
        <f>0.013*3*1</f>
        <v>3.9E-2</v>
      </c>
      <c r="F48" s="32">
        <v>98440.41</v>
      </c>
      <c r="G48" s="32">
        <f>ROUND(E48*F48,2)</f>
        <v>3839.18</v>
      </c>
      <c r="H48" s="184">
        <f t="shared" ref="H48:H71" si="4">G48/$G$73</f>
        <v>0.33124935289042001</v>
      </c>
      <c r="I48" s="32">
        <f>ROUND(F48*'Прил. 10'!$D$13,2)</f>
        <v>791460.9</v>
      </c>
      <c r="J48" s="32">
        <f>ROUND(I48*E48,2)</f>
        <v>30866.98</v>
      </c>
    </row>
    <row r="49" spans="1:10" s="12" customFormat="1" ht="14.25" customHeight="1" x14ac:dyDescent="0.2">
      <c r="A49" s="2">
        <v>22</v>
      </c>
      <c r="B49" s="169" t="s">
        <v>163</v>
      </c>
      <c r="C49" s="8" t="s">
        <v>164</v>
      </c>
      <c r="D49" s="2" t="s">
        <v>162</v>
      </c>
      <c r="E49" s="173">
        <f>0.02*3*1</f>
        <v>0.06</v>
      </c>
      <c r="F49" s="32">
        <v>38348.22</v>
      </c>
      <c r="G49" s="32">
        <f>ROUND(E49*F49,2)</f>
        <v>2300.89</v>
      </c>
      <c r="H49" s="184">
        <f t="shared" si="4"/>
        <v>0.19852372735116</v>
      </c>
      <c r="I49" s="32">
        <f>ROUND(F49*'Прил. 10'!$D$13,2)</f>
        <v>308319.69</v>
      </c>
      <c r="J49" s="32">
        <f>ROUND(I49*E49,2)</f>
        <v>18499.18</v>
      </c>
    </row>
    <row r="50" spans="1:10" s="12" customFormat="1" ht="63.75" customHeight="1" x14ac:dyDescent="0.2">
      <c r="A50" s="2">
        <v>23</v>
      </c>
      <c r="B50" s="169" t="s">
        <v>165</v>
      </c>
      <c r="C50" s="8" t="s">
        <v>166</v>
      </c>
      <c r="D50" s="2" t="s">
        <v>167</v>
      </c>
      <c r="E50" s="173">
        <v>5.5399999999999998E-2</v>
      </c>
      <c r="F50" s="32">
        <v>32758.86</v>
      </c>
      <c r="G50" s="32">
        <f>ROUND(E50*F50,2)</f>
        <v>1814.84</v>
      </c>
      <c r="H50" s="184">
        <f t="shared" si="4"/>
        <v>0.15658671268335</v>
      </c>
      <c r="I50" s="32">
        <f>ROUND(F50*'Прил. 10'!$D$13,2)</f>
        <v>263381.23</v>
      </c>
      <c r="J50" s="32">
        <f>ROUND(I50*E50,2)</f>
        <v>14591.32</v>
      </c>
    </row>
    <row r="51" spans="1:10" s="12" customFormat="1" ht="25.5" customHeight="1" x14ac:dyDescent="0.2">
      <c r="A51" s="2">
        <v>24</v>
      </c>
      <c r="B51" s="169" t="s">
        <v>168</v>
      </c>
      <c r="C51" s="8" t="s">
        <v>169</v>
      </c>
      <c r="D51" s="2" t="s">
        <v>170</v>
      </c>
      <c r="E51" s="173">
        <v>0.03</v>
      </c>
      <c r="F51" s="32">
        <v>35576</v>
      </c>
      <c r="G51" s="32">
        <f>ROUND(E51*F51,2)</f>
        <v>1067.28</v>
      </c>
      <c r="H51" s="184">
        <f t="shared" si="4"/>
        <v>9.2086281276963E-2</v>
      </c>
      <c r="I51" s="32">
        <f>ROUND(F51*'Прил. 10'!$D$13,2)</f>
        <v>286031.03999999998</v>
      </c>
      <c r="J51" s="32">
        <f>ROUND(I51*E51,2)</f>
        <v>8580.93</v>
      </c>
    </row>
    <row r="52" spans="1:10" s="12" customFormat="1" ht="25.5" customHeight="1" x14ac:dyDescent="0.2">
      <c r="A52" s="2">
        <v>25</v>
      </c>
      <c r="B52" s="169" t="s">
        <v>171</v>
      </c>
      <c r="C52" s="8" t="s">
        <v>172</v>
      </c>
      <c r="D52" s="2" t="s">
        <v>170</v>
      </c>
      <c r="E52" s="173">
        <v>0.03</v>
      </c>
      <c r="F52" s="32">
        <v>35576</v>
      </c>
      <c r="G52" s="32">
        <f>ROUND(E52*F52,2)</f>
        <v>1067.28</v>
      </c>
      <c r="H52" s="184">
        <f t="shared" si="4"/>
        <v>9.2086281276963E-2</v>
      </c>
      <c r="I52" s="32">
        <f>ROUND(F52*'Прил. 10'!$D$13,2)</f>
        <v>286031.03999999998</v>
      </c>
      <c r="J52" s="32">
        <f>ROUND(I52*E52,2)</f>
        <v>8580.93</v>
      </c>
    </row>
    <row r="53" spans="1:10" s="12" customFormat="1" ht="14.25" customHeight="1" x14ac:dyDescent="0.2">
      <c r="A53" s="2"/>
      <c r="B53" s="169"/>
      <c r="C53" s="8" t="s">
        <v>286</v>
      </c>
      <c r="D53" s="2"/>
      <c r="E53" s="173"/>
      <c r="F53" s="32"/>
      <c r="G53" s="32">
        <f>SUM(G48:G52)</f>
        <v>10089.469999999999</v>
      </c>
      <c r="H53" s="184">
        <f t="shared" si="4"/>
        <v>0.87053235547885999</v>
      </c>
      <c r="I53" s="32"/>
      <c r="J53" s="32">
        <f>SUM(J48:J52)</f>
        <v>81119.34</v>
      </c>
    </row>
    <row r="54" spans="1:10" s="12" customFormat="1" ht="38.25" customHeight="1" outlineLevel="1" x14ac:dyDescent="0.2">
      <c r="A54" s="2">
        <v>26</v>
      </c>
      <c r="B54" s="169" t="s">
        <v>173</v>
      </c>
      <c r="C54" s="8" t="s">
        <v>174</v>
      </c>
      <c r="D54" s="2" t="s">
        <v>175</v>
      </c>
      <c r="E54" s="173">
        <f>0.28*1</f>
        <v>0.28000000000000003</v>
      </c>
      <c r="F54" s="32">
        <v>1837.28</v>
      </c>
      <c r="G54" s="32">
        <f t="shared" ref="G54:G71" si="5">ROUND(E54*F54,2)</f>
        <v>514.44000000000005</v>
      </c>
      <c r="H54" s="184">
        <f t="shared" si="4"/>
        <v>4.4386540120794002E-2</v>
      </c>
      <c r="I54" s="32">
        <f>ROUND(F54*'Прил. 10'!$D$13,2)</f>
        <v>14771.73</v>
      </c>
      <c r="J54" s="32">
        <f t="shared" ref="J54:J71" si="6">ROUND(I54*E54,2)</f>
        <v>4136.08</v>
      </c>
    </row>
    <row r="55" spans="1:10" s="12" customFormat="1" ht="14.25" customHeight="1" outlineLevel="1" x14ac:dyDescent="0.2">
      <c r="A55" s="2">
        <v>27</v>
      </c>
      <c r="B55" s="169" t="s">
        <v>176</v>
      </c>
      <c r="C55" s="8" t="s">
        <v>177</v>
      </c>
      <c r="D55" s="2" t="s">
        <v>178</v>
      </c>
      <c r="E55" s="173">
        <v>4</v>
      </c>
      <c r="F55" s="32">
        <v>50</v>
      </c>
      <c r="G55" s="32">
        <f t="shared" si="5"/>
        <v>200</v>
      </c>
      <c r="H55" s="184">
        <f t="shared" si="4"/>
        <v>1.7256255392580001E-2</v>
      </c>
      <c r="I55" s="32">
        <f>ROUND(F55*'Прил. 10'!$D$13,2)</f>
        <v>402</v>
      </c>
      <c r="J55" s="32">
        <f t="shared" si="6"/>
        <v>1608</v>
      </c>
    </row>
    <row r="56" spans="1:10" s="12" customFormat="1" ht="25.5" customHeight="1" outlineLevel="1" x14ac:dyDescent="0.2">
      <c r="A56" s="2">
        <v>28</v>
      </c>
      <c r="B56" s="169" t="s">
        <v>179</v>
      </c>
      <c r="C56" s="8" t="s">
        <v>180</v>
      </c>
      <c r="D56" s="2" t="s">
        <v>181</v>
      </c>
      <c r="E56" s="173">
        <v>165.26589999999999</v>
      </c>
      <c r="F56" s="32">
        <v>1</v>
      </c>
      <c r="G56" s="32">
        <f t="shared" si="5"/>
        <v>165.27</v>
      </c>
      <c r="H56" s="184">
        <f t="shared" si="4"/>
        <v>1.4259706643658001E-2</v>
      </c>
      <c r="I56" s="32">
        <f>ROUND(F56*'Прил. 10'!$D$13,2)</f>
        <v>8.0399999999999991</v>
      </c>
      <c r="J56" s="32">
        <f t="shared" si="6"/>
        <v>1328.74</v>
      </c>
    </row>
    <row r="57" spans="1:10" s="12" customFormat="1" ht="25.5" customHeight="1" outlineLevel="1" x14ac:dyDescent="0.2">
      <c r="A57" s="2">
        <v>29</v>
      </c>
      <c r="B57" s="169" t="s">
        <v>182</v>
      </c>
      <c r="C57" s="8" t="s">
        <v>183</v>
      </c>
      <c r="D57" s="2" t="s">
        <v>175</v>
      </c>
      <c r="E57" s="173">
        <f>1.4*1*1</f>
        <v>1.4</v>
      </c>
      <c r="F57" s="32">
        <v>108.4</v>
      </c>
      <c r="G57" s="32">
        <f t="shared" si="5"/>
        <v>151.76</v>
      </c>
      <c r="H57" s="184">
        <f t="shared" si="4"/>
        <v>1.309404659189E-2</v>
      </c>
      <c r="I57" s="32">
        <f>ROUND(F57*'Прил. 10'!$D$13,2)</f>
        <v>871.54</v>
      </c>
      <c r="J57" s="32">
        <f t="shared" si="6"/>
        <v>1220.1600000000001</v>
      </c>
    </row>
    <row r="58" spans="1:10" s="12" customFormat="1" ht="14.25" customHeight="1" outlineLevel="1" x14ac:dyDescent="0.2">
      <c r="A58" s="2">
        <v>30</v>
      </c>
      <c r="B58" s="169" t="s">
        <v>184</v>
      </c>
      <c r="C58" s="8" t="s">
        <v>185</v>
      </c>
      <c r="D58" s="2" t="s">
        <v>178</v>
      </c>
      <c r="E58" s="173">
        <v>15.3</v>
      </c>
      <c r="F58" s="32">
        <v>9.0399999999999991</v>
      </c>
      <c r="G58" s="32">
        <f t="shared" si="5"/>
        <v>138.31</v>
      </c>
      <c r="H58" s="184">
        <f t="shared" si="4"/>
        <v>1.1933563416739E-2</v>
      </c>
      <c r="I58" s="32">
        <f>ROUND(F58*'Прил. 10'!$D$13,2)</f>
        <v>72.680000000000007</v>
      </c>
      <c r="J58" s="32">
        <f t="shared" si="6"/>
        <v>1112</v>
      </c>
    </row>
    <row r="59" spans="1:10" s="12" customFormat="1" ht="14.25" customHeight="1" outlineLevel="1" x14ac:dyDescent="0.2">
      <c r="A59" s="2">
        <v>31</v>
      </c>
      <c r="B59" s="169" t="s">
        <v>186</v>
      </c>
      <c r="C59" s="8" t="s">
        <v>187</v>
      </c>
      <c r="D59" s="2" t="s">
        <v>178</v>
      </c>
      <c r="E59" s="173">
        <v>2.5920000000000001</v>
      </c>
      <c r="F59" s="32">
        <v>28.6</v>
      </c>
      <c r="G59" s="32">
        <f t="shared" si="5"/>
        <v>74.13</v>
      </c>
      <c r="H59" s="184">
        <f t="shared" si="4"/>
        <v>6.3960310612597004E-3</v>
      </c>
      <c r="I59" s="32">
        <f>ROUND(F59*'Прил. 10'!$D$13,2)</f>
        <v>229.94</v>
      </c>
      <c r="J59" s="32">
        <f t="shared" si="6"/>
        <v>596</v>
      </c>
    </row>
    <row r="60" spans="1:10" s="12" customFormat="1" ht="14.25" customHeight="1" outlineLevel="1" x14ac:dyDescent="0.2">
      <c r="A60" s="2">
        <v>32</v>
      </c>
      <c r="B60" s="169" t="s">
        <v>188</v>
      </c>
      <c r="C60" s="8" t="s">
        <v>189</v>
      </c>
      <c r="D60" s="2" t="s">
        <v>167</v>
      </c>
      <c r="E60" s="173">
        <v>9.4199999999999996E-3</v>
      </c>
      <c r="F60" s="32">
        <v>6159.22</v>
      </c>
      <c r="G60" s="32">
        <f t="shared" si="5"/>
        <v>58.02</v>
      </c>
      <c r="H60" s="184">
        <f t="shared" si="4"/>
        <v>5.0060396893873999E-3</v>
      </c>
      <c r="I60" s="32">
        <f>ROUND(F60*'Прил. 10'!$D$13,2)</f>
        <v>49520.13</v>
      </c>
      <c r="J60" s="32">
        <f t="shared" si="6"/>
        <v>466.48</v>
      </c>
    </row>
    <row r="61" spans="1:10" s="12" customFormat="1" ht="25.5" customHeight="1" outlineLevel="1" x14ac:dyDescent="0.2">
      <c r="A61" s="2">
        <v>33</v>
      </c>
      <c r="B61" s="169" t="s">
        <v>190</v>
      </c>
      <c r="C61" s="8" t="s">
        <v>191</v>
      </c>
      <c r="D61" s="2" t="s">
        <v>167</v>
      </c>
      <c r="E61" s="173">
        <v>1.0699999999999999E-2</v>
      </c>
      <c r="F61" s="32">
        <v>5000</v>
      </c>
      <c r="G61" s="32">
        <f t="shared" si="5"/>
        <v>53.5</v>
      </c>
      <c r="H61" s="184">
        <f t="shared" si="4"/>
        <v>4.6160483175151003E-3</v>
      </c>
      <c r="I61" s="32">
        <f>ROUND(F61*'Прил. 10'!$D$13,2)</f>
        <v>40200</v>
      </c>
      <c r="J61" s="32">
        <f t="shared" si="6"/>
        <v>430.14</v>
      </c>
    </row>
    <row r="62" spans="1:10" s="12" customFormat="1" ht="14.25" customHeight="1" outlineLevel="1" x14ac:dyDescent="0.2">
      <c r="A62" s="2">
        <v>34</v>
      </c>
      <c r="B62" s="169" t="s">
        <v>192</v>
      </c>
      <c r="C62" s="8" t="s">
        <v>193</v>
      </c>
      <c r="D62" s="2" t="s">
        <v>178</v>
      </c>
      <c r="E62" s="173">
        <v>0.13800000000000001</v>
      </c>
      <c r="F62" s="32">
        <v>238.48</v>
      </c>
      <c r="G62" s="32">
        <f t="shared" si="5"/>
        <v>32.909999999999997</v>
      </c>
      <c r="H62" s="184">
        <f t="shared" si="4"/>
        <v>2.8395168248490001E-3</v>
      </c>
      <c r="I62" s="32">
        <f>ROUND(F62*'Прил. 10'!$D$13,2)</f>
        <v>1917.38</v>
      </c>
      <c r="J62" s="32">
        <f t="shared" si="6"/>
        <v>264.60000000000002</v>
      </c>
    </row>
    <row r="63" spans="1:10" s="12" customFormat="1" ht="14.25" customHeight="1" outlineLevel="1" x14ac:dyDescent="0.2">
      <c r="A63" s="2">
        <v>35</v>
      </c>
      <c r="B63" s="169" t="s">
        <v>194</v>
      </c>
      <c r="C63" s="8" t="s">
        <v>195</v>
      </c>
      <c r="D63" s="2" t="s">
        <v>196</v>
      </c>
      <c r="E63" s="173">
        <v>0.378</v>
      </c>
      <c r="F63" s="32">
        <v>79.099999999999994</v>
      </c>
      <c r="G63" s="32">
        <f t="shared" si="5"/>
        <v>29.9</v>
      </c>
      <c r="H63" s="184">
        <f t="shared" si="4"/>
        <v>2.5798101811907001E-3</v>
      </c>
      <c r="I63" s="32">
        <f>ROUND(F63*'Прил. 10'!$D$13,2)</f>
        <v>635.96</v>
      </c>
      <c r="J63" s="32">
        <f t="shared" si="6"/>
        <v>240.39</v>
      </c>
    </row>
    <row r="64" spans="1:10" s="12" customFormat="1" ht="14.25" customHeight="1" outlineLevel="1" x14ac:dyDescent="0.2">
      <c r="A64" s="2">
        <v>36</v>
      </c>
      <c r="B64" s="169" t="s">
        <v>197</v>
      </c>
      <c r="C64" s="8" t="s">
        <v>198</v>
      </c>
      <c r="D64" s="2" t="s">
        <v>170</v>
      </c>
      <c r="E64" s="173">
        <v>0.26519999999999999</v>
      </c>
      <c r="F64" s="32">
        <v>86</v>
      </c>
      <c r="G64" s="32">
        <f t="shared" si="5"/>
        <v>22.81</v>
      </c>
      <c r="H64" s="184">
        <f t="shared" si="4"/>
        <v>1.9680759275236999E-3</v>
      </c>
      <c r="I64" s="32">
        <f>ROUND(F64*'Прил. 10'!$D$13,2)</f>
        <v>691.44</v>
      </c>
      <c r="J64" s="32">
        <f t="shared" si="6"/>
        <v>183.37</v>
      </c>
    </row>
    <row r="65" spans="1:10" s="12" customFormat="1" ht="25.5" customHeight="1" outlineLevel="1" x14ac:dyDescent="0.2">
      <c r="A65" s="2">
        <v>37</v>
      </c>
      <c r="B65" s="169" t="s">
        <v>199</v>
      </c>
      <c r="C65" s="8" t="s">
        <v>200</v>
      </c>
      <c r="D65" s="2" t="s">
        <v>167</v>
      </c>
      <c r="E65" s="173">
        <v>1.1000000000000001E-3</v>
      </c>
      <c r="F65" s="32">
        <v>17500</v>
      </c>
      <c r="G65" s="32">
        <f t="shared" si="5"/>
        <v>19.25</v>
      </c>
      <c r="H65" s="184">
        <f t="shared" si="4"/>
        <v>1.6609145815358001E-3</v>
      </c>
      <c r="I65" s="32">
        <f>ROUND(F65*'Прил. 10'!$D$13,2)</f>
        <v>140700</v>
      </c>
      <c r="J65" s="32">
        <f t="shared" si="6"/>
        <v>154.77000000000001</v>
      </c>
    </row>
    <row r="66" spans="1:10" s="12" customFormat="1" ht="14.25" customHeight="1" outlineLevel="1" x14ac:dyDescent="0.2">
      <c r="A66" s="2">
        <v>38</v>
      </c>
      <c r="B66" s="169" t="s">
        <v>201</v>
      </c>
      <c r="C66" s="8" t="s">
        <v>202</v>
      </c>
      <c r="D66" s="2" t="s">
        <v>178</v>
      </c>
      <c r="E66" s="173">
        <v>1.758</v>
      </c>
      <c r="F66" s="32">
        <v>10.57</v>
      </c>
      <c r="G66" s="32">
        <f t="shared" si="5"/>
        <v>18.579999999999998</v>
      </c>
      <c r="H66" s="184">
        <f t="shared" si="4"/>
        <v>1.6031061259707E-3</v>
      </c>
      <c r="I66" s="32">
        <f>ROUND(F66*'Прил. 10'!$D$13,2)</f>
        <v>84.98</v>
      </c>
      <c r="J66" s="32">
        <f t="shared" si="6"/>
        <v>149.38999999999999</v>
      </c>
    </row>
    <row r="67" spans="1:10" s="12" customFormat="1" ht="25.5" customHeight="1" outlineLevel="1" x14ac:dyDescent="0.2">
      <c r="A67" s="2">
        <v>39</v>
      </c>
      <c r="B67" s="169" t="s">
        <v>203</v>
      </c>
      <c r="C67" s="8" t="s">
        <v>204</v>
      </c>
      <c r="D67" s="2" t="s">
        <v>205</v>
      </c>
      <c r="E67" s="173">
        <v>0.95</v>
      </c>
      <c r="F67" s="32">
        <v>15.13</v>
      </c>
      <c r="G67" s="32">
        <f t="shared" si="5"/>
        <v>14.37</v>
      </c>
      <c r="H67" s="184">
        <f t="shared" si="4"/>
        <v>1.2398619499568999E-3</v>
      </c>
      <c r="I67" s="32">
        <f>ROUND(F67*'Прил. 10'!$D$13,2)</f>
        <v>121.65</v>
      </c>
      <c r="J67" s="32">
        <f t="shared" si="6"/>
        <v>115.57</v>
      </c>
    </row>
    <row r="68" spans="1:10" s="12" customFormat="1" ht="25.5" customHeight="1" outlineLevel="1" x14ac:dyDescent="0.2">
      <c r="A68" s="2">
        <v>40</v>
      </c>
      <c r="B68" s="169" t="s">
        <v>206</v>
      </c>
      <c r="C68" s="8" t="s">
        <v>207</v>
      </c>
      <c r="D68" s="2" t="s">
        <v>167</v>
      </c>
      <c r="E68" s="173">
        <v>1E-3</v>
      </c>
      <c r="F68" s="32">
        <v>5941.89</v>
      </c>
      <c r="G68" s="32">
        <f t="shared" si="5"/>
        <v>5.94</v>
      </c>
      <c r="H68" s="184">
        <f t="shared" si="4"/>
        <v>5.1251078515962003E-4</v>
      </c>
      <c r="I68" s="32">
        <f>ROUND(F68*'Прил. 10'!$D$13,2)</f>
        <v>47772.800000000003</v>
      </c>
      <c r="J68" s="32">
        <f t="shared" si="6"/>
        <v>47.77</v>
      </c>
    </row>
    <row r="69" spans="1:10" s="12" customFormat="1" ht="14.25" customHeight="1" outlineLevel="1" x14ac:dyDescent="0.2">
      <c r="A69" s="2">
        <v>41</v>
      </c>
      <c r="B69" s="169" t="s">
        <v>208</v>
      </c>
      <c r="C69" s="8" t="s">
        <v>209</v>
      </c>
      <c r="D69" s="2" t="s">
        <v>170</v>
      </c>
      <c r="E69" s="173">
        <v>0.02</v>
      </c>
      <c r="F69" s="32">
        <v>26.6</v>
      </c>
      <c r="G69" s="32">
        <f t="shared" si="5"/>
        <v>0.53</v>
      </c>
      <c r="H69" s="184">
        <f t="shared" si="4"/>
        <v>4.5729076790336997E-5</v>
      </c>
      <c r="I69" s="32">
        <f>ROUND(F69*'Прил. 10'!$D$13,2)</f>
        <v>213.86</v>
      </c>
      <c r="J69" s="32">
        <f t="shared" si="6"/>
        <v>4.28</v>
      </c>
    </row>
    <row r="70" spans="1:10" s="12" customFormat="1" ht="14.25" customHeight="1" outlineLevel="1" x14ac:dyDescent="0.2">
      <c r="A70" s="2">
        <v>42</v>
      </c>
      <c r="B70" s="169" t="s">
        <v>210</v>
      </c>
      <c r="C70" s="8" t="s">
        <v>211</v>
      </c>
      <c r="D70" s="2" t="s">
        <v>170</v>
      </c>
      <c r="E70" s="173">
        <v>0.26519999999999999</v>
      </c>
      <c r="F70" s="32">
        <v>2</v>
      </c>
      <c r="G70" s="32">
        <f t="shared" si="5"/>
        <v>0.53</v>
      </c>
      <c r="H70" s="184">
        <f t="shared" si="4"/>
        <v>4.5729076790336997E-5</v>
      </c>
      <c r="I70" s="32">
        <f>ROUND(F70*'Прил. 10'!$D$13,2)</f>
        <v>16.079999999999998</v>
      </c>
      <c r="J70" s="32">
        <f t="shared" si="6"/>
        <v>4.26</v>
      </c>
    </row>
    <row r="71" spans="1:10" s="12" customFormat="1" ht="25.5" customHeight="1" outlineLevel="1" x14ac:dyDescent="0.2">
      <c r="A71" s="2">
        <v>43</v>
      </c>
      <c r="B71" s="169" t="s">
        <v>212</v>
      </c>
      <c r="C71" s="8" t="s">
        <v>213</v>
      </c>
      <c r="D71" s="2" t="s">
        <v>178</v>
      </c>
      <c r="E71" s="173">
        <v>0.01</v>
      </c>
      <c r="F71" s="32">
        <v>28.22</v>
      </c>
      <c r="G71" s="32">
        <f t="shared" si="5"/>
        <v>0.28000000000000003</v>
      </c>
      <c r="H71" s="184">
        <f t="shared" si="4"/>
        <v>2.4158757549612001E-5</v>
      </c>
      <c r="I71" s="32">
        <f>ROUND(F71*'Прил. 10'!$D$13,2)</f>
        <v>226.89</v>
      </c>
      <c r="J71" s="32">
        <f t="shared" si="6"/>
        <v>2.27</v>
      </c>
    </row>
    <row r="72" spans="1:10" s="12" customFormat="1" ht="14.25" customHeight="1" x14ac:dyDescent="0.2">
      <c r="A72" s="2"/>
      <c r="B72" s="2"/>
      <c r="C72" s="8" t="s">
        <v>287</v>
      </c>
      <c r="D72" s="2"/>
      <c r="E72" s="181"/>
      <c r="F72" s="32"/>
      <c r="G72" s="32">
        <f>SUM(G54:G71)</f>
        <v>1500.53</v>
      </c>
      <c r="H72" s="182">
        <f>G72/G73</f>
        <v>0.12946764452114001</v>
      </c>
      <c r="I72" s="32"/>
      <c r="J72" s="32">
        <f>SUM(J54:J71)</f>
        <v>12064.27</v>
      </c>
    </row>
    <row r="73" spans="1:10" s="12" customFormat="1" ht="14.25" customHeight="1" x14ac:dyDescent="0.2">
      <c r="A73" s="2"/>
      <c r="B73" s="2"/>
      <c r="C73" s="104" t="s">
        <v>288</v>
      </c>
      <c r="D73" s="2"/>
      <c r="E73" s="181"/>
      <c r="F73" s="103"/>
      <c r="G73" s="32">
        <f>G53+G72</f>
        <v>11590</v>
      </c>
      <c r="H73" s="182">
        <v>1</v>
      </c>
      <c r="I73" s="32"/>
      <c r="J73" s="32">
        <f>J53+J72</f>
        <v>93183.61</v>
      </c>
    </row>
    <row r="74" spans="1:10" s="12" customFormat="1" ht="14.25" customHeight="1" x14ac:dyDescent="0.2">
      <c r="A74" s="2"/>
      <c r="B74" s="2"/>
      <c r="C74" s="8" t="s">
        <v>289</v>
      </c>
      <c r="D74" s="2"/>
      <c r="E74" s="181"/>
      <c r="F74" s="103"/>
      <c r="G74" s="32">
        <f>G16+G36+G73</f>
        <v>37876.839999999997</v>
      </c>
      <c r="H74" s="182"/>
      <c r="I74" s="32"/>
      <c r="J74" s="32">
        <f>J16+J36+J73</f>
        <v>868303.69</v>
      </c>
    </row>
    <row r="75" spans="1:10" s="12" customFormat="1" ht="14.25" customHeight="1" x14ac:dyDescent="0.2">
      <c r="A75" s="2"/>
      <c r="B75" s="2"/>
      <c r="C75" s="8" t="s">
        <v>290</v>
      </c>
      <c r="D75" s="191">
        <v>1</v>
      </c>
      <c r="E75" s="181"/>
      <c r="F75" s="103"/>
      <c r="G75" s="32">
        <f>ROUND(D75*(G16+G18),2)</f>
        <v>12988.4</v>
      </c>
      <c r="H75" s="182"/>
      <c r="I75" s="32"/>
      <c r="J75" s="32">
        <f>ROUND(D75*(J16+J18),2)</f>
        <v>598822.69999999995</v>
      </c>
    </row>
    <row r="76" spans="1:10" s="12" customFormat="1" ht="14.25" customHeight="1" x14ac:dyDescent="0.2">
      <c r="A76" s="2"/>
      <c r="B76" s="2"/>
      <c r="C76" s="8" t="s">
        <v>291</v>
      </c>
      <c r="D76" s="191">
        <v>0.73</v>
      </c>
      <c r="E76" s="181"/>
      <c r="F76" s="103"/>
      <c r="G76" s="32">
        <f>ROUND(D76*(G16+G18),2)</f>
        <v>9481.5300000000007</v>
      </c>
      <c r="H76" s="182"/>
      <c r="I76" s="32"/>
      <c r="J76" s="32">
        <f>ROUND(D76*(J16+J18),2)</f>
        <v>437140.57</v>
      </c>
    </row>
    <row r="77" spans="1:10" s="12" customFormat="1" ht="14.25" customHeight="1" x14ac:dyDescent="0.2">
      <c r="A77" s="2"/>
      <c r="B77" s="2"/>
      <c r="C77" s="8" t="s">
        <v>292</v>
      </c>
      <c r="D77" s="2"/>
      <c r="E77" s="181"/>
      <c r="F77" s="103"/>
      <c r="G77" s="32">
        <f>G16+G36+G73+G75+G76</f>
        <v>60346.77</v>
      </c>
      <c r="H77" s="182"/>
      <c r="I77" s="32"/>
      <c r="J77" s="32">
        <f>J16+J36+J73+J75+J76</f>
        <v>1904266.96</v>
      </c>
    </row>
    <row r="78" spans="1:10" s="12" customFormat="1" ht="14.25" customHeight="1" x14ac:dyDescent="0.2">
      <c r="A78" s="2"/>
      <c r="B78" s="2"/>
      <c r="C78" s="8" t="s">
        <v>293</v>
      </c>
      <c r="D78" s="2"/>
      <c r="E78" s="181"/>
      <c r="F78" s="103"/>
      <c r="G78" s="32">
        <f>G77+G44</f>
        <v>1942521.3323003</v>
      </c>
      <c r="H78" s="182"/>
      <c r="I78" s="32"/>
      <c r="J78" s="32">
        <f>J77+J44</f>
        <v>13686679.720000001</v>
      </c>
    </row>
    <row r="79" spans="1:10" s="12" customFormat="1" ht="34.5" customHeight="1" x14ac:dyDescent="0.2">
      <c r="A79" s="2"/>
      <c r="B79" s="2"/>
      <c r="C79" s="8" t="s">
        <v>244</v>
      </c>
      <c r="D79" s="2" t="s">
        <v>294</v>
      </c>
      <c r="E79" s="181">
        <v>1</v>
      </c>
      <c r="F79" s="103"/>
      <c r="G79" s="32">
        <f>G78/E79</f>
        <v>1942521.3323003</v>
      </c>
      <c r="H79" s="182"/>
      <c r="I79" s="32"/>
      <c r="J79" s="32">
        <f>J78/E79</f>
        <v>13686679.720000001</v>
      </c>
    </row>
    <row r="81" spans="1:12" x14ac:dyDescent="0.25">
      <c r="A81"/>
      <c r="B81" s="4" t="s">
        <v>75</v>
      </c>
      <c r="D81"/>
      <c r="E81"/>
      <c r="F81"/>
      <c r="G81"/>
      <c r="H81"/>
      <c r="I81"/>
      <c r="J81"/>
      <c r="K81"/>
      <c r="L81"/>
    </row>
    <row r="82" spans="1:12" x14ac:dyDescent="0.25">
      <c r="A82"/>
      <c r="B82" s="33" t="s">
        <v>76</v>
      </c>
      <c r="D82"/>
      <c r="E82"/>
      <c r="F82"/>
      <c r="G82"/>
      <c r="H82"/>
      <c r="I82"/>
      <c r="J82"/>
      <c r="K82"/>
      <c r="L82"/>
    </row>
    <row r="83" spans="1:12" x14ac:dyDescent="0.25">
      <c r="A83"/>
      <c r="B83" s="4"/>
      <c r="D83"/>
      <c r="E83"/>
      <c r="F83"/>
      <c r="G83"/>
      <c r="H83"/>
      <c r="I83"/>
      <c r="J83"/>
      <c r="K83"/>
      <c r="L83"/>
    </row>
    <row r="84" spans="1:12" x14ac:dyDescent="0.25">
      <c r="A84"/>
      <c r="B84" s="4" t="s">
        <v>77</v>
      </c>
      <c r="D84"/>
      <c r="E84"/>
      <c r="F84"/>
      <c r="G84"/>
      <c r="H84"/>
      <c r="I84"/>
      <c r="J84"/>
      <c r="K84"/>
      <c r="L84"/>
    </row>
    <row r="85" spans="1:12" x14ac:dyDescent="0.25">
      <c r="A85"/>
      <c r="B85" s="33" t="s">
        <v>78</v>
      </c>
      <c r="D85"/>
      <c r="E85"/>
      <c r="F85"/>
      <c r="G85"/>
      <c r="H85"/>
      <c r="I85"/>
      <c r="J85"/>
      <c r="K85"/>
      <c r="L85"/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B47:H47"/>
    <mergeCell ref="B12:H12"/>
    <mergeCell ref="B17:H17"/>
    <mergeCell ref="B19:H19"/>
    <mergeCell ref="B20:H20"/>
    <mergeCell ref="B38:H38"/>
    <mergeCell ref="B46:H46"/>
    <mergeCell ref="B37:H37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15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4.5 РМ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ФОТи1.тек.</vt:lpstr>
      <vt:lpstr>ФОТи2.тек.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ФОТи1.тек.!Область_печати</vt:lpstr>
      <vt:lpstr>ФОТи2.тек.!Область_печати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2023-11-30T09:37:58Z</cp:lastPrinted>
  <dcterms:created xsi:type="dcterms:W3CDTF">2020-09-30T08:50:27Z</dcterms:created>
  <dcterms:modified xsi:type="dcterms:W3CDTF">2023-11-30T09:38:04Z</dcterms:modified>
  <cp:category/>
</cp:coreProperties>
</file>