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 localSheetId="10">#REF!</definedName>
    <definedName name="A99999999">#REF!</definedName>
    <definedName name="aa" localSheetId="3">#REF!</definedName>
    <definedName name="aa" localSheetId="5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 localSheetId="10">#REF!</definedName>
    <definedName name="h">#REF!</definedName>
    <definedName name="hfci" localSheetId="3">#REF!</definedName>
    <definedName name="hfci" localSheetId="5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 localSheetId="10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 localSheetId="10">#REF!</definedName>
    <definedName name="q">#REF!</definedName>
    <definedName name="qq" localSheetId="3">#REF!</definedName>
    <definedName name="qq" localSheetId="5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 localSheetId="10">#REF!</definedName>
    <definedName name="rtyrty">#REF!</definedName>
    <definedName name="rybuf" localSheetId="3">#REF!</definedName>
    <definedName name="rybuf" localSheetId="5">#REF!</definedName>
    <definedName name="rybuf" localSheetId="10">#REF!</definedName>
    <definedName name="rybuf">#REF!</definedName>
    <definedName name="rybuf3" localSheetId="3">#REF!</definedName>
    <definedName name="rybuf3" localSheetId="5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3">#REF!</definedName>
    <definedName name="аморт" localSheetId="5">#REF!</definedName>
    <definedName name="аморт" localSheetId="10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 localSheetId="10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3">#REF!</definedName>
    <definedName name="баир" localSheetId="5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 localSheetId="10">#REF!</definedName>
    <definedName name="др">#REF!</definedName>
    <definedName name="др.матер" localSheetId="3">#REF!</definedName>
    <definedName name="др.матер" localSheetId="5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 localSheetId="10">#REF!</definedName>
    <definedName name="ер">#REF!</definedName>
    <definedName name="ЕСН2004" localSheetId="3">#REF!</definedName>
    <definedName name="ЕСН2004" localSheetId="5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6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 localSheetId="10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 localSheetId="10">#REF!</definedName>
    <definedName name="ивпт">#REF!</definedName>
    <definedName name="Иди" localSheetId="3">#REF!</definedName>
    <definedName name="Иди" localSheetId="5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 localSheetId="10">#REF!</definedName>
    <definedName name="ИИМбал">#REF!</definedName>
    <definedName name="ИиНИ" localSheetId="3">#REF!</definedName>
    <definedName name="ИиНИ" localSheetId="5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 localSheetId="10">#REF!</definedName>
    <definedName name="иолд">#REF!</definedName>
    <definedName name="ИОСост" localSheetId="3">#REF!</definedName>
    <definedName name="ИОСост" localSheetId="5">#REF!</definedName>
    <definedName name="ИОСост" localSheetId="10">#REF!</definedName>
    <definedName name="ИОСост">#REF!</definedName>
    <definedName name="ИОСпс" localSheetId="3">#REF!</definedName>
    <definedName name="ИОСпс" localSheetId="5">#REF!</definedName>
    <definedName name="ИОСпс" localSheetId="10">#REF!</definedName>
    <definedName name="ИОСпс">#REF!</definedName>
    <definedName name="ИОСсг" localSheetId="3">#REF!</definedName>
    <definedName name="ИОСсг" localSheetId="5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 localSheetId="10">#REF!</definedName>
    <definedName name="ип">#REF!</definedName>
    <definedName name="Ипос" localSheetId="3">#REF!</definedName>
    <definedName name="Ипос" localSheetId="5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 localSheetId="10">#REF!</definedName>
    <definedName name="ИПусто">#REF!</definedName>
    <definedName name="Ипц" localSheetId="3">#REF!</definedName>
    <definedName name="Ипц" localSheetId="5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 localSheetId="10">#REF!</definedName>
    <definedName name="итьоиьб">#REF!</definedName>
    <definedName name="Иуе" localSheetId="3">#REF!</definedName>
    <definedName name="Иуе" localSheetId="5">#REF!</definedName>
    <definedName name="Иуе" localSheetId="10">#REF!</definedName>
    <definedName name="Иуе">#REF!</definedName>
    <definedName name="ИуеРЭО" localSheetId="3">#REF!</definedName>
    <definedName name="ИуеРЭО" localSheetId="5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3">#REF!</definedName>
    <definedName name="Ицпп" localSheetId="5">#REF!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 localSheetId="10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 localSheetId="10">#REF!</definedName>
    <definedName name="КЗ_Имущество">#REF!</definedName>
    <definedName name="КЗ_ИП" localSheetId="3">#REF!</definedName>
    <definedName name="КЗ_ИП" localSheetId="5">#REF!</definedName>
    <definedName name="КЗ_ИП" localSheetId="10">#REF!</definedName>
    <definedName name="КЗ_ИП">#REF!</definedName>
    <definedName name="КЗ_НИОКР" localSheetId="3">#REF!</definedName>
    <definedName name="КЗ_НИОКР" localSheetId="5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 localSheetId="10">#REF!</definedName>
    <definedName name="матер">#REF!</definedName>
    <definedName name="матер." localSheetId="3">#REF!</definedName>
    <definedName name="матер." localSheetId="5">#REF!</definedName>
    <definedName name="матер." localSheetId="10">#REF!</definedName>
    <definedName name="матер.">#REF!</definedName>
    <definedName name="матер.рем" localSheetId="3">#REF!</definedName>
    <definedName name="матер.рем" localSheetId="5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 localSheetId="10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 localSheetId="10">#REF!</definedName>
    <definedName name="НДСИмущество">#REF!</definedName>
    <definedName name="НДСИП" localSheetId="3">#REF!</definedName>
    <definedName name="НДСИП" localSheetId="5">#REF!</definedName>
    <definedName name="НДСИП" localSheetId="10">#REF!</definedName>
    <definedName name="НДСИП">#REF!</definedName>
    <definedName name="НДСНИОКР" localSheetId="3">#REF!</definedName>
    <definedName name="НДСНИОКР" localSheetId="5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 localSheetId="10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 localSheetId="10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3'!$A$1:$H$63</definedName>
    <definedName name="_xlnm.Print_Area" localSheetId="5">'Прил.2 Расч стоим'!$A$1:$J$26</definedName>
    <definedName name="_xlnm.Print_Area" localSheetId="7">'Прил.4 РМ'!$A$1:$E$48</definedName>
    <definedName name="_xlnm.Print_Area" localSheetId="8">'Прил.5 Расчет СМР и ОБ'!$A$1:$J$75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 localSheetId="10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 localSheetId="10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 localSheetId="10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 localSheetId="10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 localSheetId="10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 localSheetId="10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 localSheetId="10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 localSheetId="10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3">#REF!</definedName>
    <definedName name="приоб" localSheetId="5">#REF!</definedName>
    <definedName name="приоб" localSheetId="10">#REF!</definedName>
    <definedName name="приоб">#REF!</definedName>
    <definedName name="приобр" localSheetId="3">#REF!</definedName>
    <definedName name="приобр" localSheetId="5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 localSheetId="10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 localSheetId="10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 localSheetId="10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 localSheetId="10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 localSheetId="10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 localSheetId="10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 localSheetId="10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 localSheetId="10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 localSheetId="10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 localSheetId="10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 localSheetId="10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C11" i="11"/>
  <c r="D5" i="11"/>
  <c r="E12" i="10"/>
  <c r="D12" i="10"/>
  <c r="C12" i="10"/>
  <c r="B12" i="10"/>
  <c r="J60" i="9"/>
  <c r="I60" i="9"/>
  <c r="G60" i="9"/>
  <c r="J59" i="9"/>
  <c r="I59" i="9"/>
  <c r="G59" i="9"/>
  <c r="J58" i="9"/>
  <c r="I58" i="9"/>
  <c r="G58" i="9"/>
  <c r="J57" i="9"/>
  <c r="I57" i="9"/>
  <c r="G57" i="9"/>
  <c r="J56" i="9"/>
  <c r="I56" i="9"/>
  <c r="G56" i="9"/>
  <c r="J55" i="9"/>
  <c r="I55" i="9"/>
  <c r="G55" i="9"/>
  <c r="J54" i="9"/>
  <c r="I54" i="9"/>
  <c r="G54" i="9"/>
  <c r="J53" i="9"/>
  <c r="I53" i="9"/>
  <c r="G53" i="9"/>
  <c r="J52" i="9"/>
  <c r="I52" i="9"/>
  <c r="G52" i="9"/>
  <c r="J51" i="9"/>
  <c r="I51" i="9"/>
  <c r="G51" i="9"/>
  <c r="J50" i="9"/>
  <c r="I50" i="9"/>
  <c r="G50" i="9"/>
  <c r="J49" i="9"/>
  <c r="I49" i="9"/>
  <c r="G49" i="9"/>
  <c r="J48" i="9"/>
  <c r="I48" i="9"/>
  <c r="G48" i="9"/>
  <c r="J47" i="9"/>
  <c r="I47" i="9"/>
  <c r="G47" i="9"/>
  <c r="J46" i="9"/>
  <c r="I46" i="9"/>
  <c r="G46" i="9"/>
  <c r="J45" i="9"/>
  <c r="I45" i="9"/>
  <c r="G45" i="9"/>
  <c r="J44" i="9"/>
  <c r="J61" i="9" s="1"/>
  <c r="C17" i="8" s="1"/>
  <c r="I44" i="9"/>
  <c r="G44" i="9"/>
  <c r="G61" i="9" s="1"/>
  <c r="I42" i="9"/>
  <c r="J42" i="9" s="1"/>
  <c r="J43" i="9" s="1"/>
  <c r="G42" i="9"/>
  <c r="J35" i="9"/>
  <c r="J36" i="9" s="1"/>
  <c r="J38" i="9" s="1"/>
  <c r="G35" i="9"/>
  <c r="F35" i="9"/>
  <c r="F12" i="10" s="1"/>
  <c r="G12" i="10" s="1"/>
  <c r="G13" i="10" s="1"/>
  <c r="I30" i="9"/>
  <c r="J30" i="9" s="1"/>
  <c r="G30" i="9"/>
  <c r="I29" i="9"/>
  <c r="J29" i="9" s="1"/>
  <c r="G29" i="9"/>
  <c r="I28" i="9"/>
  <c r="J28" i="9" s="1"/>
  <c r="G28" i="9"/>
  <c r="I27" i="9"/>
  <c r="J27" i="9" s="1"/>
  <c r="G27" i="9"/>
  <c r="I26" i="9"/>
  <c r="J26" i="9" s="1"/>
  <c r="G26" i="9"/>
  <c r="I25" i="9"/>
  <c r="J25" i="9" s="1"/>
  <c r="G25" i="9"/>
  <c r="I24" i="9"/>
  <c r="J24" i="9" s="1"/>
  <c r="G24" i="9"/>
  <c r="I23" i="9"/>
  <c r="J23" i="9" s="1"/>
  <c r="G23" i="9"/>
  <c r="I22" i="9"/>
  <c r="J22" i="9" s="1"/>
  <c r="G22" i="9"/>
  <c r="G31" i="9" s="1"/>
  <c r="J20" i="9"/>
  <c r="I20" i="9"/>
  <c r="G20" i="9"/>
  <c r="J19" i="9"/>
  <c r="J21" i="9" s="1"/>
  <c r="C12" i="8" s="1"/>
  <c r="I19" i="9"/>
  <c r="G19" i="9"/>
  <c r="G21" i="9" s="1"/>
  <c r="G16" i="9"/>
  <c r="D65" i="9" s="1"/>
  <c r="G14" i="9"/>
  <c r="I13" i="9"/>
  <c r="J13" i="9" s="1"/>
  <c r="J14" i="9" s="1"/>
  <c r="H13" i="9"/>
  <c r="E13" i="9"/>
  <c r="E14" i="9" s="1"/>
  <c r="C31" i="8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8" i="7"/>
  <c r="F18" i="7"/>
  <c r="H17" i="7"/>
  <c r="H16" i="7"/>
  <c r="H15" i="7"/>
  <c r="H14" i="7"/>
  <c r="H13" i="7"/>
  <c r="H12" i="7"/>
  <c r="F12" i="7"/>
  <c r="J14" i="6"/>
  <c r="I14" i="6"/>
  <c r="H14" i="6"/>
  <c r="F14" i="6"/>
  <c r="J13" i="6"/>
  <c r="I13" i="6"/>
  <c r="H13" i="6"/>
  <c r="F13" i="6"/>
  <c r="J12" i="6"/>
  <c r="I12" i="6"/>
  <c r="H12" i="6"/>
  <c r="F12" i="6"/>
  <c r="B7" i="6"/>
  <c r="B32" i="5"/>
  <c r="B30" i="5"/>
  <c r="B28" i="5"/>
  <c r="B27" i="5"/>
  <c r="B26" i="5"/>
  <c r="B19" i="5"/>
  <c r="B17" i="5"/>
  <c r="B8" i="5"/>
  <c r="A4" i="5"/>
  <c r="A2" i="5"/>
  <c r="D24" i="4"/>
  <c r="D23" i="4"/>
  <c r="D21" i="4"/>
  <c r="D20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B14" i="5" l="1"/>
  <c r="B9" i="5"/>
  <c r="H23" i="9"/>
  <c r="G14" i="10"/>
  <c r="B22" i="5" s="1"/>
  <c r="B23" i="5"/>
  <c r="C16" i="8"/>
  <c r="J62" i="9"/>
  <c r="G32" i="9"/>
  <c r="B10" i="5"/>
  <c r="H24" i="9"/>
  <c r="H26" i="9"/>
  <c r="H30" i="9"/>
  <c r="J39" i="9"/>
  <c r="C26" i="8" s="1"/>
  <c r="C25" i="8"/>
  <c r="C11" i="8"/>
  <c r="J31" i="9"/>
  <c r="C18" i="8"/>
  <c r="G43" i="9"/>
  <c r="H22" i="9"/>
  <c r="G36" i="9"/>
  <c r="D64" i="9"/>
  <c r="C23" i="8" s="1"/>
  <c r="B12" i="5"/>
  <c r="F16" i="9"/>
  <c r="I16" i="9" s="1"/>
  <c r="J16" i="9" s="1"/>
  <c r="C15" i="8" s="1"/>
  <c r="C22" i="8"/>
  <c r="C21" i="8"/>
  <c r="B18" i="5"/>
  <c r="B20" i="5"/>
  <c r="J65" i="9" l="1"/>
  <c r="C13" i="8"/>
  <c r="C14" i="8" s="1"/>
  <c r="C19" i="8" s="1"/>
  <c r="C24" i="8" s="1"/>
  <c r="D22" i="8" s="1"/>
  <c r="J32" i="9"/>
  <c r="J63" i="9" s="1"/>
  <c r="H19" i="9"/>
  <c r="H20" i="9"/>
  <c r="C12" i="2"/>
  <c r="D18" i="2" s="1"/>
  <c r="H25" i="9"/>
  <c r="G62" i="9"/>
  <c r="B13" i="5"/>
  <c r="H29" i="9"/>
  <c r="H21" i="9"/>
  <c r="G38" i="9"/>
  <c r="J64" i="9"/>
  <c r="J66" i="9" s="1"/>
  <c r="J67" i="9" s="1"/>
  <c r="J68" i="9" s="1"/>
  <c r="C20" i="8"/>
  <c r="D20" i="8" s="1"/>
  <c r="H28" i="9"/>
  <c r="H31" i="9"/>
  <c r="H27" i="9"/>
  <c r="B11" i="5"/>
  <c r="G39" i="9" l="1"/>
  <c r="H37" i="9"/>
  <c r="H38" i="9"/>
  <c r="H35" i="9"/>
  <c r="H59" i="9"/>
  <c r="H55" i="9"/>
  <c r="H51" i="9"/>
  <c r="H48" i="9"/>
  <c r="H45" i="9"/>
  <c r="H58" i="9"/>
  <c r="H54" i="9"/>
  <c r="H52" i="9"/>
  <c r="H47" i="9"/>
  <c r="H44" i="9"/>
  <c r="H62" i="9"/>
  <c r="H60" i="9"/>
  <c r="H57" i="9"/>
  <c r="H56" i="9"/>
  <c r="H53" i="9"/>
  <c r="H50" i="9"/>
  <c r="H49" i="9"/>
  <c r="H46" i="9"/>
  <c r="H42" i="9"/>
  <c r="G63" i="9"/>
  <c r="H61" i="9"/>
  <c r="H36" i="9"/>
  <c r="B15" i="5"/>
  <c r="B16" i="5" s="1"/>
  <c r="B21" i="5" s="1"/>
  <c r="H43" i="9"/>
  <c r="G66" i="9"/>
  <c r="G67" i="9" s="1"/>
  <c r="D11" i="8"/>
  <c r="C27" i="8"/>
  <c r="D16" i="8"/>
  <c r="D12" i="8"/>
  <c r="D17" i="8"/>
  <c r="D13" i="8"/>
  <c r="C29" i="8"/>
  <c r="C30" i="8" s="1"/>
  <c r="D24" i="8"/>
  <c r="D18" i="8"/>
  <c r="D14" i="8"/>
  <c r="D15" i="8"/>
  <c r="C21" i="5" l="1"/>
  <c r="C8" i="5"/>
  <c r="C19" i="5"/>
  <c r="C17" i="5"/>
  <c r="C12" i="5"/>
  <c r="C14" i="5"/>
  <c r="C10" i="5"/>
  <c r="C9" i="5"/>
  <c r="C13" i="5"/>
  <c r="C11" i="5"/>
  <c r="G68" i="9"/>
  <c r="B24" i="5"/>
  <c r="C15" i="5"/>
  <c r="C34" i="8"/>
  <c r="C32" i="8"/>
  <c r="C35" i="8"/>
  <c r="C33" i="8"/>
  <c r="B33" i="5" l="1"/>
  <c r="C36" i="8"/>
  <c r="C37" i="8"/>
  <c r="B34" i="5" l="1"/>
  <c r="C38" i="8"/>
  <c r="B35" i="5" l="1"/>
  <c r="C39" i="8"/>
  <c r="D27" i="5" l="1"/>
  <c r="D26" i="5"/>
  <c r="D19" i="5"/>
  <c r="D28" i="5"/>
  <c r="B36" i="5"/>
  <c r="D35" i="5"/>
  <c r="D30" i="5"/>
  <c r="D32" i="5"/>
  <c r="D8" i="5"/>
  <c r="D17" i="5"/>
  <c r="D22" i="5"/>
  <c r="D23" i="5"/>
  <c r="D9" i="5"/>
  <c r="D14" i="5"/>
  <c r="D10" i="5"/>
  <c r="D12" i="5"/>
  <c r="D11" i="5"/>
  <c r="D13" i="5"/>
  <c r="D21" i="5"/>
  <c r="D15" i="5"/>
  <c r="D24" i="5"/>
  <c r="D33" i="5"/>
  <c r="D34" i="5"/>
  <c r="C40" i="8"/>
  <c r="E39" i="8"/>
  <c r="C10" i="1" l="1"/>
  <c r="C13" i="2"/>
  <c r="C9" i="2"/>
  <c r="B18" i="2" s="1"/>
  <c r="E40" i="8"/>
  <c r="E25" i="8"/>
  <c r="E16" i="8"/>
  <c r="E12" i="8"/>
  <c r="E17" i="8"/>
  <c r="E13" i="8"/>
  <c r="E31" i="8"/>
  <c r="E26" i="8"/>
  <c r="E18" i="8"/>
  <c r="E14" i="8"/>
  <c r="C41" i="8"/>
  <c r="D11" i="11" s="1"/>
  <c r="E11" i="8"/>
  <c r="E15" i="8"/>
  <c r="E22" i="8"/>
  <c r="E20" i="8"/>
  <c r="E24" i="8"/>
  <c r="E27" i="8"/>
  <c r="E30" i="8"/>
  <c r="E29" i="8"/>
  <c r="E35" i="8"/>
  <c r="E32" i="8"/>
  <c r="E33" i="8"/>
  <c r="E34" i="8"/>
  <c r="E37" i="8"/>
  <c r="E36" i="8"/>
  <c r="E38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<sst xmlns="http://schemas.openxmlformats.org/spreadsheetml/2006/main" count="728" uniqueCount="435">
  <si>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</si>
  <si>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</si>
  <si>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</si>
  <si>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</si>
  <si>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</si>
  <si>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</si>
  <si>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</si>
  <si>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</si>
  <si>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</si>
  <si>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</si>
  <si>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</si>
  <si>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</si>
  <si>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</si>
  <si>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</si>
  <si>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</si>
  <si>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</si>
  <si>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</si>
  <si>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</si>
  <si>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</si>
  <si>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</si>
  <si>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</si>
  <si>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</si>
  <si>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</si>
  <si>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</si>
  <si>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</si>
  <si>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</si>
  <si>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</si>
  <si>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</si>
  <si>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</si>
  <si>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</si>
  <si>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</si>
  <si>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</si>
  <si>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</si>
  <si>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</si>
  <si>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</si>
  <si>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</si>
  <si>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</si>
  <si>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</si>
  <si>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</si>
  <si>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</si>
  <si>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</si>
  <si>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</si>
  <si>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</si>
  <si>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</si>
  <si>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</si>
  <si>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</si>
  <si>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</si>
  <si>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Шинная опора на одну фазу без устройства фундамента напряжение 220(150) кВ</t>
  </si>
  <si>
    <t>Сопоставимый уровень цен: 3 кв 2015 г</t>
  </si>
  <si>
    <t>Единица измерения  — 1 ед.</t>
  </si>
  <si>
    <t>Параметр</t>
  </si>
  <si>
    <t>Объект-представитель 1</t>
  </si>
  <si>
    <t>Наименование объекта-представителя</t>
  </si>
  <si>
    <t>ВЛ 330 кВ Зеленчукская ГЭС - Черкесск с расширением ПС 330 кВ Черкесск</t>
  </si>
  <si>
    <t>Наименование субъекта Российской Федерации</t>
  </si>
  <si>
    <t>Карачаево-Черкесская Республика</t>
  </si>
  <si>
    <t>Климатический район и подрайон</t>
  </si>
  <si>
    <t>III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</si>
  <si>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</si>
  <si>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</si>
  <si>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ШО-220.III УХЛ1
Опоры О-220-7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</si>
  <si>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</si>
  <si>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</si>
  <si>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</si>
  <si>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</si>
  <si>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</si>
  <si>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</si>
  <si>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</si>
  <si>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</si>
  <si>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</si>
  <si>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</si>
  <si>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</si>
  <si>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</si>
  <si>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</si>
  <si>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</si>
  <si>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</si>
  <si>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</si>
  <si>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</si>
  <si>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</si>
  <si>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</si>
  <si>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</si>
  <si>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</si>
  <si>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</si>
  <si>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</si>
  <si>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</si>
  <si>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</si>
  <si>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</si>
  <si>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</si>
  <si>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</si>
  <si>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</si>
  <si>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</si>
  <si>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</si>
  <si>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</si>
  <si>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</si>
  <si>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</si>
  <si>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</si>
  <si>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</si>
  <si>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</si>
  <si>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</si>
  <si>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</si>
  <si>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</si>
  <si>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</si>
  <si>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</si>
  <si>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</si>
  <si>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</si>
  <si>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</si>
  <si>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</si>
  <si>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</si>
  <si>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</si>
  <si>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</si>
  <si>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</si>
  <si>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</si>
  <si>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</si>
  <si>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</si>
  <si>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</si>
  <si>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 Шинная опора на одну фазу без устройства фундамента напряжение 220(150)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</si>
  <si>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</si>
  <si>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 xml:space="preserve">Объект-представитель 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</si>
  <si>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</si>
  <si>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</si>
  <si>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</si>
  <si>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</si>
  <si>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</si>
  <si>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</si>
  <si>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</si>
  <si>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>02-01-03</t>
  </si>
  <si>
    <t>Подвеска провода и троса. ВЛ 330 кВ Зеленчукская  ГЭС - Черкесск</t>
  </si>
  <si>
    <t>Всего по объекту:</t>
  </si>
  <si>
    <t>Всего по объекту в сопоставимом уровне цен 3 кв. 2015г: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</si>
  <si>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</si>
  <si>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</si>
  <si>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</si>
  <si>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</si>
  <si>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  Шинная опора на одну фазу без устройства фундамента напряжение 220(150)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</si>
  <si>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</si>
  <si>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</si>
  <si>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</si>
  <si>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</si>
  <si>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</si>
  <si>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</si>
  <si>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</si>
  <si>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</si>
  <si>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</si>
  <si>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</si>
  <si>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1-4-9</t>
  </si>
  <si>
    <t>Затраты труда рабочих (ср 4,9)</t>
  </si>
  <si>
    <t>чел.-ч</t>
  </si>
  <si>
    <t>1-4-1</t>
  </si>
  <si>
    <t>Затраты труда рабочих (ср 4,1)</t>
  </si>
  <si>
    <t>1-4-0</t>
  </si>
  <si>
    <t>Затраты труда рабочих (ср 4)</t>
  </si>
  <si>
    <t>1-3-8</t>
  </si>
  <si>
    <t>Затраты труда рабочих (ср 3,8)</t>
  </si>
  <si>
    <t>1-3-5</t>
  </si>
  <si>
    <t>Затраты труда рабочих (ср 3,5)</t>
  </si>
  <si>
    <t>Затраты труда машинистов</t>
  </si>
  <si>
    <t>Машины и механизмы</t>
  </si>
  <si>
    <t>91.21.22-447</t>
  </si>
  <si>
    <t>Установки электрометаллизационные</t>
  </si>
  <si>
    <t>маш.час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</si>
  <si>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</si>
  <si>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</si>
  <si>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</si>
  <si>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</si>
  <si>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</si>
  <si>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</si>
  <si>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91.06.06-042</t>
  </si>
  <si>
    <t>Подъемники гидравлические, высота подъема 10 м</t>
  </si>
  <si>
    <t>91.06.05-011</t>
  </si>
  <si>
    <t>Погрузчики, грузоподъемность 5 т</t>
  </si>
  <si>
    <t>91.14.02-002</t>
  </si>
  <si>
    <t>Автомобили бортовые, грузоподъемность до 8 т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</si>
  <si>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</si>
  <si>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</si>
  <si>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</si>
  <si>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</si>
  <si>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</si>
  <si>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</si>
  <si>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</si>
  <si>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</si>
  <si>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Прайс из СД ОП</t>
  </si>
  <si>
    <t>Шинная опора 220кВ</t>
  </si>
  <si>
    <t>шт</t>
  </si>
  <si>
    <t>Материалы</t>
  </si>
  <si>
    <t>22.2.02.07-0003</t>
  </si>
  <si>
    <t>Конструкции стальные порталов ОРУ</t>
  </si>
  <si>
    <t>т</t>
  </si>
  <si>
    <t>10.1.02.03-0001</t>
  </si>
  <si>
    <t>Проволока алюминиевая, марка АМЦ, диаметр 1,4-1,8 мм</t>
  </si>
  <si>
    <t>20.1.01.02-0066</t>
  </si>
  <si>
    <t>Зажим аппаратный прессуемый: А4А-300-2</t>
  </si>
  <si>
    <t>100 шт</t>
  </si>
  <si>
    <t>21.2.01.02-0094</t>
  </si>
  <si>
    <t>Провод неизолированный для воздушных линий электропередачи АС 300/39</t>
  </si>
  <si>
    <t>01.7.11.07-0032</t>
  </si>
  <si>
    <t>Электроды сварочные Э42, диаметр 4 мм</t>
  </si>
  <si>
    <t>14.4.02.09-0301</t>
  </si>
  <si>
    <t>Композиция антикоррозионная цинкнаполненная</t>
  </si>
  <si>
    <t>кг</t>
  </si>
  <si>
    <t>14.5.09.11-0102</t>
  </si>
  <si>
    <t>Уайт-спирит</t>
  </si>
  <si>
    <t>14.4.02.09-0001</t>
  </si>
  <si>
    <t>Краска</t>
  </si>
  <si>
    <t>08.3.07.01-0076</t>
  </si>
  <si>
    <t>Прокат полосовой, горячекатаный, марка стали Ст3сп, ширина 50-200 мм, толщина 4-5 мм</t>
  </si>
  <si>
    <t>01.7.15.03-0042</t>
  </si>
  <si>
    <t>Болты с гайками и шайбами строительные</t>
  </si>
  <si>
    <t>08.3.07.01-0042</t>
  </si>
  <si>
    <t>Сталь полосовая: 40х4 мм, кипящая</t>
  </si>
  <si>
    <t>14.2.01.05-0001</t>
  </si>
  <si>
    <t>Композиция на основе термопластичных полимеров</t>
  </si>
  <si>
    <t>01.3.01.06-0050</t>
  </si>
  <si>
    <t>Смазка универсальная тугоплавкая УТ (консталин жировой)</t>
  </si>
  <si>
    <t>01.7.11.07-0034</t>
  </si>
  <si>
    <t>Электроды сварочные Э42А, диаметр 4 мм</t>
  </si>
  <si>
    <t>999-9950</t>
  </si>
  <si>
    <t>Вспомогательные ненормируемые ресурсы (2% от Оплаты труда рабочих)</t>
  </si>
  <si>
    <t>руб</t>
  </si>
  <si>
    <t>08.3.05.02-0101</t>
  </si>
  <si>
    <t>Прокат толстолистовой горячекатаный в листах, марка стали ВСт3пс5, толщина 4-6 мм</t>
  </si>
  <si>
    <t>14.5.09.07-0030</t>
  </si>
  <si>
    <t>Растворитель Р-4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</si>
  <si>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</si>
  <si>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</si>
  <si>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</si>
  <si>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</si>
  <si>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</si>
  <si>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</si>
  <si>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</si>
  <si>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</si>
  <si>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</si>
  <si>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</si>
  <si>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</si>
  <si>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</si>
  <si>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</si>
  <si>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</si>
  <si>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</si>
  <si>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</si>
  <si>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 Шинная опора на одну фазу без устройства фундамента напряжение 220(150)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</si>
  <si>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</si>
  <si>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</si>
  <si>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</si>
  <si>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</si>
  <si>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</si>
  <si>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1-4-7</t>
  </si>
  <si>
    <t>Затраты труда рабочих-строителей среднего разряда (4,7)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</si>
  <si>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</si>
  <si>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</si>
  <si>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</si>
  <si>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</si>
  <si>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</si>
  <si>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</si>
  <si>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</si>
  <si>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БЦ.28.17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</si>
  <si>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</si>
  <si>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</si>
  <si>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</si>
  <si>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</si>
  <si>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</si>
  <si>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</si>
  <si>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</si>
  <si>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</si>
  <si>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</si>
  <si>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</si>
  <si>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</si>
  <si>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</si>
  <si>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</si>
  <si>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</si>
  <si>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</si>
  <si>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</si>
  <si>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</si>
  <si>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Наименование разрабатываемого показателя УНЦ —  Шинная опора на одну фазу без устройства фундамента напряжение 220(150)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</si>
  <si>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</si>
  <si>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</si>
  <si>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</si>
  <si>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</si>
  <si>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</si>
  <si>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</si>
  <si>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</si>
  <si>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</si>
  <si>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</si>
  <si>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</si>
  <si>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</si>
  <si>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И10-09-4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</si>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</sst>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0.0"/>
    <numFmt numFmtId="169" formatCode="#,##0.000"/>
    <numFmt numFmtId="170" formatCode="#,##0.0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2"/>
      <color rgb="FFFF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49" fontId="16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vertical="center"/>
    </xf>
    <xf numFmtId="0" fontId="18" fillId="0" borderId="0" xfId="0" applyFont="1"/>
    <xf numFmtId="0" fontId="16" fillId="0" borderId="5" xfId="0" applyFont="1" applyBorder="1" applyAlignment="1">
      <alignment horizontal="center" vertical="center" wrapText="1"/>
    </xf>
    <xf numFmtId="168" fontId="16" fillId="0" borderId="0" xfId="0" applyNumberFormat="1" applyFont="1"/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justify" vertical="center"/>
    </xf>
    <xf numFmtId="10" fontId="16" fillId="0" borderId="0" xfId="0" applyNumberFormat="1" applyFont="1"/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70" fontId="1" fillId="0" borderId="4" xfId="0" applyNumberFormat="1" applyFont="1" applyBorder="1" applyAlignment="1">
      <alignment horizontal="center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16" fillId="4" borderId="1" xfId="0" applyFont="1" applyFill="1" applyBorder="1" applyAlignment="1">
      <alignment horizontal="justify" vertical="center" wrapText="1"/>
    </xf>
    <xf numFmtId="4" fontId="16" fillId="4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2" fillId="0" borderId="4" xfId="0" applyNumberFormat="1" applyFont="1" applyBorder="1" applyAlignment="1">
      <alignment vertical="center" wrapText="1"/>
    </xf>
    <xf numFmtId="4" fontId="2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49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28</xdr:row>
      <xdr:rowOff>90768</xdr:rowOff>
    </xdr:from>
    <xdr:to>
      <xdr:col>2</xdr:col>
      <xdr:colOff>1439209</xdr:colOff>
      <xdr:row>31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26</xdr:row>
      <xdr:rowOff>257735</xdr:rowOff>
    </xdr:from>
    <xdr:to>
      <xdr:col>2</xdr:col>
      <xdr:colOff>1401670</xdr:colOff>
      <xdr:row>27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22</xdr:row>
      <xdr:rowOff>90768</xdr:rowOff>
    </xdr:from>
    <xdr:to>
      <xdr:col>2</xdr:col>
      <xdr:colOff>1439209</xdr:colOff>
      <xdr:row>25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539297</xdr:colOff>
      <xdr:row>20</xdr:row>
      <xdr:rowOff>23693</xdr:rowOff>
    </xdr:from>
    <xdr:to>
      <xdr:col>2</xdr:col>
      <xdr:colOff>1442491</xdr:colOff>
      <xdr:row>21</xdr:row>
      <xdr:rowOff>150731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011" y="5806729"/>
          <a:ext cx="903194" cy="33114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220570</xdr:colOff>
      <xdr:row>55</xdr:row>
      <xdr:rowOff>68357</xdr:rowOff>
    </xdr:from>
    <xdr:to>
      <xdr:col>2</xdr:col>
      <xdr:colOff>1159062</xdr:colOff>
      <xdr:row>57</xdr:row>
      <xdr:rowOff>185832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129" y="13212857"/>
          <a:ext cx="938492" cy="4984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296770</xdr:colOff>
      <xdr:row>53</xdr:row>
      <xdr:rowOff>21291</xdr:rowOff>
    </xdr:from>
    <xdr:to>
      <xdr:col>2</xdr:col>
      <xdr:colOff>1199964</xdr:colOff>
      <xdr:row>54</xdr:row>
      <xdr:rowOff>148329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2773585"/>
          <a:ext cx="903194" cy="32874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948392</xdr:colOff>
      <xdr:row>43</xdr:row>
      <xdr:rowOff>128868</xdr:rowOff>
    </xdr:from>
    <xdr:to>
      <xdr:col>1</xdr:col>
      <xdr:colOff>1886884</xdr:colOff>
      <xdr:row>46</xdr:row>
      <xdr:rowOff>84418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17" y="117493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927101</xdr:colOff>
      <xdr:row>41</xdr:row>
      <xdr:rowOff>38660</xdr:rowOff>
    </xdr:from>
    <xdr:to>
      <xdr:col>1</xdr:col>
      <xdr:colOff>1830295</xdr:colOff>
      <xdr:row>42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326" y="112781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1072217</xdr:colOff>
      <xdr:row>70</xdr:row>
      <xdr:rowOff>68356</xdr:rowOff>
    </xdr:from>
    <xdr:to>
      <xdr:col>2</xdr:col>
      <xdr:colOff>509121</xdr:colOff>
      <xdr:row>73</xdr:row>
      <xdr:rowOff>52481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3217" y="17538327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1137212</xdr:colOff>
      <xdr:row>68</xdr:row>
      <xdr:rowOff>22972</xdr:rowOff>
    </xdr:from>
    <xdr:to>
      <xdr:col>2</xdr:col>
      <xdr:colOff>538818</xdr:colOff>
      <xdr:row>69</xdr:row>
      <xdr:rowOff>178585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212" y="17111943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1024592</xdr:colOff>
      <xdr:row>16</xdr:row>
      <xdr:rowOff>52668</xdr:rowOff>
    </xdr:from>
    <xdr:to>
      <xdr:col>2</xdr:col>
      <xdr:colOff>791509</xdr:colOff>
      <xdr:row>19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592" y="38531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1041401</xdr:colOff>
      <xdr:row>14</xdr:row>
      <xdr:rowOff>10085</xdr:rowOff>
    </xdr:from>
    <xdr:to>
      <xdr:col>2</xdr:col>
      <xdr:colOff>773020</xdr:colOff>
      <xdr:row>15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1" y="34295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948392</xdr:colOff>
      <xdr:row>13</xdr:row>
      <xdr:rowOff>43143</xdr:rowOff>
    </xdr:from>
    <xdr:to>
      <xdr:col>1</xdr:col>
      <xdr:colOff>1886884</xdr:colOff>
      <xdr:row>15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0417" y="36531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1012826</xdr:colOff>
      <xdr:row>11</xdr:row>
      <xdr:rowOff>10085</xdr:rowOff>
    </xdr:from>
    <xdr:to>
      <xdr:col>1</xdr:col>
      <xdr:colOff>1916020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4851" y="32390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1105834</xdr:colOff>
      <xdr:row>27</xdr:row>
      <xdr:rowOff>57150</xdr:rowOff>
    </xdr:from>
    <xdr:to>
      <xdr:col>1</xdr:col>
      <xdr:colOff>2044326</xdr:colOff>
      <xdr:row>30</xdr:row>
      <xdr:rowOff>12700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952" y="9021856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1069975</xdr:colOff>
      <xdr:row>25</xdr:row>
      <xdr:rowOff>11766</xdr:rowOff>
    </xdr:from>
    <xdr:to>
      <xdr:col>1</xdr:col>
      <xdr:colOff>1973169</xdr:colOff>
      <xdr:row>26</xdr:row>
      <xdr:rowOff>157854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093" y="8595472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0" t="s">
        <v>0</v>
      </c>
      <c r="B2" s="210"/>
      <c r="C2" s="210"/>
    </row>
    <row r="3" spans="1:3" x14ac:dyDescent="0.25">
      <c r="A3" s="1"/>
      <c r="B3" s="1"/>
      <c r="C3" s="1"/>
    </row>
    <row r="4" spans="1:3" x14ac:dyDescent="0.25">
      <c r="A4" s="211" t="s">
        <v>1</v>
      </c>
      <c r="B4" s="211"/>
      <c r="C4" s="21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12" t="s">
        <v>3</v>
      </c>
      <c r="C6" s="212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1" t="s">
        <v>8</v>
      </c>
      <c r="B10" s="112" t="s">
        <v>9</v>
      </c>
      <c r="C10" s="3">
        <f>'4.5 РМ'!B36/1000</f>
        <v>235.42399519860584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topLeftCell="A2" workbookViewId="0">
      <selection activeCell="A28" sqref="A28:XFD32"/>
    </sheetView>
  </sheetViews>
  <sheetFormatPr defaultRowHeight="15" x14ac:dyDescent="0.25"/>
  <cols>
    <col min="1" max="1" width="5.7109375" customWidth="1"/>
    <col min="2" max="2" width="17.5703125" customWidth="1"/>
    <col min="3" max="3" width="43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269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10" t="s">
        <v>270</v>
      </c>
      <c r="B3" s="210"/>
      <c r="C3" s="210"/>
      <c r="D3" s="210"/>
      <c r="E3" s="210"/>
      <c r="F3" s="210"/>
      <c r="G3" s="210"/>
    </row>
    <row r="4" spans="1:7" ht="25.5" customHeight="1" x14ac:dyDescent="0.25">
      <c r="A4" s="213" t="s">
        <v>271</v>
      </c>
      <c r="B4" s="213"/>
      <c r="C4" s="213"/>
      <c r="D4" s="213"/>
      <c r="E4" s="213"/>
      <c r="F4" s="213"/>
      <c r="G4" s="213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4" t="s">
        <v>13</v>
      </c>
      <c r="B6" s="234" t="s">
        <v>136</v>
      </c>
      <c r="C6" s="234" t="s">
        <v>78</v>
      </c>
      <c r="D6" s="234" t="s">
        <v>138</v>
      </c>
      <c r="E6" s="235" t="s">
        <v>239</v>
      </c>
      <c r="F6" s="255" t="s">
        <v>79</v>
      </c>
      <c r="G6" s="255"/>
    </row>
    <row r="7" spans="1:7" x14ac:dyDescent="0.25">
      <c r="A7" s="234"/>
      <c r="B7" s="234"/>
      <c r="C7" s="234"/>
      <c r="D7" s="234"/>
      <c r="E7" s="236"/>
      <c r="F7" s="2" t="s">
        <v>242</v>
      </c>
      <c r="G7" s="2" t="s">
        <v>141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51" t="s">
        <v>272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03"/>
      <c r="C10" s="8" t="s">
        <v>273</v>
      </c>
      <c r="D10" s="103"/>
      <c r="E10" s="104"/>
      <c r="F10" s="102"/>
      <c r="G10" s="102">
        <v>0</v>
      </c>
    </row>
    <row r="11" spans="1:7" x14ac:dyDescent="0.25">
      <c r="A11" s="2"/>
      <c r="B11" s="242" t="s">
        <v>274</v>
      </c>
      <c r="C11" s="242"/>
      <c r="D11" s="242"/>
      <c r="E11" s="254"/>
      <c r="F11" s="244"/>
      <c r="G11" s="244"/>
    </row>
    <row r="12" spans="1:7" x14ac:dyDescent="0.25">
      <c r="A12" s="2">
        <v>1</v>
      </c>
      <c r="B12" s="2" t="str">
        <f>'Прил.5 Расчет СМР и ОБ'!B35</f>
        <v>БЦ.28.17</v>
      </c>
      <c r="C12" s="8" t="str">
        <f>'Прил.5 Расчет СМР и ОБ'!C35</f>
        <v>Шинная опора 220кВ</v>
      </c>
      <c r="D12" s="2" t="str">
        <f>'Прил.5 Расчет СМР и ОБ'!D35</f>
        <v>шт</v>
      </c>
      <c r="E12" s="198">
        <f>'Прил.5 Расчет СМР и ОБ'!E35</f>
        <v>9</v>
      </c>
      <c r="F12" s="32">
        <f>'Прил.5 Расчет СМР и ОБ'!F35</f>
        <v>8236.82</v>
      </c>
      <c r="G12" s="32">
        <f>ROUND(E12*F12,2)</f>
        <v>74131.38</v>
      </c>
    </row>
    <row r="13" spans="1:7" ht="25.5" customHeight="1" x14ac:dyDescent="0.25">
      <c r="A13" s="2"/>
      <c r="B13" s="8"/>
      <c r="C13" s="8" t="s">
        <v>275</v>
      </c>
      <c r="D13" s="8"/>
      <c r="E13" s="46"/>
      <c r="F13" s="102"/>
      <c r="G13" s="32">
        <f>SUM(G12:G12)</f>
        <v>74131.38</v>
      </c>
    </row>
    <row r="14" spans="1:7" ht="19.5" customHeight="1" x14ac:dyDescent="0.25">
      <c r="A14" s="2"/>
      <c r="B14" s="8"/>
      <c r="C14" s="8" t="s">
        <v>276</v>
      </c>
      <c r="D14" s="8"/>
      <c r="E14" s="46"/>
      <c r="F14" s="102"/>
      <c r="G14" s="32">
        <f>G10+G13</f>
        <v>74131.38</v>
      </c>
    </row>
    <row r="15" spans="1:7" x14ac:dyDescent="0.25">
      <c r="A15" s="30"/>
      <c r="B15" s="105"/>
      <c r="C15" s="30"/>
      <c r="D15" s="30"/>
      <c r="E15" s="30"/>
      <c r="F15" s="30"/>
      <c r="G15" s="30"/>
    </row>
    <row r="16" spans="1:7" x14ac:dyDescent="0.25">
      <c r="B16" s="182" t="s">
        <v>434</v>
      </c>
      <c r="C16" s="188"/>
    </row>
    <row r="17" spans="2:3" x14ac:dyDescent="0.25">
      <c r="B17" s="187" t="s">
        <v>75</v>
      </c>
      <c r="C17" s="188"/>
    </row>
    <row r="18" spans="2:3" x14ac:dyDescent="0.25">
      <c r="B18" s="182"/>
      <c r="C18" s="188"/>
    </row>
    <row r="19" spans="2:3" x14ac:dyDescent="0.25">
      <c r="B19" s="182" t="s">
        <v>268</v>
      </c>
      <c r="C19" s="188"/>
    </row>
    <row r="20" spans="2:3" x14ac:dyDescent="0.25">
      <c r="B20" s="187" t="s">
        <v>76</v>
      </c>
      <c r="C20" s="18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8" sqref="A28:XFD32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82"/>
      <c r="C1" s="182"/>
      <c r="D1" s="183" t="s">
        <v>277</v>
      </c>
    </row>
    <row r="2" spans="1:5" x14ac:dyDescent="0.25">
      <c r="A2" s="183"/>
      <c r="B2" s="183"/>
      <c r="C2" s="183"/>
      <c r="D2" s="183"/>
    </row>
    <row r="3" spans="1:5" ht="24.75" customHeight="1" x14ac:dyDescent="0.25">
      <c r="A3" s="210" t="s">
        <v>278</v>
      </c>
      <c r="B3" s="210"/>
      <c r="C3" s="210"/>
      <c r="D3" s="210"/>
    </row>
    <row r="4" spans="1:5" ht="24.75" customHeight="1" x14ac:dyDescent="0.25">
      <c r="A4" s="184"/>
      <c r="B4" s="184"/>
      <c r="C4" s="184"/>
      <c r="D4" s="184"/>
    </row>
    <row r="5" spans="1:5" ht="54.75" customHeight="1" x14ac:dyDescent="0.25">
      <c r="A5" s="213" t="s">
        <v>279</v>
      </c>
      <c r="B5" s="213"/>
      <c r="C5" s="213"/>
      <c r="D5" s="201" t="str">
        <f>'Прил.5 Расчет СМР и ОБ'!D6:J6</f>
        <v xml:space="preserve"> Шинная опора на одну фазу без устройства фундамента напряжение 220(150) кВ</v>
      </c>
    </row>
    <row r="6" spans="1:5" ht="19.899999999999999" customHeight="1" x14ac:dyDescent="0.25">
      <c r="A6" s="213" t="s">
        <v>280</v>
      </c>
      <c r="B6" s="213"/>
      <c r="C6" s="213"/>
      <c r="D6" s="201"/>
    </row>
    <row r="7" spans="1:5" x14ac:dyDescent="0.25">
      <c r="A7" s="182"/>
      <c r="B7" s="182"/>
      <c r="C7" s="182"/>
      <c r="D7" s="182"/>
    </row>
    <row r="8" spans="1:5" ht="14.45" customHeight="1" x14ac:dyDescent="0.25">
      <c r="A8" s="226" t="s">
        <v>5</v>
      </c>
      <c r="B8" s="226" t="s">
        <v>6</v>
      </c>
      <c r="C8" s="226" t="s">
        <v>281</v>
      </c>
      <c r="D8" s="226" t="s">
        <v>282</v>
      </c>
    </row>
    <row r="9" spans="1:5" ht="15" customHeight="1" x14ac:dyDescent="0.25">
      <c r="A9" s="226"/>
      <c r="B9" s="226"/>
      <c r="C9" s="226"/>
      <c r="D9" s="226"/>
    </row>
    <row r="10" spans="1:5" x14ac:dyDescent="0.25">
      <c r="A10" s="202">
        <v>1</v>
      </c>
      <c r="B10" s="202">
        <v>2</v>
      </c>
      <c r="C10" s="202">
        <v>3</v>
      </c>
      <c r="D10" s="202">
        <v>4</v>
      </c>
    </row>
    <row r="11" spans="1:5" ht="41.45" customHeight="1" x14ac:dyDescent="0.25">
      <c r="A11" s="202" t="s">
        <v>283</v>
      </c>
      <c r="B11" s="202" t="s">
        <v>284</v>
      </c>
      <c r="C11" s="203" t="str">
        <f>D5</f>
        <v xml:space="preserve"> Шинная опора на одну фазу без устройства фундамента напряжение 220(150) кВ</v>
      </c>
      <c r="D11" s="204">
        <f>'Прил.4 РМ'!C41/1000</f>
        <v>324.33442111111111</v>
      </c>
      <c r="E11" s="185"/>
    </row>
    <row r="12" spans="1:5" x14ac:dyDescent="0.25">
      <c r="A12" s="186"/>
      <c r="B12" s="205"/>
      <c r="C12" s="186"/>
      <c r="D12" s="186"/>
    </row>
    <row r="13" spans="1:5" x14ac:dyDescent="0.25">
      <c r="B13" s="182" t="s">
        <v>434</v>
      </c>
      <c r="C13" s="188"/>
    </row>
    <row r="14" spans="1:5" x14ac:dyDescent="0.25">
      <c r="B14" s="187" t="s">
        <v>75</v>
      </c>
      <c r="C14" s="188"/>
    </row>
    <row r="15" spans="1:5" x14ac:dyDescent="0.25">
      <c r="B15" s="182"/>
      <c r="C15" s="188"/>
    </row>
    <row r="16" spans="1:5" x14ac:dyDescent="0.25">
      <c r="B16" s="182" t="s">
        <v>268</v>
      </c>
      <c r="C16" s="188"/>
    </row>
    <row r="17" spans="2:3" x14ac:dyDescent="0.25">
      <c r="B17" s="187" t="s">
        <v>76</v>
      </c>
      <c r="C17" s="18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6" zoomScale="60" zoomScaleNormal="85" workbookViewId="0">
      <selection activeCell="A28" sqref="A28:XFD32"/>
    </sheetView>
  </sheetViews>
  <sheetFormatPr defaultRowHeight="15" x14ac:dyDescent="0.25"/>
  <cols>
    <col min="1" max="1" width="9.140625" customWidth="1"/>
    <col min="2" max="2" width="40.7109375" customWidth="1"/>
    <col min="3" max="3" width="38.7109375" customWidth="1"/>
    <col min="4" max="4" width="32" customWidth="1"/>
    <col min="5" max="5" width="9.140625" customWidth="1"/>
  </cols>
  <sheetData>
    <row r="4" spans="2:5" ht="15.75" customHeight="1" x14ac:dyDescent="0.25">
      <c r="B4" s="217" t="s">
        <v>285</v>
      </c>
      <c r="C4" s="217"/>
      <c r="D4" s="217"/>
    </row>
    <row r="5" spans="2:5" ht="18.75" customHeight="1" x14ac:dyDescent="0.25">
      <c r="B5" s="130"/>
    </row>
    <row r="6" spans="2:5" ht="15.75" customHeight="1" x14ac:dyDescent="0.25">
      <c r="B6" s="218" t="s">
        <v>286</v>
      </c>
      <c r="C6" s="218"/>
      <c r="D6" s="218"/>
    </row>
    <row r="7" spans="2:5" x14ac:dyDescent="0.25">
      <c r="B7" s="256"/>
      <c r="C7" s="256"/>
      <c r="D7" s="256"/>
      <c r="E7" s="256"/>
    </row>
    <row r="8" spans="2:5" x14ac:dyDescent="0.25">
      <c r="B8" s="134"/>
      <c r="C8" s="134"/>
      <c r="D8" s="134"/>
      <c r="E8" s="134"/>
    </row>
    <row r="9" spans="2:5" ht="47.25" customHeight="1" x14ac:dyDescent="0.25">
      <c r="B9" s="121" t="s">
        <v>287</v>
      </c>
      <c r="C9" s="121" t="s">
        <v>288</v>
      </c>
      <c r="D9" s="121" t="s">
        <v>289</v>
      </c>
    </row>
    <row r="10" spans="2:5" ht="15.75" customHeight="1" x14ac:dyDescent="0.25">
      <c r="B10" s="121">
        <v>1</v>
      </c>
      <c r="C10" s="121">
        <v>2</v>
      </c>
      <c r="D10" s="121">
        <v>3</v>
      </c>
    </row>
    <row r="11" spans="2:5" ht="31.5" customHeight="1" x14ac:dyDescent="0.25">
      <c r="B11" s="121" t="s">
        <v>290</v>
      </c>
      <c r="C11" s="121" t="s">
        <v>291</v>
      </c>
      <c r="D11" s="121">
        <v>44.29</v>
      </c>
    </row>
    <row r="12" spans="2:5" ht="31.5" customHeight="1" x14ac:dyDescent="0.25">
      <c r="B12" s="121" t="s">
        <v>292</v>
      </c>
      <c r="C12" s="121" t="s">
        <v>291</v>
      </c>
      <c r="D12" s="121">
        <v>13.47</v>
      </c>
    </row>
    <row r="13" spans="2:5" ht="31.5" customHeight="1" x14ac:dyDescent="0.25">
      <c r="B13" s="121" t="s">
        <v>293</v>
      </c>
      <c r="C13" s="121" t="s">
        <v>291</v>
      </c>
      <c r="D13" s="121">
        <v>8.0399999999999991</v>
      </c>
    </row>
    <row r="14" spans="2:5" ht="31.5" customHeight="1" x14ac:dyDescent="0.25">
      <c r="B14" s="121" t="s">
        <v>294</v>
      </c>
      <c r="C14" s="121" t="s">
        <v>295</v>
      </c>
      <c r="D14" s="121">
        <v>6.26</v>
      </c>
    </row>
    <row r="15" spans="2:5" ht="89.25" customHeight="1" x14ac:dyDescent="0.25">
      <c r="B15" s="121" t="s">
        <v>296</v>
      </c>
      <c r="C15" s="121" t="s">
        <v>297</v>
      </c>
      <c r="D15" s="132">
        <v>3.9E-2</v>
      </c>
    </row>
    <row r="16" spans="2:5" ht="78.75" customHeight="1" x14ac:dyDescent="0.25">
      <c r="B16" s="121" t="s">
        <v>298</v>
      </c>
      <c r="C16" s="121" t="s">
        <v>299</v>
      </c>
      <c r="D16" s="132">
        <v>2.1000000000000001E-2</v>
      </c>
    </row>
    <row r="17" spans="2:4" ht="15.75" customHeight="1" x14ac:dyDescent="0.25">
      <c r="B17" s="121" t="s">
        <v>228</v>
      </c>
      <c r="C17" s="121"/>
      <c r="D17" s="121" t="s">
        <v>300</v>
      </c>
    </row>
    <row r="18" spans="2:4" ht="31.5" customHeight="1" x14ac:dyDescent="0.25">
      <c r="B18" s="121" t="s">
        <v>103</v>
      </c>
      <c r="C18" s="121" t="s">
        <v>301</v>
      </c>
      <c r="D18" s="132">
        <v>2.1399999999999999E-2</v>
      </c>
    </row>
    <row r="19" spans="2:4" ht="31.5" customHeight="1" x14ac:dyDescent="0.25">
      <c r="B19" s="121" t="s">
        <v>234</v>
      </c>
      <c r="C19" s="121" t="s">
        <v>302</v>
      </c>
      <c r="D19" s="132">
        <v>2E-3</v>
      </c>
    </row>
    <row r="20" spans="2:4" ht="24" customHeight="1" x14ac:dyDescent="0.25">
      <c r="B20" s="121" t="s">
        <v>106</v>
      </c>
      <c r="C20" s="121" t="s">
        <v>303</v>
      </c>
      <c r="D20" s="132">
        <v>0.03</v>
      </c>
    </row>
    <row r="21" spans="2:4" ht="18.75" customHeight="1" x14ac:dyDescent="0.25">
      <c r="B21" s="131"/>
    </row>
    <row r="22" spans="2:4" ht="18.75" customHeight="1" x14ac:dyDescent="0.25">
      <c r="B22" s="131"/>
    </row>
    <row r="23" spans="2:4" ht="18.75" customHeight="1" x14ac:dyDescent="0.25">
      <c r="B23" s="131"/>
    </row>
    <row r="24" spans="2:4" ht="18.75" customHeight="1" x14ac:dyDescent="0.25">
      <c r="B24" s="131"/>
    </row>
    <row r="27" spans="2:4" x14ac:dyDescent="0.25">
      <c r="B27" s="182" t="s">
        <v>434</v>
      </c>
      <c r="C27" s="188"/>
    </row>
    <row r="28" spans="2:4" x14ac:dyDescent="0.25">
      <c r="B28" s="187" t="s">
        <v>75</v>
      </c>
      <c r="C28" s="188"/>
    </row>
    <row r="29" spans="2:4" x14ac:dyDescent="0.25">
      <c r="B29" s="182"/>
      <c r="C29" s="188"/>
    </row>
    <row r="30" spans="2:4" x14ac:dyDescent="0.25">
      <c r="B30" s="182" t="s">
        <v>268</v>
      </c>
      <c r="C30" s="188"/>
    </row>
    <row r="31" spans="2:4" x14ac:dyDescent="0.25">
      <c r="B31" s="187" t="s">
        <v>76</v>
      </c>
      <c r="C31" s="188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8" sqref="A28:XFD3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8" t="s">
        <v>304</v>
      </c>
      <c r="B2" s="218"/>
      <c r="C2" s="218"/>
      <c r="D2" s="218"/>
      <c r="E2" s="218"/>
      <c r="F2" s="218"/>
    </row>
    <row r="4" spans="1:7" ht="18" customHeight="1" x14ac:dyDescent="0.25">
      <c r="A4" s="116" t="s">
        <v>305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18" t="s">
        <v>13</v>
      </c>
      <c r="B5" s="118" t="s">
        <v>306</v>
      </c>
      <c r="C5" s="118" t="s">
        <v>307</v>
      </c>
      <c r="D5" s="118" t="s">
        <v>308</v>
      </c>
      <c r="E5" s="118" t="s">
        <v>309</v>
      </c>
      <c r="F5" s="118" t="s">
        <v>310</v>
      </c>
      <c r="G5" s="117"/>
    </row>
    <row r="6" spans="1:7" ht="15.75" customHeight="1" x14ac:dyDescent="0.25">
      <c r="A6" s="118">
        <v>1</v>
      </c>
      <c r="B6" s="118">
        <v>2</v>
      </c>
      <c r="C6" s="118">
        <v>3</v>
      </c>
      <c r="D6" s="118">
        <v>4</v>
      </c>
      <c r="E6" s="118">
        <v>5</v>
      </c>
      <c r="F6" s="118">
        <v>6</v>
      </c>
      <c r="G6" s="117"/>
    </row>
    <row r="7" spans="1:7" ht="110.25" customHeight="1" x14ac:dyDescent="0.25">
      <c r="A7" s="119" t="s">
        <v>311</v>
      </c>
      <c r="B7" s="120" t="s">
        <v>312</v>
      </c>
      <c r="C7" s="121" t="s">
        <v>313</v>
      </c>
      <c r="D7" s="121" t="s">
        <v>314</v>
      </c>
      <c r="E7" s="60">
        <v>47872.94</v>
      </c>
      <c r="F7" s="120" t="s">
        <v>315</v>
      </c>
      <c r="G7" s="117"/>
    </row>
    <row r="8" spans="1:7" ht="31.5" customHeight="1" x14ac:dyDescent="0.25">
      <c r="A8" s="119" t="s">
        <v>316</v>
      </c>
      <c r="B8" s="120" t="s">
        <v>317</v>
      </c>
      <c r="C8" s="121" t="s">
        <v>318</v>
      </c>
      <c r="D8" s="121" t="s">
        <v>319</v>
      </c>
      <c r="E8" s="122">
        <f>1973/12</f>
        <v>164.41666666667001</v>
      </c>
      <c r="F8" s="120" t="s">
        <v>320</v>
      </c>
      <c r="G8" s="123"/>
    </row>
    <row r="9" spans="1:7" ht="15.75" customHeight="1" x14ac:dyDescent="0.25">
      <c r="A9" s="119" t="s">
        <v>321</v>
      </c>
      <c r="B9" s="120" t="s">
        <v>322</v>
      </c>
      <c r="C9" s="121" t="s">
        <v>323</v>
      </c>
      <c r="D9" s="121" t="s">
        <v>314</v>
      </c>
      <c r="E9" s="122">
        <v>1</v>
      </c>
      <c r="F9" s="120"/>
      <c r="G9" s="123"/>
    </row>
    <row r="10" spans="1:7" ht="15.75" customHeight="1" x14ac:dyDescent="0.25">
      <c r="A10" s="119" t="s">
        <v>324</v>
      </c>
      <c r="B10" s="120" t="s">
        <v>325</v>
      </c>
      <c r="C10" s="121"/>
      <c r="D10" s="121"/>
      <c r="E10" s="124">
        <v>4.7</v>
      </c>
      <c r="F10" s="120" t="s">
        <v>326</v>
      </c>
      <c r="G10" s="123"/>
    </row>
    <row r="11" spans="1:7" ht="78.75" customHeight="1" x14ac:dyDescent="0.25">
      <c r="A11" s="119" t="s">
        <v>327</v>
      </c>
      <c r="B11" s="120" t="s">
        <v>328</v>
      </c>
      <c r="C11" s="121" t="s">
        <v>329</v>
      </c>
      <c r="D11" s="121" t="s">
        <v>314</v>
      </c>
      <c r="E11" s="156">
        <v>1.4810000000000001</v>
      </c>
      <c r="F11" s="120" t="s">
        <v>330</v>
      </c>
      <c r="G11" s="117"/>
    </row>
    <row r="12" spans="1:7" ht="78.75" customHeight="1" x14ac:dyDescent="0.25">
      <c r="A12" s="119" t="s">
        <v>331</v>
      </c>
      <c r="B12" s="125" t="s">
        <v>332</v>
      </c>
      <c r="C12" s="121" t="s">
        <v>333</v>
      </c>
      <c r="D12" s="121" t="s">
        <v>314</v>
      </c>
      <c r="E12" s="126">
        <v>1.139</v>
      </c>
      <c r="F12" s="127" t="s">
        <v>334</v>
      </c>
      <c r="G12" s="123" t="s">
        <v>335</v>
      </c>
    </row>
    <row r="13" spans="1:7" ht="63" customHeight="1" x14ac:dyDescent="0.25">
      <c r="A13" s="119" t="s">
        <v>336</v>
      </c>
      <c r="B13" s="128" t="s">
        <v>337</v>
      </c>
      <c r="C13" s="121" t="s">
        <v>338</v>
      </c>
      <c r="D13" s="121" t="s">
        <v>339</v>
      </c>
      <c r="E13" s="129">
        <f>((E7*E9/E8)*E11)*E12</f>
        <v>491.16005896884002</v>
      </c>
      <c r="F13" s="120" t="s">
        <v>340</v>
      </c>
      <c r="G13" s="11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57" t="s">
        <v>341</v>
      </c>
      <c r="B1" s="257"/>
      <c r="C1" s="257"/>
      <c r="D1" s="257"/>
      <c r="E1" s="257"/>
      <c r="F1" s="257"/>
      <c r="G1" s="257"/>
      <c r="H1" s="257"/>
      <c r="I1" s="257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13" t="e">
        <f>#REF!</f>
        <v>#REF!</v>
      </c>
      <c r="B3" s="213"/>
      <c r="C3" s="213"/>
      <c r="D3" s="213"/>
      <c r="E3" s="213"/>
      <c r="F3" s="213"/>
      <c r="G3" s="213"/>
      <c r="H3" s="213"/>
      <c r="I3" s="213"/>
    </row>
    <row r="4" spans="1:13" s="4" customFormat="1" ht="15.75" customHeight="1" x14ac:dyDescent="0.2">
      <c r="A4" s="220"/>
      <c r="B4" s="220"/>
      <c r="C4" s="220"/>
      <c r="D4" s="220"/>
      <c r="E4" s="220"/>
      <c r="F4" s="220"/>
      <c r="G4" s="220"/>
      <c r="H4" s="220"/>
      <c r="I4" s="220"/>
    </row>
    <row r="5" spans="1:13" s="35" customFormat="1" ht="36.6" customHeight="1" x14ac:dyDescent="0.35">
      <c r="A5" s="258" t="s">
        <v>13</v>
      </c>
      <c r="B5" s="258" t="s">
        <v>342</v>
      </c>
      <c r="C5" s="258" t="s">
        <v>343</v>
      </c>
      <c r="D5" s="258" t="s">
        <v>344</v>
      </c>
      <c r="E5" s="255" t="s">
        <v>345</v>
      </c>
      <c r="F5" s="255"/>
      <c r="G5" s="255"/>
      <c r="H5" s="255"/>
      <c r="I5" s="255"/>
    </row>
    <row r="6" spans="1:13" s="30" customFormat="1" ht="31.5" customHeight="1" x14ac:dyDescent="0.2">
      <c r="A6" s="258"/>
      <c r="B6" s="258"/>
      <c r="C6" s="258"/>
      <c r="D6" s="258"/>
      <c r="E6" s="36" t="s">
        <v>121</v>
      </c>
      <c r="F6" s="36" t="s">
        <v>122</v>
      </c>
      <c r="G6" s="36" t="s">
        <v>43</v>
      </c>
      <c r="H6" s="36" t="s">
        <v>346</v>
      </c>
      <c r="I6" s="36" t="s">
        <v>347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98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348</v>
      </c>
      <c r="C9" s="8" t="s">
        <v>349</v>
      </c>
      <c r="D9" s="114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350</v>
      </c>
      <c r="C11" s="8" t="s">
        <v>298</v>
      </c>
      <c r="D11" s="114">
        <v>2.1000000000000001E-2</v>
      </c>
      <c r="E11" s="32">
        <f>(E8+E9)*D11</f>
        <v>8.6950678710000007E-2</v>
      </c>
      <c r="F11" s="32"/>
      <c r="G11" s="32"/>
      <c r="H11" s="32" t="s">
        <v>351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352</v>
      </c>
      <c r="C12" s="8" t="s">
        <v>353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354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301</v>
      </c>
      <c r="C14" s="8" t="s">
        <v>355</v>
      </c>
      <c r="D14" s="11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356</v>
      </c>
      <c r="C16" s="8" t="s">
        <v>357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358</v>
      </c>
    </row>
    <row r="17" spans="1:10" s="30" customFormat="1" ht="81.75" customHeight="1" x14ac:dyDescent="0.2">
      <c r="A17" s="37">
        <v>7</v>
      </c>
      <c r="B17" s="8" t="s">
        <v>356</v>
      </c>
      <c r="C17" s="8" t="s">
        <v>359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360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361</v>
      </c>
      <c r="C20" s="8" t="s">
        <v>106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362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109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110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111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112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3" t="s">
        <v>363</v>
      </c>
      <c r="O2" s="263"/>
    </row>
    <row r="3" spans="1:16" x14ac:dyDescent="0.25">
      <c r="A3" s="264" t="s">
        <v>364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5" spans="1:16" ht="37.5" customHeight="1" x14ac:dyDescent="0.25">
      <c r="A5" s="265" t="s">
        <v>365</v>
      </c>
      <c r="B5" s="268" t="s">
        <v>366</v>
      </c>
      <c r="C5" s="271" t="s">
        <v>367</v>
      </c>
      <c r="D5" s="274" t="s">
        <v>368</v>
      </c>
      <c r="E5" s="275"/>
      <c r="F5" s="275"/>
      <c r="G5" s="275"/>
      <c r="H5" s="275"/>
      <c r="I5" s="274" t="s">
        <v>369</v>
      </c>
      <c r="J5" s="275"/>
      <c r="K5" s="275"/>
      <c r="L5" s="275"/>
      <c r="M5" s="275"/>
      <c r="N5" s="275"/>
      <c r="O5" s="53" t="s">
        <v>370</v>
      </c>
    </row>
    <row r="6" spans="1:16" s="56" customFormat="1" ht="150" customHeight="1" x14ac:dyDescent="0.25">
      <c r="A6" s="266"/>
      <c r="B6" s="269"/>
      <c r="C6" s="272"/>
      <c r="D6" s="271" t="s">
        <v>371</v>
      </c>
      <c r="E6" s="276" t="s">
        <v>372</v>
      </c>
      <c r="F6" s="277"/>
      <c r="G6" s="278"/>
      <c r="H6" s="54" t="s">
        <v>373</v>
      </c>
      <c r="I6" s="279" t="s">
        <v>374</v>
      </c>
      <c r="J6" s="279" t="s">
        <v>371</v>
      </c>
      <c r="K6" s="280" t="s">
        <v>372</v>
      </c>
      <c r="L6" s="280"/>
      <c r="M6" s="280"/>
      <c r="N6" s="54" t="s">
        <v>373</v>
      </c>
      <c r="O6" s="55" t="s">
        <v>375</v>
      </c>
    </row>
    <row r="7" spans="1:16" s="56" customFormat="1" ht="30.75" customHeight="1" x14ac:dyDescent="0.25">
      <c r="A7" s="267"/>
      <c r="B7" s="270"/>
      <c r="C7" s="273"/>
      <c r="D7" s="273"/>
      <c r="E7" s="53" t="s">
        <v>121</v>
      </c>
      <c r="F7" s="53" t="s">
        <v>122</v>
      </c>
      <c r="G7" s="53" t="s">
        <v>43</v>
      </c>
      <c r="H7" s="57" t="s">
        <v>376</v>
      </c>
      <c r="I7" s="279"/>
      <c r="J7" s="279"/>
      <c r="K7" s="53" t="s">
        <v>121</v>
      </c>
      <c r="L7" s="53" t="s">
        <v>122</v>
      </c>
      <c r="M7" s="53" t="s">
        <v>43</v>
      </c>
      <c r="N7" s="57" t="s">
        <v>376</v>
      </c>
      <c r="O7" s="53" t="s">
        <v>377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65" t="s">
        <v>378</v>
      </c>
      <c r="C9" s="59" t="s">
        <v>379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267"/>
      <c r="C10" s="62" t="s">
        <v>380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265" t="s">
        <v>381</v>
      </c>
      <c r="C11" s="62" t="s">
        <v>382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267"/>
      <c r="C12" s="62" t="s">
        <v>383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265" t="s">
        <v>384</v>
      </c>
      <c r="C13" s="59" t="s">
        <v>385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267"/>
      <c r="C14" s="62" t="s">
        <v>386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387</v>
      </c>
      <c r="C15" s="62" t="s">
        <v>388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389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390</v>
      </c>
    </row>
    <row r="19" spans="1:15" ht="30.75" customHeight="1" x14ac:dyDescent="0.25">
      <c r="L19" s="74"/>
    </row>
    <row r="20" spans="1:15" ht="15" customHeight="1" outlineLevel="1" x14ac:dyDescent="0.25">
      <c r="G20" s="262" t="s">
        <v>391</v>
      </c>
      <c r="H20" s="262"/>
      <c r="I20" s="262"/>
      <c r="J20" s="262"/>
      <c r="K20" s="262"/>
      <c r="L20" s="262"/>
      <c r="M20" s="262"/>
      <c r="N20" s="262"/>
    </row>
    <row r="21" spans="1:15" ht="15.75" customHeight="1" outlineLevel="1" x14ac:dyDescent="0.25">
      <c r="G21" s="75"/>
      <c r="H21" s="75" t="s">
        <v>392</v>
      </c>
      <c r="I21" s="75" t="s">
        <v>393</v>
      </c>
      <c r="J21" s="75" t="s">
        <v>394</v>
      </c>
      <c r="K21" s="76" t="s">
        <v>395</v>
      </c>
      <c r="L21" s="75" t="s">
        <v>396</v>
      </c>
      <c r="M21" s="75" t="s">
        <v>397</v>
      </c>
      <c r="N21" s="75" t="s">
        <v>398</v>
      </c>
      <c r="O21" s="69"/>
    </row>
    <row r="22" spans="1:15" ht="15.75" customHeight="1" outlineLevel="1" x14ac:dyDescent="0.25">
      <c r="G22" s="260" t="s">
        <v>399</v>
      </c>
      <c r="H22" s="259">
        <v>6.09</v>
      </c>
      <c r="I22" s="261">
        <v>6.44</v>
      </c>
      <c r="J22" s="259">
        <v>5.77</v>
      </c>
      <c r="K22" s="261">
        <v>5.77</v>
      </c>
      <c r="L22" s="259">
        <v>5.23</v>
      </c>
      <c r="M22" s="259">
        <v>5.77</v>
      </c>
      <c r="N22" s="77">
        <v>6.29</v>
      </c>
      <c r="O22" t="s">
        <v>400</v>
      </c>
    </row>
    <row r="23" spans="1:15" ht="15.75" customHeight="1" outlineLevel="1" x14ac:dyDescent="0.25">
      <c r="G23" s="260"/>
      <c r="H23" s="259"/>
      <c r="I23" s="261"/>
      <c r="J23" s="259"/>
      <c r="K23" s="261"/>
      <c r="L23" s="259"/>
      <c r="M23" s="259"/>
      <c r="N23" s="77">
        <v>6.56</v>
      </c>
      <c r="O23" t="s">
        <v>401</v>
      </c>
    </row>
    <row r="24" spans="1:15" ht="15.75" customHeight="1" outlineLevel="1" x14ac:dyDescent="0.25">
      <c r="G24" s="78" t="s">
        <v>402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376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403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404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346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281" t="s">
        <v>405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</row>
    <row r="4" spans="1:18" ht="36.75" customHeight="1" x14ac:dyDescent="0.25">
      <c r="A4" s="265" t="s">
        <v>365</v>
      </c>
      <c r="B4" s="268" t="s">
        <v>366</v>
      </c>
      <c r="C4" s="271" t="s">
        <v>406</v>
      </c>
      <c r="D4" s="271" t="s">
        <v>407</v>
      </c>
      <c r="E4" s="274" t="s">
        <v>408</v>
      </c>
      <c r="F4" s="275"/>
      <c r="G4" s="275"/>
      <c r="H4" s="275"/>
      <c r="I4" s="275"/>
      <c r="J4" s="275"/>
      <c r="K4" s="275"/>
      <c r="L4" s="275"/>
      <c r="M4" s="275"/>
      <c r="N4" s="282" t="s">
        <v>409</v>
      </c>
      <c r="O4" s="283"/>
      <c r="P4" s="283"/>
      <c r="Q4" s="283"/>
      <c r="R4" s="284"/>
    </row>
    <row r="5" spans="1:18" ht="60" customHeight="1" x14ac:dyDescent="0.25">
      <c r="A5" s="266"/>
      <c r="B5" s="269"/>
      <c r="C5" s="272"/>
      <c r="D5" s="272"/>
      <c r="E5" s="279" t="s">
        <v>410</v>
      </c>
      <c r="F5" s="279" t="s">
        <v>411</v>
      </c>
      <c r="G5" s="276" t="s">
        <v>372</v>
      </c>
      <c r="H5" s="277"/>
      <c r="I5" s="277"/>
      <c r="J5" s="278"/>
      <c r="K5" s="279" t="s">
        <v>412</v>
      </c>
      <c r="L5" s="279"/>
      <c r="M5" s="279"/>
      <c r="N5" s="80" t="s">
        <v>413</v>
      </c>
      <c r="O5" s="80" t="s">
        <v>414</v>
      </c>
      <c r="P5" s="80" t="s">
        <v>415</v>
      </c>
      <c r="Q5" s="81" t="s">
        <v>416</v>
      </c>
      <c r="R5" s="80" t="s">
        <v>417</v>
      </c>
    </row>
    <row r="6" spans="1:18" ht="49.5" customHeight="1" x14ac:dyDescent="0.25">
      <c r="A6" s="267"/>
      <c r="B6" s="270"/>
      <c r="C6" s="273"/>
      <c r="D6" s="273"/>
      <c r="E6" s="279"/>
      <c r="F6" s="279"/>
      <c r="G6" s="53" t="s">
        <v>121</v>
      </c>
      <c r="H6" s="53" t="s">
        <v>122</v>
      </c>
      <c r="I6" s="53" t="s">
        <v>43</v>
      </c>
      <c r="J6" s="53" t="s">
        <v>346</v>
      </c>
      <c r="K6" s="53" t="s">
        <v>413</v>
      </c>
      <c r="L6" s="53" t="s">
        <v>414</v>
      </c>
      <c r="M6" s="53" t="s">
        <v>415</v>
      </c>
      <c r="N6" s="53" t="s">
        <v>418</v>
      </c>
      <c r="O6" s="53" t="s">
        <v>419</v>
      </c>
      <c r="P6" s="53" t="s">
        <v>420</v>
      </c>
      <c r="Q6" s="54" t="s">
        <v>421</v>
      </c>
      <c r="R6" s="53" t="s">
        <v>422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65">
        <v>1</v>
      </c>
      <c r="B9" s="265" t="s">
        <v>423</v>
      </c>
      <c r="C9" s="285" t="s">
        <v>379</v>
      </c>
      <c r="D9" s="59" t="s">
        <v>424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267"/>
      <c r="B10" s="266"/>
      <c r="C10" s="286"/>
      <c r="D10" s="59" t="s">
        <v>425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265">
        <v>2</v>
      </c>
      <c r="B11" s="266"/>
      <c r="C11" s="285" t="s">
        <v>426</v>
      </c>
      <c r="D11" s="59" t="s">
        <v>424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267"/>
      <c r="B12" s="267"/>
      <c r="C12" s="286"/>
      <c r="D12" s="59" t="s">
        <v>425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265">
        <v>3</v>
      </c>
      <c r="B13" s="265" t="s">
        <v>381</v>
      </c>
      <c r="C13" s="287" t="s">
        <v>382</v>
      </c>
      <c r="D13" s="59" t="s">
        <v>427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267"/>
      <c r="B14" s="266"/>
      <c r="C14" s="288"/>
      <c r="D14" s="59" t="s">
        <v>425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265">
        <v>4</v>
      </c>
      <c r="B15" s="266"/>
      <c r="C15" s="289" t="s">
        <v>383</v>
      </c>
      <c r="D15" s="62" t="s">
        <v>427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267"/>
      <c r="B16" s="267"/>
      <c r="C16" s="290"/>
      <c r="D16" s="62" t="s">
        <v>425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265">
        <v>5</v>
      </c>
      <c r="B17" s="280" t="s">
        <v>384</v>
      </c>
      <c r="C17" s="285" t="s">
        <v>428</v>
      </c>
      <c r="D17" s="59" t="s">
        <v>429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267"/>
      <c r="B18" s="280"/>
      <c r="C18" s="286"/>
      <c r="D18" s="59" t="s">
        <v>425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265">
        <v>6</v>
      </c>
      <c r="B19" s="280"/>
      <c r="C19" s="285" t="s">
        <v>386</v>
      </c>
      <c r="D19" s="62" t="s">
        <v>427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267"/>
      <c r="B20" s="280"/>
      <c r="C20" s="286"/>
      <c r="D20" s="62" t="s">
        <v>425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265">
        <v>7</v>
      </c>
      <c r="B21" s="265" t="s">
        <v>387</v>
      </c>
      <c r="C21" s="285" t="s">
        <v>388</v>
      </c>
      <c r="D21" s="62" t="s">
        <v>430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267"/>
      <c r="B22" s="267"/>
      <c r="C22" s="286"/>
      <c r="D22" s="85" t="s">
        <v>425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431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291" t="s">
        <v>432</v>
      </c>
      <c r="E26" s="291"/>
      <c r="F26" s="291"/>
      <c r="G26" s="291"/>
      <c r="H26" s="291"/>
      <c r="I26" s="291"/>
      <c r="J26" s="291"/>
      <c r="K26" s="291"/>
      <c r="L26" s="74"/>
      <c r="R26" s="92"/>
    </row>
    <row r="27" spans="1:18" outlineLevel="1" x14ac:dyDescent="0.25">
      <c r="D27" s="93"/>
      <c r="E27" s="93" t="s">
        <v>392</v>
      </c>
      <c r="F27" s="93" t="s">
        <v>393</v>
      </c>
      <c r="G27" s="93" t="s">
        <v>394</v>
      </c>
      <c r="H27" s="94" t="s">
        <v>395</v>
      </c>
      <c r="I27" s="94" t="s">
        <v>396</v>
      </c>
      <c r="J27" s="94" t="s">
        <v>397</v>
      </c>
      <c r="K27" s="65" t="s">
        <v>398</v>
      </c>
    </row>
    <row r="28" spans="1:18" outlineLevel="1" x14ac:dyDescent="0.25">
      <c r="D28" s="292" t="s">
        <v>399</v>
      </c>
      <c r="E28" s="294">
        <v>6.09</v>
      </c>
      <c r="F28" s="296">
        <v>6.63</v>
      </c>
      <c r="G28" s="294">
        <v>5.77</v>
      </c>
      <c r="H28" s="298">
        <v>5.77</v>
      </c>
      <c r="I28" s="298">
        <v>6.35</v>
      </c>
      <c r="J28" s="294">
        <v>5.77</v>
      </c>
      <c r="K28" s="95">
        <v>6.29</v>
      </c>
      <c r="L28" t="s">
        <v>400</v>
      </c>
    </row>
    <row r="29" spans="1:18" outlineLevel="1" x14ac:dyDescent="0.25">
      <c r="D29" s="293"/>
      <c r="E29" s="295"/>
      <c r="F29" s="297"/>
      <c r="G29" s="295"/>
      <c r="H29" s="299"/>
      <c r="I29" s="299"/>
      <c r="J29" s="295"/>
      <c r="K29" s="95">
        <v>6.56</v>
      </c>
      <c r="L29" t="s">
        <v>401</v>
      </c>
    </row>
    <row r="30" spans="1:18" outlineLevel="1" x14ac:dyDescent="0.25">
      <c r="D30" s="96" t="s">
        <v>402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292" t="s">
        <v>376</v>
      </c>
      <c r="E31" s="294">
        <v>11.37</v>
      </c>
      <c r="F31" s="296">
        <v>13.56</v>
      </c>
      <c r="G31" s="294">
        <v>15.91</v>
      </c>
      <c r="H31" s="298">
        <v>15.91</v>
      </c>
      <c r="I31" s="298">
        <v>14.03</v>
      </c>
      <c r="J31" s="294">
        <v>15.91</v>
      </c>
      <c r="K31" s="95">
        <v>8.2899999999999991</v>
      </c>
      <c r="L31" t="s">
        <v>400</v>
      </c>
    </row>
    <row r="32" spans="1:18" outlineLevel="1" x14ac:dyDescent="0.25">
      <c r="D32" s="293"/>
      <c r="E32" s="295"/>
      <c r="F32" s="297"/>
      <c r="G32" s="295"/>
      <c r="H32" s="299"/>
      <c r="I32" s="299"/>
      <c r="J32" s="295"/>
      <c r="K32" s="95">
        <v>11.84</v>
      </c>
      <c r="L32" t="s">
        <v>401</v>
      </c>
    </row>
    <row r="33" spans="4:12" ht="15" customHeight="1" outlineLevel="1" x14ac:dyDescent="0.25">
      <c r="D33" s="97" t="s">
        <v>403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433</v>
      </c>
    </row>
    <row r="34" spans="4:12" outlineLevel="1" x14ac:dyDescent="0.25">
      <c r="D34" s="97" t="s">
        <v>404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433</v>
      </c>
    </row>
    <row r="35" spans="4:12" outlineLevel="1" x14ac:dyDescent="0.25">
      <c r="D35" s="96" t="s">
        <v>346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0" t="s">
        <v>10</v>
      </c>
      <c r="B2" s="210"/>
      <c r="C2" s="210"/>
      <c r="D2" s="21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3"/>
    </row>
    <row r="5" spans="1:4" x14ac:dyDescent="0.25">
      <c r="A5" s="5"/>
      <c r="B5" s="1"/>
      <c r="C5" s="1"/>
    </row>
    <row r="6" spans="1:4" x14ac:dyDescent="0.25">
      <c r="A6" s="210" t="s">
        <v>12</v>
      </c>
      <c r="B6" s="210"/>
      <c r="C6" s="210"/>
      <c r="D6" s="21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235.42399519860584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74.131380000000007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235.42399519860584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4" t="s">
        <v>5</v>
      </c>
      <c r="B15" s="215" t="s">
        <v>15</v>
      </c>
      <c r="C15" s="215"/>
      <c r="D15" s="215"/>
    </row>
    <row r="16" spans="1:4" x14ac:dyDescent="0.25">
      <c r="A16" s="214"/>
      <c r="B16" s="214" t="s">
        <v>17</v>
      </c>
      <c r="C16" s="215" t="s">
        <v>28</v>
      </c>
      <c r="D16" s="215"/>
    </row>
    <row r="17" spans="1:4" ht="39" customHeight="1" x14ac:dyDescent="0.25">
      <c r="A17" s="214"/>
      <c r="B17" s="214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235.42399519860584</v>
      </c>
      <c r="C18" s="3">
        <f>C11</f>
        <v>0</v>
      </c>
      <c r="D18" s="3">
        <f>C12</f>
        <v>74.131380000000007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6" t="s">
        <v>29</v>
      </c>
      <c r="B2" s="216"/>
      <c r="C2" s="216"/>
      <c r="D2" s="216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3" t="s">
        <v>41</v>
      </c>
      <c r="C7" s="11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2"/>
  <sheetViews>
    <sheetView view="pageBreakPreview" topLeftCell="A13" zoomScale="55" zoomScaleNormal="55" workbookViewId="0">
      <selection activeCell="A28" sqref="A28:XFD32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58.7109375" style="117" customWidth="1"/>
    <col min="5" max="5" width="37.42578125" style="117" customWidth="1"/>
    <col min="6" max="6" width="9.140625" style="117"/>
  </cols>
  <sheetData>
    <row r="3" spans="2:5" x14ac:dyDescent="0.25">
      <c r="B3" s="217" t="s">
        <v>45</v>
      </c>
      <c r="C3" s="217"/>
      <c r="D3" s="217"/>
    </row>
    <row r="4" spans="2:5" x14ac:dyDescent="0.25">
      <c r="B4" s="218" t="s">
        <v>46</v>
      </c>
      <c r="C4" s="218"/>
      <c r="D4" s="218"/>
    </row>
    <row r="5" spans="2:5" x14ac:dyDescent="0.25">
      <c r="B5" s="144"/>
      <c r="C5" s="144"/>
      <c r="D5" s="144"/>
    </row>
    <row r="6" spans="2:5" x14ac:dyDescent="0.25">
      <c r="B6" s="144"/>
      <c r="C6" s="144"/>
      <c r="D6" s="144"/>
    </row>
    <row r="7" spans="2:5" ht="42.75" customHeight="1" x14ac:dyDescent="0.25">
      <c r="B7" s="219" t="s">
        <v>47</v>
      </c>
      <c r="C7" s="219"/>
      <c r="D7" s="219"/>
      <c r="E7" s="143"/>
    </row>
    <row r="8" spans="2:5" ht="31.5" customHeight="1" x14ac:dyDescent="0.25">
      <c r="B8" s="219" t="s">
        <v>48</v>
      </c>
      <c r="C8" s="219"/>
      <c r="D8" s="219"/>
    </row>
    <row r="9" spans="2:5" x14ac:dyDescent="0.25">
      <c r="B9" s="219" t="s">
        <v>49</v>
      </c>
      <c r="C9" s="219"/>
      <c r="D9" s="219"/>
      <c r="E9" s="143"/>
    </row>
    <row r="10" spans="2:5" x14ac:dyDescent="0.25">
      <c r="B10" s="137"/>
    </row>
    <row r="11" spans="2:5" x14ac:dyDescent="0.25">
      <c r="B11" s="121" t="s">
        <v>33</v>
      </c>
      <c r="C11" s="121" t="s">
        <v>50</v>
      </c>
      <c r="D11" s="125" t="s">
        <v>51</v>
      </c>
      <c r="E11" s="143"/>
    </row>
    <row r="12" spans="2:5" ht="97.5" customHeight="1" x14ac:dyDescent="0.25">
      <c r="B12" s="121">
        <v>1</v>
      </c>
      <c r="C12" s="125" t="s">
        <v>52</v>
      </c>
      <c r="D12" s="121" t="s">
        <v>53</v>
      </c>
    </row>
    <row r="13" spans="2:5" ht="31.5" customHeight="1" x14ac:dyDescent="0.25">
      <c r="B13" s="121">
        <v>2</v>
      </c>
      <c r="C13" s="125" t="s">
        <v>54</v>
      </c>
      <c r="D13" s="121" t="s">
        <v>55</v>
      </c>
    </row>
    <row r="14" spans="2:5" x14ac:dyDescent="0.25">
      <c r="B14" s="121">
        <v>3</v>
      </c>
      <c r="C14" s="125" t="s">
        <v>56</v>
      </c>
      <c r="D14" s="121" t="s">
        <v>57</v>
      </c>
    </row>
    <row r="15" spans="2:5" x14ac:dyDescent="0.25">
      <c r="B15" s="121">
        <v>4</v>
      </c>
      <c r="C15" s="125" t="s">
        <v>58</v>
      </c>
      <c r="D15" s="121">
        <v>9</v>
      </c>
    </row>
    <row r="16" spans="2:5" ht="106.5" customHeight="1" x14ac:dyDescent="0.25">
      <c r="B16" s="121">
        <v>5</v>
      </c>
      <c r="C16" s="115" t="s">
        <v>59</v>
      </c>
      <c r="D16" s="121" t="s">
        <v>60</v>
      </c>
    </row>
    <row r="17" spans="1:6" ht="78.75" customHeight="1" x14ac:dyDescent="0.25">
      <c r="B17" s="121">
        <v>6</v>
      </c>
      <c r="C17" s="176" t="s">
        <v>61</v>
      </c>
      <c r="D17" s="177">
        <f>'Прил.2 Расч стоим'!J12</f>
        <v>5054.3048600000002</v>
      </c>
      <c r="E17" s="141"/>
    </row>
    <row r="18" spans="1:6" x14ac:dyDescent="0.25">
      <c r="B18" s="142" t="s">
        <v>62</v>
      </c>
      <c r="C18" s="178" t="s">
        <v>63</v>
      </c>
      <c r="D18" s="177">
        <f>'Прил.2 Расч стоим'!F14</f>
        <v>954.96155899999997</v>
      </c>
    </row>
    <row r="19" spans="1:6" ht="15.75" customHeight="1" x14ac:dyDescent="0.25">
      <c r="B19" s="142" t="s">
        <v>64</v>
      </c>
      <c r="C19" s="178" t="s">
        <v>65</v>
      </c>
      <c r="D19" s="177">
        <f>'Прил.2 Расч стоим'!H13</f>
        <v>3062.7403399999998</v>
      </c>
    </row>
    <row r="20" spans="1:6" ht="16.5" customHeight="1" x14ac:dyDescent="0.25">
      <c r="B20" s="142" t="s">
        <v>66</v>
      </c>
      <c r="C20" s="178" t="s">
        <v>67</v>
      </c>
      <c r="D20" s="177">
        <f>D19*0.07*0.8</f>
        <v>171.51345903999999</v>
      </c>
    </row>
    <row r="21" spans="1:6" ht="35.25" customHeight="1" x14ac:dyDescent="0.25">
      <c r="B21" s="142" t="s">
        <v>68</v>
      </c>
      <c r="C21" s="179" t="s">
        <v>69</v>
      </c>
      <c r="D21" s="177">
        <f>D17-D18-D19-D20</f>
        <v>865.08950196000001</v>
      </c>
    </row>
    <row r="22" spans="1:6" x14ac:dyDescent="0.25">
      <c r="B22" s="121">
        <v>7</v>
      </c>
      <c r="C22" s="179" t="s">
        <v>70</v>
      </c>
      <c r="D22" s="180" t="s">
        <v>71</v>
      </c>
      <c r="E22" s="141"/>
    </row>
    <row r="23" spans="1:6" ht="123" customHeight="1" x14ac:dyDescent="0.25">
      <c r="B23" s="121">
        <v>8</v>
      </c>
      <c r="C23" s="181" t="s">
        <v>72</v>
      </c>
      <c r="D23" s="177">
        <f>D17</f>
        <v>5054.3048600000002</v>
      </c>
    </row>
    <row r="24" spans="1:6" ht="60.75" customHeight="1" x14ac:dyDescent="0.25">
      <c r="B24" s="121">
        <v>9</v>
      </c>
      <c r="C24" s="176" t="s">
        <v>73</v>
      </c>
      <c r="D24" s="177">
        <f>D23/D15</f>
        <v>561.58942888888998</v>
      </c>
      <c r="E24" s="141"/>
    </row>
    <row r="25" spans="1:6" ht="42" customHeight="1" x14ac:dyDescent="0.25">
      <c r="B25" s="121">
        <v>10</v>
      </c>
      <c r="C25" s="178" t="s">
        <v>74</v>
      </c>
      <c r="D25" s="180"/>
    </row>
    <row r="26" spans="1:6" x14ac:dyDescent="0.25">
      <c r="B26" s="140"/>
      <c r="C26" s="139"/>
      <c r="D26" s="139"/>
    </row>
    <row r="27" spans="1:6" ht="37.5" customHeight="1" x14ac:dyDescent="0.25">
      <c r="B27" s="138"/>
    </row>
    <row r="28" spans="1:6" ht="15" x14ac:dyDescent="0.25">
      <c r="A28"/>
      <c r="B28" s="182" t="s">
        <v>434</v>
      </c>
      <c r="C28" s="188"/>
      <c r="D28"/>
      <c r="E28"/>
      <c r="F28"/>
    </row>
    <row r="29" spans="1:6" ht="15" x14ac:dyDescent="0.25">
      <c r="A29"/>
      <c r="B29" s="187" t="s">
        <v>75</v>
      </c>
      <c r="C29" s="188"/>
      <c r="D29"/>
      <c r="E29"/>
      <c r="F29"/>
    </row>
    <row r="30" spans="1:6" ht="15" x14ac:dyDescent="0.25">
      <c r="A30"/>
      <c r="B30" s="182"/>
      <c r="C30" s="188"/>
      <c r="D30"/>
      <c r="E30"/>
      <c r="F30"/>
    </row>
    <row r="31" spans="1:6" ht="15" x14ac:dyDescent="0.25">
      <c r="A31"/>
      <c r="B31" s="182" t="s">
        <v>268</v>
      </c>
      <c r="C31" s="188"/>
      <c r="D31"/>
      <c r="E31"/>
      <c r="F31"/>
    </row>
    <row r="32" spans="1:6" ht="15" x14ac:dyDescent="0.25">
      <c r="A32"/>
      <c r="B32" s="187" t="s">
        <v>76</v>
      </c>
      <c r="C32" s="188"/>
      <c r="D32"/>
      <c r="E32"/>
      <c r="F32"/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16" t="s">
        <v>77</v>
      </c>
      <c r="B1" s="216"/>
      <c r="C1" s="216"/>
      <c r="D1" s="216"/>
    </row>
    <row r="2" spans="1:10" x14ac:dyDescent="0.25">
      <c r="A2" s="220" t="str">
        <f>'4.1 Отдел 1'!A10</f>
        <v>И5-05-02</v>
      </c>
      <c r="B2" s="220"/>
      <c r="C2" s="220"/>
      <c r="D2" s="220"/>
    </row>
    <row r="3" spans="1:10" x14ac:dyDescent="0.25">
      <c r="A3" s="221"/>
      <c r="B3" s="221"/>
      <c r="C3" s="221"/>
      <c r="D3" s="221"/>
    </row>
    <row r="4" spans="1:10" ht="51.75" customHeight="1" x14ac:dyDescent="0.25">
      <c r="A4" s="213" t="e">
        <f>#REF!</f>
        <v>#REF!</v>
      </c>
      <c r="B4" s="213"/>
      <c r="C4" s="213"/>
      <c r="D4" s="213"/>
    </row>
    <row r="5" spans="1:10" ht="15" customHeight="1" x14ac:dyDescent="0.25">
      <c r="A5" s="213"/>
      <c r="B5" s="222"/>
      <c r="C5" s="222"/>
      <c r="D5" s="222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78</v>
      </c>
      <c r="B7" s="2" t="s">
        <v>79</v>
      </c>
      <c r="C7" s="2" t="s">
        <v>80</v>
      </c>
      <c r="D7" s="2" t="s">
        <v>81</v>
      </c>
    </row>
    <row r="8" spans="1:10" x14ac:dyDescent="0.25">
      <c r="A8" s="25" t="s">
        <v>82</v>
      </c>
      <c r="B8" s="26">
        <f>'Прил.5 Расчет СМР и ОБ'!G14</f>
        <v>6664.18</v>
      </c>
      <c r="C8" s="27">
        <f t="shared" ref="C8:C15" si="0">B8/$B$21</f>
        <v>4.5551718669685146E-2</v>
      </c>
      <c r="D8" s="27">
        <f t="shared" ref="D8:D15" si="1">B8/$B$35</f>
        <v>2.8307140036333327E-2</v>
      </c>
      <c r="I8" s="28"/>
      <c r="J8" s="28"/>
    </row>
    <row r="9" spans="1:10" x14ac:dyDescent="0.25">
      <c r="A9" s="25" t="s">
        <v>83</v>
      </c>
      <c r="B9" s="26">
        <f>'Прил.5 Расчет СМР и ОБ'!G21</f>
        <v>15930.31</v>
      </c>
      <c r="C9" s="27">
        <f t="shared" si="0"/>
        <v>0.10888856535100672</v>
      </c>
      <c r="D9" s="27">
        <f t="shared" si="1"/>
        <v>6.7666466991017818E-2</v>
      </c>
      <c r="I9" s="28"/>
      <c r="J9" s="28"/>
    </row>
    <row r="10" spans="1:10" x14ac:dyDescent="0.25">
      <c r="A10" s="25" t="s">
        <v>84</v>
      </c>
      <c r="B10" s="26">
        <f>'Прил.5 Расчет СМР и ОБ'!G31</f>
        <v>1707.57</v>
      </c>
      <c r="C10" s="27">
        <f t="shared" si="0"/>
        <v>1.1671765805964764E-2</v>
      </c>
      <c r="D10" s="27">
        <f t="shared" si="1"/>
        <v>7.2531688987754975E-3</v>
      </c>
      <c r="I10" s="28"/>
      <c r="J10" s="28"/>
    </row>
    <row r="11" spans="1:10" x14ac:dyDescent="0.25">
      <c r="A11" s="25" t="s">
        <v>85</v>
      </c>
      <c r="B11" s="26">
        <f>B9+B10</f>
        <v>17637.88</v>
      </c>
      <c r="C11" s="27">
        <f t="shared" si="0"/>
        <v>0.12056033115697148</v>
      </c>
      <c r="D11" s="27">
        <f t="shared" si="1"/>
        <v>7.4919635889793321E-2</v>
      </c>
      <c r="I11" s="28"/>
      <c r="J11" s="28"/>
    </row>
    <row r="12" spans="1:10" x14ac:dyDescent="0.25">
      <c r="A12" s="25" t="s">
        <v>86</v>
      </c>
      <c r="B12" s="26">
        <f>'Прил.5 Расчет СМР и ОБ'!G16</f>
        <v>4689.22</v>
      </c>
      <c r="C12" s="27">
        <f t="shared" si="0"/>
        <v>3.2052260026028859E-2</v>
      </c>
      <c r="D12" s="27">
        <f t="shared" si="1"/>
        <v>1.9918190565257086E-2</v>
      </c>
      <c r="I12" s="28"/>
      <c r="J12" s="28"/>
    </row>
    <row r="13" spans="1:10" x14ac:dyDescent="0.25">
      <c r="A13" s="25" t="s">
        <v>87</v>
      </c>
      <c r="B13" s="26">
        <f>'Прил.5 Расчет СМР и ОБ'!G43</f>
        <v>92491.43</v>
      </c>
      <c r="C13" s="27">
        <f t="shared" si="0"/>
        <v>0.63220735315025645</v>
      </c>
      <c r="D13" s="27">
        <f t="shared" si="1"/>
        <v>0.39287172032729023</v>
      </c>
      <c r="I13" s="28"/>
      <c r="J13" s="28"/>
    </row>
    <row r="14" spans="1:10" x14ac:dyDescent="0.25">
      <c r="A14" s="25" t="s">
        <v>88</v>
      </c>
      <c r="B14" s="26">
        <f>'Прил.5 Расчет СМР и ОБ'!G61</f>
        <v>12739.189999999999</v>
      </c>
      <c r="C14" s="27">
        <f t="shared" si="0"/>
        <v>8.7076279296127393E-2</v>
      </c>
      <c r="D14" s="27">
        <f t="shared" si="1"/>
        <v>5.4111688951897621E-2</v>
      </c>
      <c r="I14" s="28"/>
      <c r="J14" s="28"/>
    </row>
    <row r="15" spans="1:10" x14ac:dyDescent="0.25">
      <c r="A15" s="25" t="s">
        <v>89</v>
      </c>
      <c r="B15" s="26">
        <f>B13+B14</f>
        <v>105230.62</v>
      </c>
      <c r="C15" s="27">
        <f t="shared" si="0"/>
        <v>0.71928363244638394</v>
      </c>
      <c r="D15" s="27">
        <f t="shared" si="1"/>
        <v>0.44698340927918789</v>
      </c>
      <c r="I15" s="28"/>
      <c r="J15" s="28"/>
    </row>
    <row r="16" spans="1:10" x14ac:dyDescent="0.25">
      <c r="A16" s="25" t="s">
        <v>90</v>
      </c>
      <c r="B16" s="26">
        <f>B8+B11+B15</f>
        <v>129532.68</v>
      </c>
      <c r="C16" s="27"/>
      <c r="D16" s="27"/>
      <c r="I16" s="28"/>
      <c r="J16" s="28"/>
    </row>
    <row r="17" spans="1:10" x14ac:dyDescent="0.25">
      <c r="A17" s="25" t="s">
        <v>91</v>
      </c>
      <c r="B17" s="26">
        <f>'Прил.5 Расчет СМР и ОБ'!G65</f>
        <v>5931.03</v>
      </c>
      <c r="C17" s="27">
        <f>B17/$B$21</f>
        <v>4.0540413071294995E-2</v>
      </c>
      <c r="D17" s="27">
        <f>B17/$B$35</f>
        <v>2.5192971493821301E-2</v>
      </c>
      <c r="I17" s="28"/>
      <c r="J17" s="28"/>
    </row>
    <row r="18" spans="1:10" x14ac:dyDescent="0.25">
      <c r="A18" s="25" t="s">
        <v>92</v>
      </c>
      <c r="B18" s="29">
        <f>B17/(B8+B12)</f>
        <v>0.52240121901809145</v>
      </c>
      <c r="C18" s="27"/>
      <c r="D18" s="27"/>
      <c r="I18" s="28"/>
      <c r="J18" s="28"/>
    </row>
    <row r="19" spans="1:10" x14ac:dyDescent="0.25">
      <c r="A19" s="25" t="s">
        <v>93</v>
      </c>
      <c r="B19" s="26">
        <f>'Прил.5 Расчет СМР и ОБ'!G64</f>
        <v>10835.49</v>
      </c>
      <c r="C19" s="27">
        <f>B19/$B$21</f>
        <v>7.4063904655664564E-2</v>
      </c>
      <c r="D19" s="27">
        <f>B19/$B$35</f>
        <v>4.6025427403264825E-2</v>
      </c>
      <c r="I19" s="28"/>
      <c r="J19" s="28"/>
    </row>
    <row r="20" spans="1:10" x14ac:dyDescent="0.25">
      <c r="A20" s="25" t="s">
        <v>94</v>
      </c>
      <c r="B20" s="29">
        <f>B19/(B8+B12)</f>
        <v>0.95438282805150865</v>
      </c>
      <c r="C20" s="27"/>
      <c r="D20" s="27"/>
      <c r="J20" s="28"/>
    </row>
    <row r="21" spans="1:10" x14ac:dyDescent="0.25">
      <c r="A21" s="25" t="s">
        <v>95</v>
      </c>
      <c r="B21" s="26">
        <f>B16+B17+B19</f>
        <v>146299.19999999998</v>
      </c>
      <c r="C21" s="27">
        <f>B21/$B$21</f>
        <v>1</v>
      </c>
      <c r="D21" s="27">
        <f>B21/$B$35</f>
        <v>0.62142858410240054</v>
      </c>
      <c r="J21" s="28"/>
    </row>
    <row r="22" spans="1:10" ht="26.45" customHeight="1" x14ac:dyDescent="0.25">
      <c r="A22" s="25" t="s">
        <v>96</v>
      </c>
      <c r="B22" s="26">
        <f>'Прил.6 Расчет ОБ'!G14</f>
        <v>74131.38</v>
      </c>
      <c r="C22" s="27"/>
      <c r="D22" s="27">
        <f>B22/$B$35</f>
        <v>0.31488455515106728</v>
      </c>
      <c r="J22" s="28"/>
    </row>
    <row r="23" spans="1:10" ht="26.45" customHeight="1" x14ac:dyDescent="0.25">
      <c r="A23" s="25" t="s">
        <v>97</v>
      </c>
      <c r="B23" s="26">
        <f>'Прил.6 Расчет ОБ'!G13</f>
        <v>74131.38</v>
      </c>
      <c r="C23" s="27"/>
      <c r="D23" s="27">
        <f>B23/$B$35</f>
        <v>0.31488455515106728</v>
      </c>
      <c r="J23" s="28"/>
    </row>
    <row r="24" spans="1:10" x14ac:dyDescent="0.25">
      <c r="A24" s="25" t="s">
        <v>98</v>
      </c>
      <c r="B24" s="26">
        <f>'Прил.5 Расчет СМР и ОБ'!G67</f>
        <v>220430.58</v>
      </c>
      <c r="C24" s="27"/>
      <c r="D24" s="27">
        <f>B24/$B$35</f>
        <v>0.93631313925346793</v>
      </c>
      <c r="J24" s="28"/>
    </row>
    <row r="25" spans="1:10" ht="26.45" customHeight="1" x14ac:dyDescent="0.25">
      <c r="A25" s="25" t="s">
        <v>99</v>
      </c>
      <c r="B25" s="26"/>
      <c r="C25" s="27"/>
      <c r="D25" s="27"/>
      <c r="J25" s="28"/>
    </row>
    <row r="26" spans="1:10" x14ac:dyDescent="0.25">
      <c r="A26" s="25" t="s">
        <v>100</v>
      </c>
      <c r="B26" s="26">
        <f>'4.7 Прил.6 Расчет Прочие'!I9*1000</f>
        <v>278.41007999999999</v>
      </c>
      <c r="C26" s="27"/>
      <c r="D26" s="27">
        <f>B26/$B$35</f>
        <v>1.1825900744107697E-3</v>
      </c>
      <c r="J26" s="28"/>
    </row>
    <row r="27" spans="1:10" x14ac:dyDescent="0.25">
      <c r="A27" s="25" t="s">
        <v>101</v>
      </c>
      <c r="B27" s="26">
        <f>'4.7 Прил.6 Расчет Прочие'!I11*1000</f>
        <v>86.950678710000005</v>
      </c>
      <c r="C27" s="27"/>
      <c r="D27" s="27">
        <f>B27/$B$35</f>
        <v>3.6933651829605397E-4</v>
      </c>
      <c r="J27" s="28"/>
    </row>
    <row r="28" spans="1:10" x14ac:dyDescent="0.25">
      <c r="A28" s="25" t="s">
        <v>102</v>
      </c>
      <c r="B28" s="26">
        <f>'4.7 Прил.6 Расчет Прочие'!I12*1000</f>
        <v>5470.4031199999999</v>
      </c>
      <c r="C28" s="27"/>
      <c r="D28" s="27">
        <f>B28/$B$35</f>
        <v>2.3236387248398861E-2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103</v>
      </c>
      <c r="B30" s="26">
        <f>'4.7 Прил.6 Расчет Прочие'!I14*1000</f>
        <v>2300.6417510043998</v>
      </c>
      <c r="C30" s="27"/>
      <c r="D30" s="27">
        <f>B30/$B$35</f>
        <v>9.7723333131933179E-3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104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105</v>
      </c>
      <c r="B33" s="26">
        <f>B24+B26+B27+B28+B30+B32</f>
        <v>228566.98562971441</v>
      </c>
      <c r="C33" s="27"/>
      <c r="D33" s="27">
        <f>B33/$B$35</f>
        <v>0.970873786407767</v>
      </c>
      <c r="J33" s="28"/>
    </row>
    <row r="34" spans="1:10" x14ac:dyDescent="0.25">
      <c r="A34" s="25" t="s">
        <v>106</v>
      </c>
      <c r="B34" s="26">
        <f>B33*3%</f>
        <v>6857.0095688914325</v>
      </c>
      <c r="C34" s="27"/>
      <c r="D34" s="27">
        <f>B34/$B$35</f>
        <v>2.9126213592233011E-2</v>
      </c>
      <c r="J34" s="28"/>
    </row>
    <row r="35" spans="1:10" x14ac:dyDescent="0.25">
      <c r="A35" s="25" t="s">
        <v>107</v>
      </c>
      <c r="B35" s="26">
        <f>B33+B34</f>
        <v>235423.99519860584</v>
      </c>
      <c r="C35" s="27"/>
      <c r="D35" s="27">
        <f>B35/$B$35</f>
        <v>1</v>
      </c>
      <c r="J35" s="28"/>
    </row>
    <row r="36" spans="1:10" x14ac:dyDescent="0.25">
      <c r="A36" s="25" t="s">
        <v>108</v>
      </c>
      <c r="B36" s="26">
        <f>B35</f>
        <v>235423.99519860584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109</v>
      </c>
      <c r="B38" s="30"/>
      <c r="C38" s="30"/>
      <c r="D38" s="30"/>
    </row>
    <row r="39" spans="1:10" x14ac:dyDescent="0.25">
      <c r="A39" s="31" t="s">
        <v>110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111</v>
      </c>
      <c r="B41" s="30"/>
      <c r="C41" s="30"/>
      <c r="D41" s="30"/>
    </row>
    <row r="42" spans="1:10" x14ac:dyDescent="0.25">
      <c r="A42" s="31" t="s">
        <v>112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6"/>
  <sheetViews>
    <sheetView view="pageBreakPreview" zoomScale="70" zoomScaleNormal="70" workbookViewId="0">
      <selection activeCell="A28" sqref="A28:XFD32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9.140625" style="117"/>
  </cols>
  <sheetData>
    <row r="3" spans="2:12" x14ac:dyDescent="0.25">
      <c r="B3" s="217" t="s">
        <v>113</v>
      </c>
      <c r="C3" s="217"/>
      <c r="D3" s="217"/>
      <c r="E3" s="217"/>
      <c r="F3" s="217"/>
      <c r="G3" s="217"/>
      <c r="H3" s="217"/>
      <c r="I3" s="217"/>
      <c r="J3" s="217"/>
      <c r="K3" s="138"/>
    </row>
    <row r="4" spans="2:12" x14ac:dyDescent="0.25">
      <c r="B4" s="218" t="s">
        <v>114</v>
      </c>
      <c r="C4" s="218"/>
      <c r="D4" s="218"/>
      <c r="E4" s="218"/>
      <c r="F4" s="218"/>
      <c r="G4" s="218"/>
      <c r="H4" s="218"/>
      <c r="I4" s="218"/>
      <c r="J4" s="218"/>
      <c r="K4" s="218"/>
    </row>
    <row r="5" spans="2:12" x14ac:dyDescent="0.25">
      <c r="B5" s="144"/>
      <c r="C5" s="144"/>
      <c r="D5" s="144"/>
      <c r="E5" s="144"/>
      <c r="F5" s="144"/>
      <c r="G5" s="144"/>
      <c r="H5" s="144"/>
      <c r="I5" s="144"/>
      <c r="J5" s="144"/>
      <c r="K5" s="144"/>
    </row>
    <row r="6" spans="2:12" ht="15.75" customHeight="1" x14ac:dyDescent="0.25">
      <c r="B6" s="225" t="s">
        <v>115</v>
      </c>
      <c r="C6" s="225"/>
      <c r="D6" s="225"/>
      <c r="E6" s="225"/>
      <c r="F6" s="225"/>
      <c r="G6" s="225"/>
      <c r="H6" s="225"/>
      <c r="I6" s="225"/>
      <c r="J6" s="225"/>
      <c r="K6" s="138"/>
      <c r="L6" s="143"/>
    </row>
    <row r="7" spans="2:12" x14ac:dyDescent="0.25">
      <c r="B7" s="219" t="str">
        <f>'Прил.1 Сравнит табл'!B9:D9</f>
        <v>Единица измерения  — 1 ед.</v>
      </c>
      <c r="C7" s="219"/>
      <c r="D7" s="219"/>
      <c r="E7" s="219"/>
      <c r="F7" s="219"/>
      <c r="G7" s="219"/>
      <c r="H7" s="219"/>
      <c r="I7" s="219"/>
      <c r="J7" s="219"/>
      <c r="K7" s="219"/>
      <c r="L7" s="143"/>
    </row>
    <row r="8" spans="2:12" x14ac:dyDescent="0.25">
      <c r="B8" s="137"/>
    </row>
    <row r="9" spans="2:12" ht="15.75" customHeight="1" x14ac:dyDescent="0.25">
      <c r="B9" s="226" t="s">
        <v>33</v>
      </c>
      <c r="C9" s="226" t="s">
        <v>116</v>
      </c>
      <c r="D9" s="226" t="s">
        <v>117</v>
      </c>
      <c r="E9" s="226"/>
      <c r="F9" s="226"/>
      <c r="G9" s="226"/>
      <c r="H9" s="226"/>
      <c r="I9" s="226"/>
      <c r="J9" s="226"/>
    </row>
    <row r="10" spans="2:12" ht="15.75" customHeight="1" x14ac:dyDescent="0.25">
      <c r="B10" s="226"/>
      <c r="C10" s="226"/>
      <c r="D10" s="226" t="s">
        <v>118</v>
      </c>
      <c r="E10" s="226" t="s">
        <v>119</v>
      </c>
      <c r="F10" s="226" t="s">
        <v>120</v>
      </c>
      <c r="G10" s="226"/>
      <c r="H10" s="226"/>
      <c r="I10" s="226"/>
      <c r="J10" s="226"/>
    </row>
    <row r="11" spans="2:12" ht="79.5" customHeight="1" x14ac:dyDescent="0.25">
      <c r="B11" s="226"/>
      <c r="C11" s="226"/>
      <c r="D11" s="226"/>
      <c r="E11" s="226"/>
      <c r="F11" s="121" t="s">
        <v>121</v>
      </c>
      <c r="G11" s="121" t="s">
        <v>122</v>
      </c>
      <c r="H11" s="121" t="s">
        <v>43</v>
      </c>
      <c r="I11" s="121" t="s">
        <v>123</v>
      </c>
      <c r="J11" s="121" t="s">
        <v>124</v>
      </c>
    </row>
    <row r="12" spans="2:12" ht="73.5" customHeight="1" x14ac:dyDescent="0.25">
      <c r="B12" s="189">
        <v>1</v>
      </c>
      <c r="C12" s="121" t="s">
        <v>60</v>
      </c>
      <c r="D12" s="206" t="s">
        <v>125</v>
      </c>
      <c r="E12" s="189" t="s">
        <v>126</v>
      </c>
      <c r="F12" s="207">
        <f>158869*6.011/1000</f>
        <v>954.96155899999997</v>
      </c>
      <c r="G12" s="207"/>
      <c r="H12" s="207">
        <f>732713*4.18/1000</f>
        <v>3062.7403399999998</v>
      </c>
      <c r="I12" s="207">
        <f>172451*6.011/1000</f>
        <v>1036.6029610000001</v>
      </c>
      <c r="J12" s="190">
        <f>SUM(F12:I12)</f>
        <v>5054.3048600000002</v>
      </c>
    </row>
    <row r="13" spans="2:12" ht="15.75" customHeight="1" x14ac:dyDescent="0.25">
      <c r="B13" s="223" t="s">
        <v>127</v>
      </c>
      <c r="C13" s="223"/>
      <c r="D13" s="223"/>
      <c r="E13" s="223"/>
      <c r="F13" s="191">
        <f>SUM(F12)</f>
        <v>954.96155899999997</v>
      </c>
      <c r="G13" s="191"/>
      <c r="H13" s="191">
        <f>SUM(H12)</f>
        <v>3062.7403399999998</v>
      </c>
      <c r="I13" s="191">
        <f>SUM(I12)</f>
        <v>1036.6029610000001</v>
      </c>
      <c r="J13" s="191">
        <f>SUM(J12)</f>
        <v>5054.3048600000002</v>
      </c>
    </row>
    <row r="14" spans="2:12" ht="28.5" customHeight="1" x14ac:dyDescent="0.25">
      <c r="B14" s="224" t="s">
        <v>128</v>
      </c>
      <c r="C14" s="224"/>
      <c r="D14" s="224"/>
      <c r="E14" s="224"/>
      <c r="F14" s="192">
        <f>F13</f>
        <v>954.96155899999997</v>
      </c>
      <c r="G14" s="192"/>
      <c r="H14" s="192">
        <f>H13</f>
        <v>3062.7403399999998</v>
      </c>
      <c r="I14" s="192">
        <f>I13</f>
        <v>1036.6029610000001</v>
      </c>
      <c r="J14" s="192">
        <f>J13</f>
        <v>5054.3048600000002</v>
      </c>
    </row>
    <row r="15" spans="2:12" x14ac:dyDescent="0.25">
      <c r="B15" s="137"/>
    </row>
    <row r="18" spans="1:12" x14ac:dyDescent="0.25">
      <c r="B18" s="145" t="s">
        <v>129</v>
      </c>
      <c r="C18" s="117" t="s">
        <v>130</v>
      </c>
    </row>
    <row r="22" spans="1:12" ht="15" x14ac:dyDescent="0.25">
      <c r="A22"/>
      <c r="B22" s="182" t="s">
        <v>434</v>
      </c>
      <c r="C22" s="188"/>
      <c r="D22"/>
      <c r="E22"/>
      <c r="F22"/>
      <c r="G22"/>
      <c r="H22"/>
      <c r="I22"/>
      <c r="J22"/>
      <c r="K22"/>
      <c r="L22"/>
    </row>
    <row r="23" spans="1:12" ht="15" x14ac:dyDescent="0.25">
      <c r="A23"/>
      <c r="B23" s="187" t="s">
        <v>75</v>
      </c>
      <c r="C23" s="188"/>
      <c r="D23"/>
      <c r="E23"/>
      <c r="F23"/>
      <c r="G23"/>
      <c r="H23"/>
      <c r="I23"/>
      <c r="J23"/>
      <c r="K23"/>
      <c r="L23"/>
    </row>
    <row r="24" spans="1:12" ht="15" x14ac:dyDescent="0.25">
      <c r="A24"/>
      <c r="B24" s="182"/>
      <c r="C24" s="188"/>
      <c r="D24"/>
      <c r="E24"/>
      <c r="F24"/>
      <c r="G24"/>
      <c r="H24"/>
      <c r="I24"/>
      <c r="J24"/>
      <c r="K24"/>
      <c r="L24"/>
    </row>
    <row r="25" spans="1:12" ht="15" x14ac:dyDescent="0.25">
      <c r="A25"/>
      <c r="B25" s="182" t="s">
        <v>268</v>
      </c>
      <c r="C25" s="188"/>
      <c r="D25"/>
      <c r="E25"/>
      <c r="F25"/>
      <c r="G25"/>
      <c r="H25"/>
      <c r="I25"/>
      <c r="J25"/>
      <c r="K25"/>
      <c r="L25"/>
    </row>
    <row r="26" spans="1:12" ht="15" x14ac:dyDescent="0.25">
      <c r="A26"/>
      <c r="B26" s="187" t="s">
        <v>76</v>
      </c>
      <c r="C26" s="188"/>
      <c r="D26"/>
      <c r="E26"/>
      <c r="F26"/>
      <c r="G26"/>
      <c r="H26"/>
      <c r="I26"/>
      <c r="J26"/>
      <c r="K26"/>
      <c r="L26"/>
    </row>
  </sheetData>
  <mergeCells count="12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view="pageBreakPreview" topLeftCell="A46" zoomScale="85" workbookViewId="0">
      <selection activeCell="D8" sqref="D8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17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</cols>
  <sheetData>
    <row r="2" spans="1:10" x14ac:dyDescent="0.25">
      <c r="A2" s="217" t="s">
        <v>131</v>
      </c>
      <c r="B2" s="217"/>
      <c r="C2" s="217"/>
      <c r="D2" s="217"/>
      <c r="E2" s="217"/>
      <c r="F2" s="217"/>
      <c r="G2" s="217"/>
      <c r="H2" s="217"/>
    </row>
    <row r="3" spans="1:10" x14ac:dyDescent="0.25">
      <c r="A3" s="218" t="s">
        <v>132</v>
      </c>
      <c r="B3" s="218"/>
      <c r="C3" s="218"/>
      <c r="D3" s="218"/>
      <c r="E3" s="218"/>
      <c r="F3" s="218"/>
      <c r="G3" s="218"/>
      <c r="H3" s="218"/>
    </row>
    <row r="4" spans="1:10" x14ac:dyDescent="0.25">
      <c r="A4" s="208"/>
      <c r="B4" s="208"/>
      <c r="C4" s="208"/>
      <c r="D4" s="208"/>
      <c r="E4" s="208"/>
      <c r="F4" s="208"/>
      <c r="G4" s="208"/>
      <c r="H4" s="208"/>
    </row>
    <row r="5" spans="1:10" x14ac:dyDescent="0.25">
      <c r="A5" s="137"/>
    </row>
    <row r="6" spans="1:10" x14ac:dyDescent="0.25">
      <c r="A6" s="225" t="s">
        <v>133</v>
      </c>
      <c r="B6" s="225"/>
      <c r="C6" s="225"/>
      <c r="D6" s="225"/>
      <c r="E6" s="225"/>
      <c r="F6" s="225"/>
      <c r="G6" s="225"/>
      <c r="H6" s="225"/>
    </row>
    <row r="7" spans="1:10" x14ac:dyDescent="0.25">
      <c r="A7" s="209"/>
      <c r="B7" s="209"/>
      <c r="C7" s="209"/>
      <c r="D7" s="209"/>
      <c r="E7" s="209"/>
      <c r="F7" s="209"/>
      <c r="G7" s="209"/>
      <c r="H7" s="209"/>
    </row>
    <row r="8" spans="1:10" x14ac:dyDescent="0.25">
      <c r="A8" s="146"/>
      <c r="B8" s="146"/>
      <c r="C8" s="146"/>
      <c r="D8" s="146"/>
      <c r="E8" s="146"/>
      <c r="F8" s="146"/>
      <c r="G8" s="146"/>
      <c r="H8" s="146"/>
    </row>
    <row r="9" spans="1:10" ht="38.25" customHeight="1" x14ac:dyDescent="0.25">
      <c r="A9" s="226" t="s">
        <v>134</v>
      </c>
      <c r="B9" s="226" t="s">
        <v>135</v>
      </c>
      <c r="C9" s="226" t="s">
        <v>136</v>
      </c>
      <c r="D9" s="226" t="s">
        <v>137</v>
      </c>
      <c r="E9" s="226" t="s">
        <v>138</v>
      </c>
      <c r="F9" s="226" t="s">
        <v>139</v>
      </c>
      <c r="G9" s="226" t="s">
        <v>79</v>
      </c>
      <c r="H9" s="226"/>
    </row>
    <row r="10" spans="1:10" ht="40.5" customHeight="1" x14ac:dyDescent="0.25">
      <c r="A10" s="226"/>
      <c r="B10" s="226"/>
      <c r="C10" s="226"/>
      <c r="D10" s="226"/>
      <c r="E10" s="226"/>
      <c r="F10" s="226"/>
      <c r="G10" s="121" t="s">
        <v>140</v>
      </c>
      <c r="H10" s="121" t="s">
        <v>141</v>
      </c>
    </row>
    <row r="11" spans="1:10" x14ac:dyDescent="0.25">
      <c r="A11" s="148">
        <v>1</v>
      </c>
      <c r="B11" s="148"/>
      <c r="C11" s="148">
        <v>2</v>
      </c>
      <c r="D11" s="148" t="s">
        <v>142</v>
      </c>
      <c r="E11" s="148">
        <v>4</v>
      </c>
      <c r="F11" s="148">
        <v>5</v>
      </c>
      <c r="G11" s="148">
        <v>6</v>
      </c>
      <c r="H11" s="148">
        <v>7</v>
      </c>
    </row>
    <row r="12" spans="1:10" s="147" customFormat="1" x14ac:dyDescent="0.25">
      <c r="A12" s="227" t="s">
        <v>143</v>
      </c>
      <c r="B12" s="228"/>
      <c r="C12" s="229"/>
      <c r="D12" s="229"/>
      <c r="E12" s="228"/>
      <c r="F12" s="195">
        <f>SUM(F13:F17)</f>
        <v>628.4840021</v>
      </c>
      <c r="G12" s="195"/>
      <c r="H12" s="195">
        <f>SUM(H13:H17)</f>
        <v>6664.18</v>
      </c>
    </row>
    <row r="13" spans="1:10" x14ac:dyDescent="0.25">
      <c r="A13" s="7">
        <v>1</v>
      </c>
      <c r="B13" s="197"/>
      <c r="C13" s="161" t="s">
        <v>144</v>
      </c>
      <c r="D13" s="25" t="s">
        <v>145</v>
      </c>
      <c r="E13" s="7" t="s">
        <v>146</v>
      </c>
      <c r="F13" s="7">
        <v>456.027624</v>
      </c>
      <c r="G13" s="196">
        <v>10.94</v>
      </c>
      <c r="H13" s="196">
        <f>ROUND(F13*G13,2)</f>
        <v>4988.9399999999996</v>
      </c>
      <c r="J13" s="117"/>
    </row>
    <row r="14" spans="1:10" x14ac:dyDescent="0.25">
      <c r="A14" s="7">
        <v>2</v>
      </c>
      <c r="B14" s="197"/>
      <c r="C14" s="161" t="s">
        <v>147</v>
      </c>
      <c r="D14" s="25" t="s">
        <v>148</v>
      </c>
      <c r="E14" s="7" t="s">
        <v>146</v>
      </c>
      <c r="F14" s="7">
        <v>120.28140260000001</v>
      </c>
      <c r="G14" s="196">
        <v>9.76</v>
      </c>
      <c r="H14" s="196">
        <f>ROUND(F14*G14,2)</f>
        <v>1173.95</v>
      </c>
      <c r="J14" s="117"/>
    </row>
    <row r="15" spans="1:10" x14ac:dyDescent="0.25">
      <c r="A15" s="7">
        <v>3</v>
      </c>
      <c r="B15" s="197"/>
      <c r="C15" s="161" t="s">
        <v>149</v>
      </c>
      <c r="D15" s="25" t="s">
        <v>150</v>
      </c>
      <c r="E15" s="7" t="s">
        <v>146</v>
      </c>
      <c r="F15" s="7">
        <v>49.44</v>
      </c>
      <c r="G15" s="196">
        <v>9.6199999999999992</v>
      </c>
      <c r="H15" s="196">
        <f>ROUND(F15*G15,2)</f>
        <v>475.61</v>
      </c>
      <c r="J15" s="117"/>
    </row>
    <row r="16" spans="1:10" x14ac:dyDescent="0.25">
      <c r="A16" s="7">
        <v>4</v>
      </c>
      <c r="B16" s="197"/>
      <c r="C16" s="161" t="s">
        <v>151</v>
      </c>
      <c r="D16" s="25" t="s">
        <v>152</v>
      </c>
      <c r="E16" s="7" t="s">
        <v>146</v>
      </c>
      <c r="F16" s="7">
        <v>2.6640000000000001</v>
      </c>
      <c r="G16" s="196">
        <v>9.4</v>
      </c>
      <c r="H16" s="196">
        <f>ROUND(F16*G16,2)</f>
        <v>25.04</v>
      </c>
      <c r="J16" s="117"/>
    </row>
    <row r="17" spans="1:11" x14ac:dyDescent="0.25">
      <c r="A17" s="7">
        <v>5</v>
      </c>
      <c r="B17" s="197"/>
      <c r="C17" s="161" t="s">
        <v>153</v>
      </c>
      <c r="D17" s="25" t="s">
        <v>154</v>
      </c>
      <c r="E17" s="7" t="s">
        <v>146</v>
      </c>
      <c r="F17" s="7">
        <v>7.0975499999999997E-2</v>
      </c>
      <c r="G17" s="196">
        <v>9.07</v>
      </c>
      <c r="H17" s="196">
        <f>ROUND(F17*G17,2)</f>
        <v>0.64</v>
      </c>
      <c r="J17" s="117"/>
    </row>
    <row r="18" spans="1:11" x14ac:dyDescent="0.25">
      <c r="A18" s="227" t="s">
        <v>155</v>
      </c>
      <c r="B18" s="228"/>
      <c r="C18" s="229"/>
      <c r="D18" s="229"/>
      <c r="E18" s="228"/>
      <c r="F18" s="193">
        <f>F19</f>
        <v>374.4189015</v>
      </c>
      <c r="G18" s="195"/>
      <c r="H18" s="195">
        <f>H19</f>
        <v>4689.22</v>
      </c>
    </row>
    <row r="19" spans="1:11" x14ac:dyDescent="0.25">
      <c r="A19" s="7">
        <v>6</v>
      </c>
      <c r="B19" s="194"/>
      <c r="C19" s="2">
        <v>2</v>
      </c>
      <c r="D19" s="25" t="s">
        <v>155</v>
      </c>
      <c r="E19" s="7" t="s">
        <v>146</v>
      </c>
      <c r="F19" s="7">
        <v>374.4189015</v>
      </c>
      <c r="G19" s="196">
        <v>0</v>
      </c>
      <c r="H19" s="196">
        <v>4689.22</v>
      </c>
      <c r="J19" s="117"/>
    </row>
    <row r="20" spans="1:11" s="147" customFormat="1" x14ac:dyDescent="0.25">
      <c r="A20" s="227" t="s">
        <v>156</v>
      </c>
      <c r="B20" s="228"/>
      <c r="C20" s="229"/>
      <c r="D20" s="229"/>
      <c r="E20" s="228"/>
      <c r="F20" s="193"/>
      <c r="G20" s="195"/>
      <c r="H20" s="195">
        <f>SUM(H21:H31)</f>
        <v>17637.88</v>
      </c>
    </row>
    <row r="21" spans="1:11" x14ac:dyDescent="0.25">
      <c r="A21" s="7">
        <v>7</v>
      </c>
      <c r="B21" s="7"/>
      <c r="C21" s="2" t="s">
        <v>157</v>
      </c>
      <c r="D21" s="25" t="s">
        <v>158</v>
      </c>
      <c r="E21" s="7" t="s">
        <v>159</v>
      </c>
      <c r="F21" s="7">
        <v>155.31375600000001</v>
      </c>
      <c r="G21" s="196">
        <v>74.239999999999995</v>
      </c>
      <c r="H21" s="196">
        <f t="shared" ref="H21:H31" si="0">ROUND(F21*G21,2)</f>
        <v>11530.49</v>
      </c>
      <c r="J21" s="149"/>
      <c r="K21" s="155"/>
    </row>
    <row r="22" spans="1:11" s="147" customFormat="1" ht="25.5" customHeight="1" x14ac:dyDescent="0.25">
      <c r="A22" s="7">
        <v>8</v>
      </c>
      <c r="B22" s="7"/>
      <c r="C22" s="2" t="s">
        <v>160</v>
      </c>
      <c r="D22" s="25" t="s">
        <v>161</v>
      </c>
      <c r="E22" s="7" t="s">
        <v>159</v>
      </c>
      <c r="F22" s="7">
        <v>38.126663999999998</v>
      </c>
      <c r="G22" s="196">
        <v>115.4</v>
      </c>
      <c r="H22" s="196">
        <f t="shared" si="0"/>
        <v>4399.82</v>
      </c>
      <c r="K22" s="155"/>
    </row>
    <row r="23" spans="1:11" x14ac:dyDescent="0.25">
      <c r="A23" s="7">
        <v>9</v>
      </c>
      <c r="B23" s="7"/>
      <c r="C23" s="2" t="s">
        <v>162</v>
      </c>
      <c r="D23" s="25" t="s">
        <v>163</v>
      </c>
      <c r="E23" s="7" t="s">
        <v>159</v>
      </c>
      <c r="F23" s="7">
        <v>11.5079134</v>
      </c>
      <c r="G23" s="196">
        <v>65.709999999999994</v>
      </c>
      <c r="H23" s="196">
        <f t="shared" si="0"/>
        <v>756.18</v>
      </c>
      <c r="K23" s="155"/>
    </row>
    <row r="24" spans="1:11" ht="25.5" customHeight="1" x14ac:dyDescent="0.25">
      <c r="A24" s="7">
        <v>10</v>
      </c>
      <c r="B24" s="7"/>
      <c r="C24" s="2" t="s">
        <v>164</v>
      </c>
      <c r="D24" s="25" t="s">
        <v>165</v>
      </c>
      <c r="E24" s="7" t="s">
        <v>159</v>
      </c>
      <c r="F24" s="7">
        <v>29.139498</v>
      </c>
      <c r="G24" s="196">
        <v>14</v>
      </c>
      <c r="H24" s="196">
        <f t="shared" si="0"/>
        <v>407.95</v>
      </c>
      <c r="K24" s="155"/>
    </row>
    <row r="25" spans="1:11" x14ac:dyDescent="0.25">
      <c r="A25" s="7">
        <v>11</v>
      </c>
      <c r="B25" s="7"/>
      <c r="C25" s="2" t="s">
        <v>166</v>
      </c>
      <c r="D25" s="25" t="s">
        <v>167</v>
      </c>
      <c r="E25" s="7" t="s">
        <v>159</v>
      </c>
      <c r="F25" s="7">
        <v>12.36</v>
      </c>
      <c r="G25" s="196">
        <v>29.6</v>
      </c>
      <c r="H25" s="196">
        <f t="shared" si="0"/>
        <v>365.86</v>
      </c>
    </row>
    <row r="26" spans="1:11" x14ac:dyDescent="0.25">
      <c r="A26" s="7">
        <v>12</v>
      </c>
      <c r="B26" s="7"/>
      <c r="C26" s="2" t="s">
        <v>168</v>
      </c>
      <c r="D26" s="25" t="s">
        <v>169</v>
      </c>
      <c r="E26" s="7" t="s">
        <v>159</v>
      </c>
      <c r="F26" s="7">
        <v>1.6531361</v>
      </c>
      <c r="G26" s="196">
        <v>89.99</v>
      </c>
      <c r="H26" s="196">
        <f t="shared" si="0"/>
        <v>148.77000000000001</v>
      </c>
    </row>
    <row r="27" spans="1:11" x14ac:dyDescent="0.25">
      <c r="A27" s="7">
        <v>13</v>
      </c>
      <c r="B27" s="7"/>
      <c r="C27" s="2" t="s">
        <v>170</v>
      </c>
      <c r="D27" s="25" t="s">
        <v>171</v>
      </c>
      <c r="E27" s="7" t="s">
        <v>159</v>
      </c>
      <c r="F27" s="7">
        <v>0.143676</v>
      </c>
      <c r="G27" s="196">
        <v>85.84</v>
      </c>
      <c r="H27" s="196">
        <f t="shared" si="0"/>
        <v>12.33</v>
      </c>
    </row>
    <row r="28" spans="1:11" ht="25.5" customHeight="1" x14ac:dyDescent="0.25">
      <c r="A28" s="7">
        <v>14</v>
      </c>
      <c r="B28" s="7"/>
      <c r="C28" s="2" t="s">
        <v>172</v>
      </c>
      <c r="D28" s="25" t="s">
        <v>173</v>
      </c>
      <c r="E28" s="7" t="s">
        <v>159</v>
      </c>
      <c r="F28" s="7">
        <v>1.4976</v>
      </c>
      <c r="G28" s="196">
        <v>8.1</v>
      </c>
      <c r="H28" s="196">
        <f t="shared" si="0"/>
        <v>12.13</v>
      </c>
    </row>
    <row r="29" spans="1:11" ht="25.5" customHeight="1" x14ac:dyDescent="0.25">
      <c r="A29" s="7">
        <v>15</v>
      </c>
      <c r="B29" s="7"/>
      <c r="C29" s="2" t="s">
        <v>174</v>
      </c>
      <c r="D29" s="25" t="s">
        <v>175</v>
      </c>
      <c r="E29" s="7" t="s">
        <v>159</v>
      </c>
      <c r="F29" s="7">
        <v>3.78</v>
      </c>
      <c r="G29" s="196">
        <v>0.9</v>
      </c>
      <c r="H29" s="196">
        <f t="shared" si="0"/>
        <v>3.4</v>
      </c>
    </row>
    <row r="30" spans="1:11" ht="25.5" customHeight="1" x14ac:dyDescent="0.25">
      <c r="A30" s="7">
        <v>16</v>
      </c>
      <c r="B30" s="7"/>
      <c r="C30" s="2" t="s">
        <v>176</v>
      </c>
      <c r="D30" s="25" t="s">
        <v>177</v>
      </c>
      <c r="E30" s="7" t="s">
        <v>159</v>
      </c>
      <c r="F30" s="7">
        <v>0.13936560000000001</v>
      </c>
      <c r="G30" s="196">
        <v>6.82</v>
      </c>
      <c r="H30" s="196">
        <f t="shared" si="0"/>
        <v>0.95</v>
      </c>
    </row>
    <row r="31" spans="1:11" ht="25.5" customHeight="1" x14ac:dyDescent="0.25">
      <c r="A31" s="7">
        <v>17</v>
      </c>
      <c r="B31" s="7"/>
      <c r="C31" s="2" t="s">
        <v>178</v>
      </c>
      <c r="D31" s="25" t="s">
        <v>179</v>
      </c>
      <c r="E31" s="7" t="s">
        <v>159</v>
      </c>
      <c r="F31" s="7">
        <v>8.6209999999999998E-4</v>
      </c>
      <c r="G31" s="196">
        <v>1.7</v>
      </c>
      <c r="H31" s="196">
        <f t="shared" si="0"/>
        <v>0</v>
      </c>
    </row>
    <row r="32" spans="1:11" ht="15.75" customHeight="1" x14ac:dyDescent="0.25">
      <c r="A32" s="227" t="s">
        <v>43</v>
      </c>
      <c r="B32" s="228"/>
      <c r="C32" s="229"/>
      <c r="D32" s="229"/>
      <c r="E32" s="228"/>
      <c r="F32" s="193"/>
      <c r="G32" s="195"/>
      <c r="H32" s="195">
        <f>H33</f>
        <v>184387.86</v>
      </c>
    </row>
    <row r="33" spans="1:10" x14ac:dyDescent="0.25">
      <c r="A33" s="7">
        <v>18</v>
      </c>
      <c r="B33" s="7"/>
      <c r="C33" s="2" t="s">
        <v>180</v>
      </c>
      <c r="D33" s="25" t="s">
        <v>181</v>
      </c>
      <c r="E33" s="7" t="s">
        <v>182</v>
      </c>
      <c r="F33" s="7">
        <v>9</v>
      </c>
      <c r="G33" s="196">
        <v>20487.54</v>
      </c>
      <c r="H33" s="196">
        <f>ROUND(F33*G33,2)</f>
        <v>184387.86</v>
      </c>
      <c r="J33" s="155"/>
    </row>
    <row r="34" spans="1:10" x14ac:dyDescent="0.25">
      <c r="A34" s="227" t="s">
        <v>183</v>
      </c>
      <c r="B34" s="228"/>
      <c r="C34" s="229"/>
      <c r="D34" s="229"/>
      <c r="E34" s="228"/>
      <c r="F34" s="193"/>
      <c r="G34" s="195"/>
      <c r="H34" s="195">
        <f>SUM(H35:H52)</f>
        <v>105230.62</v>
      </c>
    </row>
    <row r="35" spans="1:10" x14ac:dyDescent="0.25">
      <c r="A35" s="7">
        <v>19</v>
      </c>
      <c r="B35" s="7"/>
      <c r="C35" s="2" t="s">
        <v>184</v>
      </c>
      <c r="D35" s="25" t="s">
        <v>185</v>
      </c>
      <c r="E35" s="7" t="s">
        <v>186</v>
      </c>
      <c r="F35" s="7">
        <v>7.3993140000000004</v>
      </c>
      <c r="G35" s="196">
        <v>12500</v>
      </c>
      <c r="H35" s="196">
        <f t="shared" ref="H35:H52" si="1">ROUND(F35*G35,2)</f>
        <v>92491.43</v>
      </c>
      <c r="J35" s="155"/>
    </row>
    <row r="36" spans="1:10" ht="25.5" customHeight="1" x14ac:dyDescent="0.25">
      <c r="A36" s="7">
        <v>20</v>
      </c>
      <c r="B36" s="7"/>
      <c r="C36" s="2" t="s">
        <v>187</v>
      </c>
      <c r="D36" s="25" t="s">
        <v>188</v>
      </c>
      <c r="E36" s="7" t="s">
        <v>186</v>
      </c>
      <c r="F36" s="7">
        <v>0.2494934</v>
      </c>
      <c r="G36" s="196">
        <v>30090</v>
      </c>
      <c r="H36" s="196">
        <f t="shared" si="1"/>
        <v>7507.26</v>
      </c>
      <c r="J36" s="155"/>
    </row>
    <row r="37" spans="1:10" x14ac:dyDescent="0.25">
      <c r="A37" s="7">
        <v>21</v>
      </c>
      <c r="B37" s="7"/>
      <c r="C37" s="2" t="s">
        <v>189</v>
      </c>
      <c r="D37" s="25" t="s">
        <v>190</v>
      </c>
      <c r="E37" s="7" t="s">
        <v>191</v>
      </c>
      <c r="F37" s="7">
        <v>0.18</v>
      </c>
      <c r="G37" s="196">
        <v>6080</v>
      </c>
      <c r="H37" s="196">
        <f t="shared" si="1"/>
        <v>1094.4000000000001</v>
      </c>
      <c r="J37" s="155"/>
    </row>
    <row r="38" spans="1:10" ht="31.5" customHeight="1" x14ac:dyDescent="0.25">
      <c r="A38" s="7">
        <v>22</v>
      </c>
      <c r="B38" s="7"/>
      <c r="C38" s="2" t="s">
        <v>192</v>
      </c>
      <c r="D38" s="25" t="s">
        <v>193</v>
      </c>
      <c r="E38" s="7" t="s">
        <v>186</v>
      </c>
      <c r="F38" s="7">
        <v>3.1175000000000001E-2</v>
      </c>
      <c r="G38" s="196">
        <v>32758.86</v>
      </c>
      <c r="H38" s="196">
        <f t="shared" si="1"/>
        <v>1021.26</v>
      </c>
      <c r="J38" s="155"/>
    </row>
    <row r="39" spans="1:10" x14ac:dyDescent="0.25">
      <c r="A39" s="7">
        <v>23</v>
      </c>
      <c r="B39" s="7"/>
      <c r="C39" s="2" t="s">
        <v>194</v>
      </c>
      <c r="D39" s="25" t="s">
        <v>195</v>
      </c>
      <c r="E39" s="7" t="s">
        <v>186</v>
      </c>
      <c r="F39" s="7">
        <v>8.3006399999999994E-2</v>
      </c>
      <c r="G39" s="196">
        <v>10315.01</v>
      </c>
      <c r="H39" s="196">
        <f t="shared" si="1"/>
        <v>856.21</v>
      </c>
      <c r="J39" s="155"/>
    </row>
    <row r="40" spans="1:10" x14ac:dyDescent="0.25">
      <c r="A40" s="7">
        <v>24</v>
      </c>
      <c r="B40" s="7"/>
      <c r="C40" s="2" t="s">
        <v>196</v>
      </c>
      <c r="D40" s="25" t="s">
        <v>197</v>
      </c>
      <c r="E40" s="7" t="s">
        <v>198</v>
      </c>
      <c r="F40" s="7">
        <v>2.3562859999999999</v>
      </c>
      <c r="G40" s="196">
        <v>238.48</v>
      </c>
      <c r="H40" s="196">
        <f t="shared" si="1"/>
        <v>561.92999999999995</v>
      </c>
      <c r="J40" s="155"/>
    </row>
    <row r="41" spans="1:10" x14ac:dyDescent="0.25">
      <c r="A41" s="7">
        <v>25</v>
      </c>
      <c r="B41" s="7"/>
      <c r="C41" s="2" t="s">
        <v>199</v>
      </c>
      <c r="D41" s="25" t="s">
        <v>200</v>
      </c>
      <c r="E41" s="7" t="s">
        <v>198</v>
      </c>
      <c r="F41" s="7">
        <v>82.613699999999994</v>
      </c>
      <c r="G41" s="196">
        <v>6.67</v>
      </c>
      <c r="H41" s="196">
        <f t="shared" si="1"/>
        <v>551.03</v>
      </c>
      <c r="J41" s="155"/>
    </row>
    <row r="42" spans="1:10" x14ac:dyDescent="0.25">
      <c r="A42" s="7">
        <v>26</v>
      </c>
      <c r="B42" s="7"/>
      <c r="C42" s="2" t="s">
        <v>201</v>
      </c>
      <c r="D42" s="25" t="s">
        <v>202</v>
      </c>
      <c r="E42" s="7" t="s">
        <v>198</v>
      </c>
      <c r="F42" s="7">
        <v>13.5</v>
      </c>
      <c r="G42" s="196">
        <v>28.6</v>
      </c>
      <c r="H42" s="196">
        <f t="shared" si="1"/>
        <v>386.1</v>
      </c>
      <c r="J42" s="155"/>
    </row>
    <row r="43" spans="1:10" ht="31.5" customHeight="1" x14ac:dyDescent="0.25">
      <c r="A43" s="7">
        <v>27</v>
      </c>
      <c r="B43" s="7"/>
      <c r="C43" s="2" t="s">
        <v>203</v>
      </c>
      <c r="D43" s="25" t="s">
        <v>204</v>
      </c>
      <c r="E43" s="7" t="s">
        <v>186</v>
      </c>
      <c r="F43" s="7">
        <v>5.3999999999999999E-2</v>
      </c>
      <c r="G43" s="196">
        <v>5000</v>
      </c>
      <c r="H43" s="196">
        <f t="shared" si="1"/>
        <v>270</v>
      </c>
      <c r="J43" s="155"/>
    </row>
    <row r="44" spans="1:10" x14ac:dyDescent="0.25">
      <c r="A44" s="7">
        <v>28</v>
      </c>
      <c r="B44" s="7"/>
      <c r="C44" s="2" t="s">
        <v>205</v>
      </c>
      <c r="D44" s="25" t="s">
        <v>206</v>
      </c>
      <c r="E44" s="7" t="s">
        <v>198</v>
      </c>
      <c r="F44" s="7">
        <v>21.78</v>
      </c>
      <c r="G44" s="196">
        <v>9.0399999999999991</v>
      </c>
      <c r="H44" s="196">
        <f t="shared" si="1"/>
        <v>196.89</v>
      </c>
    </row>
    <row r="45" spans="1:10" x14ac:dyDescent="0.25">
      <c r="A45" s="7">
        <v>29</v>
      </c>
      <c r="B45" s="7"/>
      <c r="C45" s="2" t="s">
        <v>207</v>
      </c>
      <c r="D45" s="25" t="s">
        <v>208</v>
      </c>
      <c r="E45" s="7" t="s">
        <v>186</v>
      </c>
      <c r="F45" s="7">
        <v>1.8144E-2</v>
      </c>
      <c r="G45" s="196">
        <v>6200</v>
      </c>
      <c r="H45" s="196">
        <f t="shared" si="1"/>
        <v>112.49</v>
      </c>
    </row>
    <row r="46" spans="1:10" x14ac:dyDescent="0.25">
      <c r="A46" s="7">
        <v>30</v>
      </c>
      <c r="B46" s="7"/>
      <c r="C46" s="2" t="s">
        <v>196</v>
      </c>
      <c r="D46" s="25" t="s">
        <v>197</v>
      </c>
      <c r="E46" s="7" t="s">
        <v>198</v>
      </c>
      <c r="F46" s="7">
        <v>0.33119999999999999</v>
      </c>
      <c r="G46" s="196">
        <v>238.48</v>
      </c>
      <c r="H46" s="196">
        <f t="shared" si="1"/>
        <v>78.98</v>
      </c>
    </row>
    <row r="47" spans="1:10" x14ac:dyDescent="0.25">
      <c r="A47" s="7">
        <v>31</v>
      </c>
      <c r="B47" s="7"/>
      <c r="C47" s="2" t="s">
        <v>209</v>
      </c>
      <c r="D47" s="25" t="s">
        <v>210</v>
      </c>
      <c r="E47" s="7" t="s">
        <v>198</v>
      </c>
      <c r="F47" s="7">
        <v>1.120673</v>
      </c>
      <c r="G47" s="196">
        <v>54.99</v>
      </c>
      <c r="H47" s="196">
        <f t="shared" si="1"/>
        <v>61.63</v>
      </c>
    </row>
    <row r="48" spans="1:10" ht="31.5" customHeight="1" x14ac:dyDescent="0.25">
      <c r="A48" s="7">
        <v>32</v>
      </c>
      <c r="B48" s="7"/>
      <c r="C48" s="2" t="s">
        <v>211</v>
      </c>
      <c r="D48" s="25" t="s">
        <v>212</v>
      </c>
      <c r="E48" s="7" t="s">
        <v>186</v>
      </c>
      <c r="F48" s="7">
        <v>7.7999999999999999E-4</v>
      </c>
      <c r="G48" s="196">
        <v>17500</v>
      </c>
      <c r="H48" s="196">
        <f t="shared" si="1"/>
        <v>13.65</v>
      </c>
    </row>
    <row r="49" spans="1:9" x14ac:dyDescent="0.25">
      <c r="A49" s="7">
        <v>33</v>
      </c>
      <c r="B49" s="7"/>
      <c r="C49" s="2" t="s">
        <v>213</v>
      </c>
      <c r="D49" s="25" t="s">
        <v>214</v>
      </c>
      <c r="E49" s="7" t="s">
        <v>198</v>
      </c>
      <c r="F49" s="7">
        <v>1.0871999999999999</v>
      </c>
      <c r="G49" s="196">
        <v>10.57</v>
      </c>
      <c r="H49" s="196">
        <f t="shared" si="1"/>
        <v>11.49</v>
      </c>
    </row>
    <row r="50" spans="1:9" ht="31.5" customHeight="1" x14ac:dyDescent="0.25">
      <c r="A50" s="7">
        <v>34</v>
      </c>
      <c r="B50" s="7"/>
      <c r="C50" s="2" t="s">
        <v>215</v>
      </c>
      <c r="D50" s="25" t="s">
        <v>216</v>
      </c>
      <c r="E50" s="7" t="s">
        <v>217</v>
      </c>
      <c r="F50" s="7">
        <v>9.9811200000000007</v>
      </c>
      <c r="G50" s="196">
        <v>1</v>
      </c>
      <c r="H50" s="196">
        <f t="shared" si="1"/>
        <v>9.98</v>
      </c>
    </row>
    <row r="51" spans="1:9" ht="31.5" customHeight="1" x14ac:dyDescent="0.25">
      <c r="A51" s="7">
        <v>35</v>
      </c>
      <c r="B51" s="7"/>
      <c r="C51" s="2" t="s">
        <v>218</v>
      </c>
      <c r="D51" s="25" t="s">
        <v>219</v>
      </c>
      <c r="E51" s="7" t="s">
        <v>186</v>
      </c>
      <c r="F51" s="7">
        <v>5.7600000000000001E-4</v>
      </c>
      <c r="G51" s="196">
        <v>5763</v>
      </c>
      <c r="H51" s="196">
        <f t="shared" si="1"/>
        <v>3.32</v>
      </c>
    </row>
    <row r="52" spans="1:9" x14ac:dyDescent="0.25">
      <c r="A52" s="7">
        <v>36</v>
      </c>
      <c r="B52" s="7"/>
      <c r="C52" s="2" t="s">
        <v>220</v>
      </c>
      <c r="D52" s="25" t="s">
        <v>221</v>
      </c>
      <c r="E52" s="7" t="s">
        <v>198</v>
      </c>
      <c r="F52" s="7">
        <v>0.27298280000000003</v>
      </c>
      <c r="G52" s="196">
        <v>9.42</v>
      </c>
      <c r="H52" s="196">
        <f t="shared" si="1"/>
        <v>2.57</v>
      </c>
    </row>
    <row r="55" spans="1:9" ht="15" x14ac:dyDescent="0.25">
      <c r="A55"/>
      <c r="B55" s="182" t="s">
        <v>434</v>
      </c>
      <c r="C55" s="188"/>
      <c r="D55"/>
      <c r="E55"/>
      <c r="F55"/>
      <c r="G55"/>
      <c r="H55"/>
      <c r="I55"/>
    </row>
    <row r="56" spans="1:9" ht="15" x14ac:dyDescent="0.25">
      <c r="A56"/>
      <c r="B56" s="187" t="s">
        <v>75</v>
      </c>
      <c r="C56" s="188"/>
      <c r="D56"/>
      <c r="E56"/>
      <c r="F56"/>
      <c r="G56"/>
      <c r="H56"/>
      <c r="I56"/>
    </row>
    <row r="57" spans="1:9" ht="15" x14ac:dyDescent="0.25">
      <c r="A57"/>
      <c r="B57" s="182"/>
      <c r="C57" s="188"/>
      <c r="D57"/>
      <c r="E57"/>
      <c r="F57"/>
      <c r="G57"/>
      <c r="H57"/>
      <c r="I57"/>
    </row>
    <row r="58" spans="1:9" ht="15" x14ac:dyDescent="0.25">
      <c r="A58"/>
      <c r="B58" s="182" t="s">
        <v>268</v>
      </c>
      <c r="C58" s="188"/>
      <c r="D58"/>
      <c r="E58"/>
      <c r="F58"/>
      <c r="G58"/>
      <c r="H58"/>
      <c r="I58"/>
    </row>
    <row r="59" spans="1:9" ht="15" x14ac:dyDescent="0.25">
      <c r="A59"/>
      <c r="B59" s="187" t="s">
        <v>76</v>
      </c>
      <c r="C59" s="188"/>
      <c r="D59"/>
      <c r="E59"/>
      <c r="F59"/>
      <c r="G59"/>
      <c r="H59"/>
      <c r="I59"/>
    </row>
  </sheetData>
  <mergeCells count="15">
    <mergeCell ref="A18:E18"/>
    <mergeCell ref="A34:E34"/>
    <mergeCell ref="A12:E12"/>
    <mergeCell ref="A20:E20"/>
    <mergeCell ref="A2:H2"/>
    <mergeCell ref="A3:H3"/>
    <mergeCell ref="A6:H6"/>
    <mergeCell ref="A9:A10"/>
    <mergeCell ref="B9:B10"/>
    <mergeCell ref="C9:C10"/>
    <mergeCell ref="D9:D10"/>
    <mergeCell ref="E9:E10"/>
    <mergeCell ref="F9:F10"/>
    <mergeCell ref="G9:H9"/>
    <mergeCell ref="A32:E32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rowBreaks count="1" manualBreakCount="1">
    <brk id="52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4" workbookViewId="0">
      <selection activeCell="A28" sqref="A28:XFD3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222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0" t="s">
        <v>77</v>
      </c>
      <c r="C5" s="210"/>
      <c r="D5" s="210"/>
      <c r="E5" s="210"/>
    </row>
    <row r="6" spans="2:5" x14ac:dyDescent="0.25">
      <c r="B6" s="154"/>
      <c r="C6" s="4"/>
      <c r="D6" s="4"/>
      <c r="E6" s="4"/>
    </row>
    <row r="7" spans="2:5" ht="25.5" customHeight="1" x14ac:dyDescent="0.25">
      <c r="B7" s="222" t="s">
        <v>47</v>
      </c>
      <c r="C7" s="222"/>
      <c r="D7" s="222"/>
      <c r="E7" s="222"/>
    </row>
    <row r="8" spans="2:5" x14ac:dyDescent="0.25">
      <c r="B8" s="230" t="s">
        <v>49</v>
      </c>
      <c r="C8" s="230"/>
      <c r="D8" s="230"/>
      <c r="E8" s="230"/>
    </row>
    <row r="9" spans="2:5" x14ac:dyDescent="0.25">
      <c r="B9" s="154"/>
      <c r="C9" s="4"/>
      <c r="D9" s="4"/>
      <c r="E9" s="4"/>
    </row>
    <row r="10" spans="2:5" ht="51" customHeight="1" x14ac:dyDescent="0.25">
      <c r="B10" s="2" t="s">
        <v>78</v>
      </c>
      <c r="C10" s="2" t="s">
        <v>223</v>
      </c>
      <c r="D10" s="2" t="s">
        <v>224</v>
      </c>
      <c r="E10" s="2" t="s">
        <v>225</v>
      </c>
    </row>
    <row r="11" spans="2:5" x14ac:dyDescent="0.25">
      <c r="B11" s="25" t="s">
        <v>82</v>
      </c>
      <c r="C11" s="151">
        <f>'Прил.5 Расчет СМР и ОБ'!J14</f>
        <v>307340.76</v>
      </c>
      <c r="D11" s="27">
        <f t="shared" ref="D11:D18" si="0">C11/$C$24</f>
        <v>0.14307782764690302</v>
      </c>
      <c r="E11" s="27">
        <f t="shared" ref="E11:E18" si="1">C11/$C$40</f>
        <v>0.10528938993383781</v>
      </c>
    </row>
    <row r="12" spans="2:5" x14ac:dyDescent="0.25">
      <c r="B12" s="25" t="s">
        <v>83</v>
      </c>
      <c r="C12" s="151">
        <f>'Прил.5 Расчет СМР и ОБ'!J21</f>
        <v>214580.91999999998</v>
      </c>
      <c r="D12" s="27">
        <f t="shared" si="0"/>
        <v>9.9894891546678938E-2</v>
      </c>
      <c r="E12" s="27">
        <f t="shared" si="1"/>
        <v>7.3511545159977001E-2</v>
      </c>
    </row>
    <row r="13" spans="2:5" x14ac:dyDescent="0.25">
      <c r="B13" s="25" t="s">
        <v>84</v>
      </c>
      <c r="C13" s="151">
        <f>'Прил.5 Расчет СМР и ОБ'!J31</f>
        <v>23001.000000000007</v>
      </c>
      <c r="D13" s="27">
        <f t="shared" si="0"/>
        <v>1.0707766564078312E-2</v>
      </c>
      <c r="E13" s="27">
        <f t="shared" si="1"/>
        <v>7.8797269124609576E-3</v>
      </c>
    </row>
    <row r="14" spans="2:5" x14ac:dyDescent="0.25">
      <c r="B14" s="25" t="s">
        <v>85</v>
      </c>
      <c r="C14" s="151">
        <f>C13+C12</f>
        <v>237581.91999999998</v>
      </c>
      <c r="D14" s="27">
        <f t="shared" si="0"/>
        <v>0.11060265811075724</v>
      </c>
      <c r="E14" s="27">
        <f t="shared" si="1"/>
        <v>8.1391272072437959E-2</v>
      </c>
    </row>
    <row r="15" spans="2:5" x14ac:dyDescent="0.25">
      <c r="B15" s="25" t="s">
        <v>86</v>
      </c>
      <c r="C15" s="151">
        <f>'Прил.5 Расчет СМР и ОБ'!J16</f>
        <v>207686.42</v>
      </c>
      <c r="D15" s="27">
        <f t="shared" si="0"/>
        <v>9.668526167945414E-2</v>
      </c>
      <c r="E15" s="27">
        <f t="shared" si="1"/>
        <v>7.1149614061417732E-2</v>
      </c>
    </row>
    <row r="16" spans="2:5" x14ac:dyDescent="0.25">
      <c r="B16" s="25" t="s">
        <v>87</v>
      </c>
      <c r="C16" s="151">
        <f>'Прил.5 Расчет СМР и ОБ'!J43</f>
        <v>743631.06</v>
      </c>
      <c r="D16" s="27">
        <f t="shared" si="0"/>
        <v>0.34618615713569456</v>
      </c>
      <c r="E16" s="27">
        <f t="shared" si="1"/>
        <v>0.25475456182008899</v>
      </c>
    </row>
    <row r="17" spans="2:7" x14ac:dyDescent="0.25">
      <c r="B17" s="25" t="s">
        <v>88</v>
      </c>
      <c r="C17" s="151">
        <f>'Прил.5 Расчет СМР и ОБ'!J61</f>
        <v>102423.30999999998</v>
      </c>
      <c r="D17" s="27">
        <f t="shared" si="0"/>
        <v>4.7681617938360385E-2</v>
      </c>
      <c r="E17" s="27">
        <f t="shared" si="1"/>
        <v>3.5088374951973006E-2</v>
      </c>
      <c r="G17" s="153"/>
    </row>
    <row r="18" spans="2:7" x14ac:dyDescent="0.25">
      <c r="B18" s="25" t="s">
        <v>89</v>
      </c>
      <c r="C18" s="151">
        <f>C17+C16</f>
        <v>846054.37</v>
      </c>
      <c r="D18" s="27">
        <f t="shared" si="0"/>
        <v>0.39386777507405496</v>
      </c>
      <c r="E18" s="27">
        <f t="shared" si="1"/>
        <v>0.28984293677206202</v>
      </c>
    </row>
    <row r="19" spans="2:7" x14ac:dyDescent="0.25">
      <c r="B19" s="25" t="s">
        <v>90</v>
      </c>
      <c r="C19" s="151">
        <f>C18+C14+C11</f>
        <v>1390977.05</v>
      </c>
      <c r="D19" s="27"/>
      <c r="E19" s="25"/>
    </row>
    <row r="20" spans="2:7" x14ac:dyDescent="0.25">
      <c r="B20" s="25" t="s">
        <v>91</v>
      </c>
      <c r="C20" s="151">
        <f>ROUND(C21*(C11+C15),2)</f>
        <v>267814.13</v>
      </c>
      <c r="D20" s="27">
        <f>C20/$C$24</f>
        <v>0.12467680477378033</v>
      </c>
      <c r="E20" s="27">
        <f>C20/$C$40</f>
        <v>9.1748280844237931E-2</v>
      </c>
    </row>
    <row r="21" spans="2:7" x14ac:dyDescent="0.25">
      <c r="B21" s="25" t="s">
        <v>92</v>
      </c>
      <c r="C21" s="29">
        <f>'Прил.5 Расчет СМР и ОБ'!D65</f>
        <v>0.52</v>
      </c>
      <c r="D21" s="27"/>
      <c r="E21" s="25"/>
    </row>
    <row r="22" spans="2:7" x14ac:dyDescent="0.25">
      <c r="B22" s="25" t="s">
        <v>93</v>
      </c>
      <c r="C22" s="151">
        <f>ROUND(C23*(C11+C15),2)</f>
        <v>489275.82</v>
      </c>
      <c r="D22" s="27">
        <f>C22/$C$24</f>
        <v>0.22777493439450447</v>
      </c>
      <c r="E22" s="27">
        <f>C22/$C$40</f>
        <v>0.16761705345291084</v>
      </c>
    </row>
    <row r="23" spans="2:7" x14ac:dyDescent="0.25">
      <c r="B23" s="25" t="s">
        <v>94</v>
      </c>
      <c r="C23" s="29">
        <f>'Прил.5 Расчет СМР и ОБ'!D64</f>
        <v>0.95</v>
      </c>
      <c r="D23" s="27"/>
      <c r="E23" s="25"/>
    </row>
    <row r="24" spans="2:7" x14ac:dyDescent="0.25">
      <c r="B24" s="25" t="s">
        <v>95</v>
      </c>
      <c r="C24" s="151">
        <f>C19+C20+C22</f>
        <v>2148067</v>
      </c>
      <c r="D24" s="27">
        <f>C24/$C$24</f>
        <v>1</v>
      </c>
      <c r="E24" s="27">
        <f>C24/$C$40</f>
        <v>0.73588893307548653</v>
      </c>
    </row>
    <row r="25" spans="2:7" ht="25.5" customHeight="1" x14ac:dyDescent="0.25">
      <c r="B25" s="25" t="s">
        <v>96</v>
      </c>
      <c r="C25" s="151">
        <f>'Прил.5 Расчет СМР и ОБ'!J38</f>
        <v>464062.5</v>
      </c>
      <c r="D25" s="27"/>
      <c r="E25" s="27">
        <f>C25/$C$40</f>
        <v>0.15897942569079221</v>
      </c>
    </row>
    <row r="26" spans="2:7" ht="25.5" customHeight="1" x14ac:dyDescent="0.25">
      <c r="B26" s="25" t="s">
        <v>97</v>
      </c>
      <c r="C26" s="151">
        <f>'Прил.5 Расчет СМР и ОБ'!J39</f>
        <v>464062.5</v>
      </c>
      <c r="D26" s="27"/>
      <c r="E26" s="27">
        <f>C26/$C$40</f>
        <v>0.15897942569079221</v>
      </c>
    </row>
    <row r="27" spans="2:7" x14ac:dyDescent="0.25">
      <c r="B27" s="25" t="s">
        <v>98</v>
      </c>
      <c r="C27" s="26">
        <f>C24+C25</f>
        <v>2612129.5</v>
      </c>
      <c r="D27" s="27"/>
      <c r="E27" s="27">
        <f>C27/$C$40</f>
        <v>0.89486835876627879</v>
      </c>
    </row>
    <row r="28" spans="2:7" ht="33" customHeight="1" x14ac:dyDescent="0.25">
      <c r="B28" s="25" t="s">
        <v>99</v>
      </c>
      <c r="C28" s="25"/>
      <c r="D28" s="25"/>
      <c r="E28" s="25"/>
      <c r="F28" s="152"/>
    </row>
    <row r="29" spans="2:7" ht="25.5" customHeight="1" x14ac:dyDescent="0.25">
      <c r="B29" s="25" t="s">
        <v>226</v>
      </c>
      <c r="C29" s="26">
        <f>ROUND(C24*3.9%,2)</f>
        <v>83774.61</v>
      </c>
      <c r="D29" s="25"/>
      <c r="E29" s="27">
        <f t="shared" ref="E29:E38" si="2">C29/$C$40</f>
        <v>2.8699667362198193E-2</v>
      </c>
    </row>
    <row r="30" spans="2:7" ht="38.25" customHeight="1" x14ac:dyDescent="0.25">
      <c r="B30" s="25" t="s">
        <v>227</v>
      </c>
      <c r="C30" s="26">
        <f>ROUND((C24+C29)*2.1%,2)</f>
        <v>46868.67</v>
      </c>
      <c r="D30" s="25"/>
      <c r="E30" s="27">
        <f t="shared" si="2"/>
        <v>1.6056359303954236E-2</v>
      </c>
      <c r="F30" s="152"/>
    </row>
    <row r="31" spans="2:7" x14ac:dyDescent="0.25">
      <c r="B31" s="25" t="s">
        <v>228</v>
      </c>
      <c r="C31" s="26">
        <f>2935.36*9</f>
        <v>26418.240000000002</v>
      </c>
      <c r="D31" s="25"/>
      <c r="E31" s="27">
        <f t="shared" si="2"/>
        <v>9.0504115780988877E-3</v>
      </c>
    </row>
    <row r="32" spans="2:7" ht="25.5" customHeight="1" x14ac:dyDescent="0.25">
      <c r="B32" s="25" t="s">
        <v>229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230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231</v>
      </c>
      <c r="C34" s="26">
        <f>ROUND(C27*0,2)</f>
        <v>0</v>
      </c>
      <c r="D34" s="25"/>
      <c r="E34" s="27">
        <f t="shared" si="2"/>
        <v>0</v>
      </c>
      <c r="H34" s="157"/>
    </row>
    <row r="35" spans="2:12" ht="76.5" customHeight="1" x14ac:dyDescent="0.25">
      <c r="B35" s="25" t="s">
        <v>232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233</v>
      </c>
      <c r="C36" s="26">
        <f>ROUND((C27+C32+C33+C34+C35+C29+C31+C30)*2.14%,2)</f>
        <v>59260.69</v>
      </c>
      <c r="D36" s="25"/>
      <c r="E36" s="27">
        <f t="shared" si="2"/>
        <v>2.0301641400113292E-2</v>
      </c>
      <c r="G36" s="199"/>
      <c r="L36" s="152"/>
    </row>
    <row r="37" spans="2:12" x14ac:dyDescent="0.25">
      <c r="B37" s="25" t="s">
        <v>234</v>
      </c>
      <c r="C37" s="26">
        <f>ROUND((C27+C32+C33+C34+C35+C29+C31+C30)*0.2%,2)</f>
        <v>5538.38</v>
      </c>
      <c r="D37" s="25"/>
      <c r="E37" s="27">
        <f t="shared" si="2"/>
        <v>1.8973488951539283E-3</v>
      </c>
      <c r="G37" s="200"/>
      <c r="L37" s="152"/>
    </row>
    <row r="38" spans="2:12" ht="38.25" customHeight="1" x14ac:dyDescent="0.25">
      <c r="B38" s="25" t="s">
        <v>105</v>
      </c>
      <c r="C38" s="151">
        <f>C27+C32+C33+C34+C35+C29+C31+C30+C36+C37</f>
        <v>2833990.09</v>
      </c>
      <c r="D38" s="25"/>
      <c r="E38" s="27">
        <f t="shared" si="2"/>
        <v>0.97087378730579721</v>
      </c>
    </row>
    <row r="39" spans="2:12" ht="13.5" customHeight="1" x14ac:dyDescent="0.25">
      <c r="B39" s="25" t="s">
        <v>106</v>
      </c>
      <c r="C39" s="151">
        <f>ROUND(C38*3%,2)</f>
        <v>85019.7</v>
      </c>
      <c r="D39" s="25"/>
      <c r="E39" s="27">
        <f>C39/$C$38</f>
        <v>2.9999999047279662E-2</v>
      </c>
    </row>
    <row r="40" spans="2:12" x14ac:dyDescent="0.25">
      <c r="B40" s="25" t="s">
        <v>107</v>
      </c>
      <c r="C40" s="151">
        <f>C39+C38</f>
        <v>2919009.79</v>
      </c>
      <c r="D40" s="25"/>
      <c r="E40" s="27">
        <f>C40/$C$40</f>
        <v>1</v>
      </c>
    </row>
    <row r="41" spans="2:12" x14ac:dyDescent="0.25">
      <c r="B41" s="25" t="s">
        <v>108</v>
      </c>
      <c r="C41" s="151">
        <f>C40/'Прил.5 Расчет СМР и ОБ'!E68</f>
        <v>324334.42111111112</v>
      </c>
      <c r="D41" s="25"/>
      <c r="E41" s="25"/>
    </row>
    <row r="42" spans="2:12" x14ac:dyDescent="0.25">
      <c r="B42" s="150"/>
      <c r="C42" s="4"/>
      <c r="D42" s="4"/>
      <c r="E42" s="4"/>
    </row>
    <row r="43" spans="2:12" x14ac:dyDescent="0.25">
      <c r="B43" s="182" t="s">
        <v>434</v>
      </c>
      <c r="C43" s="188"/>
    </row>
    <row r="44" spans="2:12" x14ac:dyDescent="0.25">
      <c r="B44" s="187" t="s">
        <v>75</v>
      </c>
      <c r="C44" s="188"/>
    </row>
    <row r="45" spans="2:12" x14ac:dyDescent="0.25">
      <c r="B45" s="182"/>
      <c r="C45" s="188"/>
    </row>
    <row r="46" spans="2:12" x14ac:dyDescent="0.25">
      <c r="B46" s="182" t="s">
        <v>268</v>
      </c>
      <c r="C46" s="188"/>
    </row>
    <row r="47" spans="2:12" x14ac:dyDescent="0.25">
      <c r="B47" s="187" t="s">
        <v>76</v>
      </c>
      <c r="C47" s="188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4"/>
  <sheetViews>
    <sheetView tabSelected="1" view="pageBreakPreview" zoomScale="85" workbookViewId="0">
      <selection activeCell="K16" sqref="K1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31" t="s">
        <v>235</v>
      </c>
      <c r="I2" s="231"/>
      <c r="J2" s="231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0" t="s">
        <v>236</v>
      </c>
      <c r="B4" s="210"/>
      <c r="C4" s="210"/>
      <c r="D4" s="210"/>
      <c r="E4" s="210"/>
      <c r="F4" s="210"/>
      <c r="G4" s="210"/>
      <c r="H4" s="210"/>
      <c r="I4" s="210"/>
      <c r="J4" s="210"/>
    </row>
    <row r="5" spans="1:14" s="4" customFormat="1" ht="12.75" customHeight="1" x14ac:dyDescent="0.2">
      <c r="A5" s="133"/>
      <c r="B5" s="133"/>
      <c r="C5" s="34"/>
      <c r="D5" s="133"/>
      <c r="E5" s="133"/>
      <c r="F5" s="133"/>
      <c r="G5" s="133"/>
      <c r="H5" s="133"/>
      <c r="I5" s="133"/>
      <c r="J5" s="133"/>
    </row>
    <row r="6" spans="1:14" s="4" customFormat="1" ht="12.75" customHeight="1" x14ac:dyDescent="0.2">
      <c r="A6" s="136" t="s">
        <v>237</v>
      </c>
      <c r="B6" s="135"/>
      <c r="C6" s="135"/>
      <c r="D6" s="213" t="s">
        <v>238</v>
      </c>
      <c r="E6" s="213"/>
      <c r="F6" s="213"/>
      <c r="G6" s="213"/>
      <c r="H6" s="213"/>
      <c r="I6" s="213"/>
      <c r="J6" s="213"/>
    </row>
    <row r="7" spans="1:14" s="4" customFormat="1" ht="12.75" customHeight="1" x14ac:dyDescent="0.2">
      <c r="A7" s="213" t="s">
        <v>49</v>
      </c>
      <c r="B7" s="222"/>
      <c r="C7" s="222"/>
      <c r="D7" s="222"/>
      <c r="E7" s="222"/>
      <c r="F7" s="222"/>
      <c r="G7" s="222"/>
      <c r="H7" s="222"/>
      <c r="I7" s="48"/>
      <c r="J7" s="48"/>
    </row>
    <row r="8" spans="1:14" s="4" customFormat="1" ht="13.5" customHeight="1" x14ac:dyDescent="0.2">
      <c r="A8" s="213"/>
      <c r="B8" s="222"/>
      <c r="C8" s="222"/>
      <c r="D8" s="222"/>
      <c r="E8" s="222"/>
      <c r="F8" s="222"/>
      <c r="G8" s="222"/>
      <c r="H8" s="222"/>
    </row>
    <row r="9" spans="1:14" ht="27" customHeight="1" x14ac:dyDescent="0.25">
      <c r="A9" s="234" t="s">
        <v>13</v>
      </c>
      <c r="B9" s="234" t="s">
        <v>136</v>
      </c>
      <c r="C9" s="234" t="s">
        <v>78</v>
      </c>
      <c r="D9" s="234" t="s">
        <v>138</v>
      </c>
      <c r="E9" s="235" t="s">
        <v>239</v>
      </c>
      <c r="F9" s="232" t="s">
        <v>79</v>
      </c>
      <c r="G9" s="233"/>
      <c r="H9" s="235" t="s">
        <v>240</v>
      </c>
      <c r="I9" s="232" t="s">
        <v>241</v>
      </c>
      <c r="J9" s="233"/>
      <c r="M9" s="12"/>
      <c r="N9" s="12"/>
    </row>
    <row r="10" spans="1:14" ht="28.5" customHeight="1" x14ac:dyDescent="0.25">
      <c r="A10" s="234"/>
      <c r="B10" s="234"/>
      <c r="C10" s="234"/>
      <c r="D10" s="234"/>
      <c r="E10" s="236"/>
      <c r="F10" s="2" t="s">
        <v>242</v>
      </c>
      <c r="G10" s="2" t="s">
        <v>141</v>
      </c>
      <c r="H10" s="236"/>
      <c r="I10" s="2" t="s">
        <v>242</v>
      </c>
      <c r="J10" s="2" t="s">
        <v>141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59">
        <v>9</v>
      </c>
      <c r="J11" s="159">
        <v>10</v>
      </c>
      <c r="M11" s="12"/>
      <c r="N11" s="12"/>
    </row>
    <row r="12" spans="1:14" x14ac:dyDescent="0.25">
      <c r="A12" s="2"/>
      <c r="B12" s="241" t="s">
        <v>243</v>
      </c>
      <c r="C12" s="242"/>
      <c r="D12" s="234"/>
      <c r="E12" s="243"/>
      <c r="F12" s="244"/>
      <c r="G12" s="244"/>
      <c r="H12" s="245"/>
      <c r="I12" s="160"/>
      <c r="J12" s="160"/>
    </row>
    <row r="13" spans="1:14" ht="25.5" customHeight="1" x14ac:dyDescent="0.25">
      <c r="A13" s="2">
        <v>1</v>
      </c>
      <c r="B13" s="161" t="s">
        <v>244</v>
      </c>
      <c r="C13" s="8" t="s">
        <v>245</v>
      </c>
      <c r="D13" s="2" t="s">
        <v>246</v>
      </c>
      <c r="E13" s="162">
        <f>G13/F13</f>
        <v>625.7446009389671</v>
      </c>
      <c r="F13" s="32">
        <v>10.65</v>
      </c>
      <c r="G13" s="32">
        <v>6664.18</v>
      </c>
      <c r="H13" s="163">
        <f>G13/G14</f>
        <v>1</v>
      </c>
      <c r="I13" s="32">
        <f>ФОТр.тек.!E13</f>
        <v>491.16005896884002</v>
      </c>
      <c r="J13" s="32">
        <f>ROUND(I13*E13,2)</f>
        <v>307340.76</v>
      </c>
    </row>
    <row r="14" spans="1:14" s="12" customFormat="1" ht="25.5" customHeight="1" x14ac:dyDescent="0.2">
      <c r="A14" s="2"/>
      <c r="B14" s="2"/>
      <c r="C14" s="103" t="s">
        <v>247</v>
      </c>
      <c r="D14" s="2" t="s">
        <v>246</v>
      </c>
      <c r="E14" s="162">
        <f>SUM(E13:E13)</f>
        <v>625.7446009389671</v>
      </c>
      <c r="F14" s="32"/>
      <c r="G14" s="32">
        <f>SUM(G13:G13)</f>
        <v>6664.18</v>
      </c>
      <c r="H14" s="164">
        <v>1</v>
      </c>
      <c r="I14" s="160"/>
      <c r="J14" s="32">
        <f>SUM(J13:J13)</f>
        <v>307340.76</v>
      </c>
    </row>
    <row r="15" spans="1:14" s="12" customFormat="1" ht="14.25" customHeight="1" x14ac:dyDescent="0.2">
      <c r="A15" s="2"/>
      <c r="B15" s="242" t="s">
        <v>155</v>
      </c>
      <c r="C15" s="242"/>
      <c r="D15" s="234"/>
      <c r="E15" s="243"/>
      <c r="F15" s="244"/>
      <c r="G15" s="244"/>
      <c r="H15" s="245"/>
      <c r="I15" s="160"/>
      <c r="J15" s="160"/>
    </row>
    <row r="16" spans="1:14" s="12" customFormat="1" ht="14.25" customHeight="1" x14ac:dyDescent="0.2">
      <c r="A16" s="2">
        <v>2</v>
      </c>
      <c r="B16" s="2">
        <v>2</v>
      </c>
      <c r="C16" s="8" t="s">
        <v>155</v>
      </c>
      <c r="D16" s="2" t="s">
        <v>246</v>
      </c>
      <c r="E16" s="162">
        <v>374.4189015</v>
      </c>
      <c r="F16" s="32">
        <f>G16/E16</f>
        <v>12.523993797359079</v>
      </c>
      <c r="G16" s="32">
        <f>'Прил. 3'!H18</f>
        <v>4689.22</v>
      </c>
      <c r="H16" s="164">
        <v>1</v>
      </c>
      <c r="I16" s="32">
        <f>ROUND(F16*'Прил. 10'!D11,2)</f>
        <v>554.69000000000005</v>
      </c>
      <c r="J16" s="32">
        <f>ROUND(I16*E16,2)</f>
        <v>207686.42</v>
      </c>
    </row>
    <row r="17" spans="1:10" s="12" customFormat="1" ht="14.25" customHeight="1" x14ac:dyDescent="0.2">
      <c r="A17" s="2"/>
      <c r="B17" s="241" t="s">
        <v>156</v>
      </c>
      <c r="C17" s="242"/>
      <c r="D17" s="234"/>
      <c r="E17" s="243"/>
      <c r="F17" s="244"/>
      <c r="G17" s="244"/>
      <c r="H17" s="245"/>
      <c r="I17" s="160"/>
      <c r="J17" s="160"/>
    </row>
    <row r="18" spans="1:10" s="12" customFormat="1" ht="14.25" customHeight="1" x14ac:dyDescent="0.2">
      <c r="A18" s="2"/>
      <c r="B18" s="242" t="s">
        <v>248</v>
      </c>
      <c r="C18" s="242"/>
      <c r="D18" s="234"/>
      <c r="E18" s="243"/>
      <c r="F18" s="244"/>
      <c r="G18" s="244"/>
      <c r="H18" s="245"/>
      <c r="I18" s="160"/>
      <c r="J18" s="160"/>
    </row>
    <row r="19" spans="1:10" s="12" customFormat="1" ht="14.25" customHeight="1" x14ac:dyDescent="0.2">
      <c r="A19" s="2">
        <v>3</v>
      </c>
      <c r="B19" s="161" t="s">
        <v>157</v>
      </c>
      <c r="C19" s="8" t="s">
        <v>158</v>
      </c>
      <c r="D19" s="2" t="s">
        <v>159</v>
      </c>
      <c r="E19" s="162">
        <v>155.31375600000001</v>
      </c>
      <c r="F19" s="102">
        <v>74.239999999999995</v>
      </c>
      <c r="G19" s="32">
        <f>ROUND(E19*F19,2)</f>
        <v>11530.49</v>
      </c>
      <c r="H19" s="163">
        <f>G19/$G$32</f>
        <v>0.65373446241838584</v>
      </c>
      <c r="I19" s="32">
        <f>ROUND(F19*'Прил. 10'!$D$12,2)</f>
        <v>1000.01</v>
      </c>
      <c r="J19" s="32">
        <f>ROUND(I19*E19,2)</f>
        <v>155315.31</v>
      </c>
    </row>
    <row r="20" spans="1:10" s="12" customFormat="1" ht="25.5" customHeight="1" x14ac:dyDescent="0.2">
      <c r="A20" s="2">
        <v>4</v>
      </c>
      <c r="B20" s="161" t="s">
        <v>160</v>
      </c>
      <c r="C20" s="8" t="s">
        <v>161</v>
      </c>
      <c r="D20" s="2" t="s">
        <v>159</v>
      </c>
      <c r="E20" s="162">
        <v>38.126663999999998</v>
      </c>
      <c r="F20" s="102">
        <v>115.4</v>
      </c>
      <c r="G20" s="32">
        <f>ROUND(E20*F20,2)</f>
        <v>4399.82</v>
      </c>
      <c r="H20" s="163">
        <f>G20/$G$32</f>
        <v>0.24945288209240563</v>
      </c>
      <c r="I20" s="32">
        <f>ROUND(F20*'Прил. 10'!$D$12,2)</f>
        <v>1554.44</v>
      </c>
      <c r="J20" s="32">
        <f>ROUND(I20*E20,2)</f>
        <v>59265.61</v>
      </c>
    </row>
    <row r="21" spans="1:10" s="12" customFormat="1" ht="14.25" customHeight="1" x14ac:dyDescent="0.2">
      <c r="A21" s="2"/>
      <c r="B21" s="2"/>
      <c r="C21" s="8" t="s">
        <v>249</v>
      </c>
      <c r="D21" s="2"/>
      <c r="E21" s="162"/>
      <c r="F21" s="32"/>
      <c r="G21" s="32">
        <f>SUM(G19:G20)</f>
        <v>15930.31</v>
      </c>
      <c r="H21" s="164">
        <f>G21/G32</f>
        <v>0.90318734451079141</v>
      </c>
      <c r="I21" s="165"/>
      <c r="J21" s="32">
        <f>SUM(J19:J20)</f>
        <v>214580.91999999998</v>
      </c>
    </row>
    <row r="22" spans="1:10" s="12" customFormat="1" ht="25.5" customHeight="1" outlineLevel="1" x14ac:dyDescent="0.2">
      <c r="A22" s="2">
        <v>5</v>
      </c>
      <c r="B22" s="161" t="s">
        <v>162</v>
      </c>
      <c r="C22" s="8" t="s">
        <v>163</v>
      </c>
      <c r="D22" s="2" t="s">
        <v>159</v>
      </c>
      <c r="E22" s="162">
        <v>11.5079134</v>
      </c>
      <c r="F22" s="102">
        <v>65.709999999999994</v>
      </c>
      <c r="G22" s="32">
        <f t="shared" ref="G22:G30" si="0">ROUND(E22*F22,2)</f>
        <v>756.18</v>
      </c>
      <c r="H22" s="163">
        <f t="shared" ref="H22:H30" si="1">G22/$G$32</f>
        <v>4.2872499416029587E-2</v>
      </c>
      <c r="I22" s="32">
        <f>ROUND(F22*'Прил. 10'!$D$12,2)</f>
        <v>885.11</v>
      </c>
      <c r="J22" s="32">
        <f t="shared" ref="J22:J30" si="2">ROUND(I22*E22,2)</f>
        <v>10185.77</v>
      </c>
    </row>
    <row r="23" spans="1:10" s="12" customFormat="1" ht="38.25" customHeight="1" outlineLevel="1" x14ac:dyDescent="0.2">
      <c r="A23" s="2">
        <v>6</v>
      </c>
      <c r="B23" s="161" t="s">
        <v>164</v>
      </c>
      <c r="C23" s="8" t="s">
        <v>165</v>
      </c>
      <c r="D23" s="2" t="s">
        <v>159</v>
      </c>
      <c r="E23" s="162">
        <v>29.139498</v>
      </c>
      <c r="F23" s="102">
        <v>14</v>
      </c>
      <c r="G23" s="32">
        <f t="shared" si="0"/>
        <v>407.95</v>
      </c>
      <c r="H23" s="163">
        <f t="shared" si="1"/>
        <v>2.3129196932964731E-2</v>
      </c>
      <c r="I23" s="32">
        <f>ROUND(F23*'Прил. 10'!$D$12,2)</f>
        <v>188.58</v>
      </c>
      <c r="J23" s="32">
        <f t="shared" si="2"/>
        <v>5495.13</v>
      </c>
    </row>
    <row r="24" spans="1:10" s="12" customFormat="1" ht="25.5" customHeight="1" outlineLevel="1" x14ac:dyDescent="0.2">
      <c r="A24" s="2">
        <v>7</v>
      </c>
      <c r="B24" s="161" t="s">
        <v>166</v>
      </c>
      <c r="C24" s="8" t="s">
        <v>167</v>
      </c>
      <c r="D24" s="2" t="s">
        <v>159</v>
      </c>
      <c r="E24" s="162">
        <v>12.36</v>
      </c>
      <c r="F24" s="102">
        <v>29.6</v>
      </c>
      <c r="G24" s="32">
        <f t="shared" si="0"/>
        <v>365.86</v>
      </c>
      <c r="H24" s="163">
        <f t="shared" si="1"/>
        <v>2.0742855717353785E-2</v>
      </c>
      <c r="I24" s="32">
        <f>ROUND(F24*'Прил. 10'!$D$12,2)</f>
        <v>398.71</v>
      </c>
      <c r="J24" s="32">
        <f t="shared" si="2"/>
        <v>4928.0600000000004</v>
      </c>
    </row>
    <row r="25" spans="1:10" s="12" customFormat="1" ht="14.25" customHeight="1" outlineLevel="1" x14ac:dyDescent="0.2">
      <c r="A25" s="2">
        <v>8</v>
      </c>
      <c r="B25" s="161" t="s">
        <v>168</v>
      </c>
      <c r="C25" s="8" t="s">
        <v>169</v>
      </c>
      <c r="D25" s="2" t="s">
        <v>159</v>
      </c>
      <c r="E25" s="162">
        <v>1.6531361</v>
      </c>
      <c r="F25" s="102">
        <v>89.99</v>
      </c>
      <c r="G25" s="32">
        <f t="shared" si="0"/>
        <v>148.77000000000001</v>
      </c>
      <c r="H25" s="163">
        <f t="shared" si="1"/>
        <v>8.4346871619491691E-3</v>
      </c>
      <c r="I25" s="32">
        <f>ROUND(F25*'Прил. 10'!$D$12,2)</f>
        <v>1212.17</v>
      </c>
      <c r="J25" s="32">
        <f t="shared" si="2"/>
        <v>2003.88</v>
      </c>
    </row>
    <row r="26" spans="1:10" s="12" customFormat="1" ht="25.5" customHeight="1" outlineLevel="1" x14ac:dyDescent="0.2">
      <c r="A26" s="2">
        <v>9</v>
      </c>
      <c r="B26" s="161" t="s">
        <v>170</v>
      </c>
      <c r="C26" s="8" t="s">
        <v>171</v>
      </c>
      <c r="D26" s="2" t="s">
        <v>159</v>
      </c>
      <c r="E26" s="162">
        <v>0.143676</v>
      </c>
      <c r="F26" s="102">
        <v>85.84</v>
      </c>
      <c r="G26" s="32">
        <f t="shared" si="0"/>
        <v>12.33</v>
      </c>
      <c r="H26" s="163">
        <f t="shared" si="1"/>
        <v>6.9906360628374834E-4</v>
      </c>
      <c r="I26" s="32">
        <f>ROUND(F26*'Прил. 10'!$D$12,2)</f>
        <v>1156.26</v>
      </c>
      <c r="J26" s="32">
        <f t="shared" si="2"/>
        <v>166.13</v>
      </c>
    </row>
    <row r="27" spans="1:10" s="12" customFormat="1" ht="25.5" customHeight="1" outlineLevel="1" x14ac:dyDescent="0.2">
      <c r="A27" s="2">
        <v>10</v>
      </c>
      <c r="B27" s="161" t="s">
        <v>172</v>
      </c>
      <c r="C27" s="8" t="s">
        <v>173</v>
      </c>
      <c r="D27" s="2" t="s">
        <v>159</v>
      </c>
      <c r="E27" s="162">
        <v>1.4976</v>
      </c>
      <c r="F27" s="102">
        <v>8.1</v>
      </c>
      <c r="G27" s="32">
        <f t="shared" si="0"/>
        <v>12.13</v>
      </c>
      <c r="H27" s="163">
        <f t="shared" si="1"/>
        <v>6.8772437503826988E-4</v>
      </c>
      <c r="I27" s="32">
        <f>ROUND(F27*'Прил. 10'!$D$12,2)</f>
        <v>109.11</v>
      </c>
      <c r="J27" s="32">
        <f t="shared" si="2"/>
        <v>163.4</v>
      </c>
    </row>
    <row r="28" spans="1:10" s="12" customFormat="1" ht="25.5" customHeight="1" outlineLevel="1" x14ac:dyDescent="0.2">
      <c r="A28" s="2">
        <v>11</v>
      </c>
      <c r="B28" s="161" t="s">
        <v>174</v>
      </c>
      <c r="C28" s="8" t="s">
        <v>175</v>
      </c>
      <c r="D28" s="2" t="s">
        <v>159</v>
      </c>
      <c r="E28" s="162">
        <v>3.78</v>
      </c>
      <c r="F28" s="102">
        <v>0.9</v>
      </c>
      <c r="G28" s="32">
        <f t="shared" si="0"/>
        <v>3.4</v>
      </c>
      <c r="H28" s="163">
        <f t="shared" si="1"/>
        <v>1.9276693117313418E-4</v>
      </c>
      <c r="I28" s="32">
        <f>ROUND(F28*'Прил. 10'!$D$12,2)</f>
        <v>12.12</v>
      </c>
      <c r="J28" s="32">
        <f t="shared" si="2"/>
        <v>45.81</v>
      </c>
    </row>
    <row r="29" spans="1:10" s="12" customFormat="1" ht="38.25" customHeight="1" outlineLevel="1" x14ac:dyDescent="0.2">
      <c r="A29" s="2">
        <v>12</v>
      </c>
      <c r="B29" s="161" t="s">
        <v>176</v>
      </c>
      <c r="C29" s="8" t="s">
        <v>177</v>
      </c>
      <c r="D29" s="2" t="s">
        <v>159</v>
      </c>
      <c r="E29" s="162">
        <v>0.13936560000000001</v>
      </c>
      <c r="F29" s="102">
        <v>6.82</v>
      </c>
      <c r="G29" s="32">
        <f t="shared" si="0"/>
        <v>0.95</v>
      </c>
      <c r="H29" s="163">
        <f t="shared" si="1"/>
        <v>5.3861348416022783E-5</v>
      </c>
      <c r="I29" s="32">
        <f>ROUND(F29*'Прил. 10'!$D$12,2)</f>
        <v>91.87</v>
      </c>
      <c r="J29" s="32">
        <f t="shared" si="2"/>
        <v>12.8</v>
      </c>
    </row>
    <row r="30" spans="1:10" s="12" customFormat="1" ht="25.5" customHeight="1" outlineLevel="1" x14ac:dyDescent="0.2">
      <c r="A30" s="2">
        <v>13</v>
      </c>
      <c r="B30" s="161" t="s">
        <v>178</v>
      </c>
      <c r="C30" s="8" t="s">
        <v>179</v>
      </c>
      <c r="D30" s="2" t="s">
        <v>159</v>
      </c>
      <c r="E30" s="162">
        <v>8.6209999999999998E-4</v>
      </c>
      <c r="F30" s="102">
        <v>1.7</v>
      </c>
      <c r="G30" s="32">
        <f t="shared" si="0"/>
        <v>0</v>
      </c>
      <c r="H30" s="163">
        <f t="shared" si="1"/>
        <v>0</v>
      </c>
      <c r="I30" s="32">
        <f>ROUND(F30*'Прил. 10'!$D$12,2)</f>
        <v>22.9</v>
      </c>
      <c r="J30" s="32">
        <f t="shared" si="2"/>
        <v>0.02</v>
      </c>
    </row>
    <row r="31" spans="1:10" s="12" customFormat="1" ht="14.25" customHeight="1" x14ac:dyDescent="0.2">
      <c r="A31" s="2"/>
      <c r="B31" s="2"/>
      <c r="C31" s="8" t="s">
        <v>250</v>
      </c>
      <c r="D31" s="2"/>
      <c r="E31" s="158"/>
      <c r="F31" s="32"/>
      <c r="G31" s="165">
        <f>SUM(G22:G30)</f>
        <v>1707.57</v>
      </c>
      <c r="H31" s="163">
        <f>G31/G32</f>
        <v>9.6812655489208449E-2</v>
      </c>
      <c r="I31" s="32"/>
      <c r="J31" s="32">
        <f>SUM(J22:J30)</f>
        <v>23001.000000000007</v>
      </c>
    </row>
    <row r="32" spans="1:10" s="12" customFormat="1" ht="25.5" customHeight="1" x14ac:dyDescent="0.2">
      <c r="A32" s="2"/>
      <c r="B32" s="2"/>
      <c r="C32" s="103" t="s">
        <v>251</v>
      </c>
      <c r="D32" s="2"/>
      <c r="E32" s="158"/>
      <c r="F32" s="32"/>
      <c r="G32" s="32">
        <f>G31+G21</f>
        <v>17637.88</v>
      </c>
      <c r="H32" s="166">
        <v>1</v>
      </c>
      <c r="I32" s="167"/>
      <c r="J32" s="168">
        <f>J31+J21</f>
        <v>237581.91999999998</v>
      </c>
    </row>
    <row r="33" spans="1:10" s="12" customFormat="1" ht="14.25" customHeight="1" x14ac:dyDescent="0.2">
      <c r="A33" s="2"/>
      <c r="B33" s="241" t="s">
        <v>43</v>
      </c>
      <c r="C33" s="241"/>
      <c r="D33" s="246"/>
      <c r="E33" s="247"/>
      <c r="F33" s="248"/>
      <c r="G33" s="248"/>
      <c r="H33" s="249"/>
      <c r="I33" s="160"/>
      <c r="J33" s="160"/>
    </row>
    <row r="34" spans="1:10" x14ac:dyDescent="0.25">
      <c r="A34" s="2"/>
      <c r="B34" s="242" t="s">
        <v>252</v>
      </c>
      <c r="C34" s="242"/>
      <c r="D34" s="234"/>
      <c r="E34" s="243"/>
      <c r="F34" s="244"/>
      <c r="G34" s="244"/>
      <c r="H34" s="245"/>
      <c r="I34" s="160"/>
      <c r="J34" s="160"/>
    </row>
    <row r="35" spans="1:10" s="12" customFormat="1" ht="14.25" customHeight="1" x14ac:dyDescent="0.2">
      <c r="A35" s="2">
        <v>14</v>
      </c>
      <c r="B35" s="2" t="s">
        <v>253</v>
      </c>
      <c r="C35" s="8" t="s">
        <v>181</v>
      </c>
      <c r="D35" s="2" t="s">
        <v>182</v>
      </c>
      <c r="E35" s="198">
        <v>9</v>
      </c>
      <c r="F35" s="32">
        <f>ROUND(I35/'Прил. 10'!D14,2)</f>
        <v>8236.82</v>
      </c>
      <c r="G35" s="32">
        <f>ROUND(E35*F35,2)</f>
        <v>74131.38</v>
      </c>
      <c r="H35" s="163">
        <f>G35/$G$38</f>
        <v>1</v>
      </c>
      <c r="I35" s="32">
        <v>51562.5</v>
      </c>
      <c r="J35" s="32">
        <f>ROUND(I35*E35,2)</f>
        <v>464062.5</v>
      </c>
    </row>
    <row r="36" spans="1:10" x14ac:dyDescent="0.25">
      <c r="A36" s="2"/>
      <c r="B36" s="2"/>
      <c r="C36" s="8" t="s">
        <v>254</v>
      </c>
      <c r="D36" s="2"/>
      <c r="E36" s="162"/>
      <c r="F36" s="102"/>
      <c r="G36" s="32">
        <f>G35</f>
        <v>74131.38</v>
      </c>
      <c r="H36" s="163">
        <f>G36/$G$38</f>
        <v>1</v>
      </c>
      <c r="I36" s="165"/>
      <c r="J36" s="32">
        <f>J35</f>
        <v>464062.5</v>
      </c>
    </row>
    <row r="37" spans="1:10" x14ac:dyDescent="0.25">
      <c r="A37" s="2"/>
      <c r="B37" s="2"/>
      <c r="C37" s="8" t="s">
        <v>255</v>
      </c>
      <c r="D37" s="2"/>
      <c r="E37" s="162"/>
      <c r="F37" s="102"/>
      <c r="G37" s="32">
        <v>0</v>
      </c>
      <c r="H37" s="163">
        <f>G37/$G$38</f>
        <v>0</v>
      </c>
      <c r="I37" s="165"/>
      <c r="J37" s="32">
        <v>0</v>
      </c>
    </row>
    <row r="38" spans="1:10" x14ac:dyDescent="0.25">
      <c r="A38" s="2"/>
      <c r="B38" s="2"/>
      <c r="C38" s="103" t="s">
        <v>256</v>
      </c>
      <c r="D38" s="2"/>
      <c r="E38" s="158"/>
      <c r="F38" s="102"/>
      <c r="G38" s="32">
        <f>G36+G37</f>
        <v>74131.38</v>
      </c>
      <c r="H38" s="163">
        <f>G38/$G$38</f>
        <v>1</v>
      </c>
      <c r="I38" s="165"/>
      <c r="J38" s="32">
        <f>J37+J36</f>
        <v>464062.5</v>
      </c>
    </row>
    <row r="39" spans="1:10" ht="25.5" customHeight="1" x14ac:dyDescent="0.25">
      <c r="A39" s="2"/>
      <c r="B39" s="2"/>
      <c r="C39" s="8" t="s">
        <v>257</v>
      </c>
      <c r="D39" s="2"/>
      <c r="E39" s="169"/>
      <c r="F39" s="102"/>
      <c r="G39" s="32">
        <f>G38</f>
        <v>74131.38</v>
      </c>
      <c r="H39" s="164"/>
      <c r="I39" s="165"/>
      <c r="J39" s="32">
        <f>J38</f>
        <v>464062.5</v>
      </c>
    </row>
    <row r="40" spans="1:10" s="12" customFormat="1" ht="14.25" customHeight="1" x14ac:dyDescent="0.2">
      <c r="A40" s="2"/>
      <c r="B40" s="241" t="s">
        <v>183</v>
      </c>
      <c r="C40" s="241"/>
      <c r="D40" s="246"/>
      <c r="E40" s="247"/>
      <c r="F40" s="248"/>
      <c r="G40" s="248"/>
      <c r="H40" s="249"/>
      <c r="I40" s="160"/>
      <c r="J40" s="160"/>
    </row>
    <row r="41" spans="1:10" s="12" customFormat="1" ht="14.25" customHeight="1" x14ac:dyDescent="0.2">
      <c r="A41" s="159"/>
      <c r="B41" s="237" t="s">
        <v>258</v>
      </c>
      <c r="C41" s="237"/>
      <c r="D41" s="235"/>
      <c r="E41" s="238"/>
      <c r="F41" s="239"/>
      <c r="G41" s="239"/>
      <c r="H41" s="240"/>
      <c r="I41" s="170"/>
      <c r="J41" s="170"/>
    </row>
    <row r="42" spans="1:10" s="12" customFormat="1" ht="14.25" customHeight="1" x14ac:dyDescent="0.2">
      <c r="A42" s="2">
        <v>15</v>
      </c>
      <c r="B42" s="2" t="s">
        <v>184</v>
      </c>
      <c r="C42" s="8" t="s">
        <v>185</v>
      </c>
      <c r="D42" s="2" t="s">
        <v>186</v>
      </c>
      <c r="E42" s="158">
        <v>7.3993140000000004</v>
      </c>
      <c r="F42" s="32">
        <v>12500</v>
      </c>
      <c r="G42" s="32">
        <f>ROUND(E42*F42,2)</f>
        <v>92491.43</v>
      </c>
      <c r="H42" s="163">
        <f t="shared" ref="H42:H62" si="3">G42/$G$62</f>
        <v>0.87894027422816667</v>
      </c>
      <c r="I42" s="32">
        <f>ROUND(F42*'Прил. 10'!$D$13,2)</f>
        <v>100500</v>
      </c>
      <c r="J42" s="32">
        <f>ROUND(I42*E42,2)</f>
        <v>743631.06</v>
      </c>
    </row>
    <row r="43" spans="1:10" s="12" customFormat="1" ht="14.25" customHeight="1" x14ac:dyDescent="0.2">
      <c r="A43" s="171"/>
      <c r="B43" s="172"/>
      <c r="C43" s="173" t="s">
        <v>259</v>
      </c>
      <c r="D43" s="171"/>
      <c r="E43" s="174"/>
      <c r="F43" s="168"/>
      <c r="G43" s="168">
        <f>SUM(G42:G42)</f>
        <v>92491.43</v>
      </c>
      <c r="H43" s="163">
        <f t="shared" si="3"/>
        <v>0.87894027422816667</v>
      </c>
      <c r="I43" s="32"/>
      <c r="J43" s="168">
        <f>SUM(J42:J42)</f>
        <v>743631.06</v>
      </c>
    </row>
    <row r="44" spans="1:10" s="12" customFormat="1" ht="25.5" customHeight="1" outlineLevel="1" x14ac:dyDescent="0.2">
      <c r="A44" s="2">
        <v>16</v>
      </c>
      <c r="B44" s="2" t="s">
        <v>187</v>
      </c>
      <c r="C44" s="8" t="s">
        <v>188</v>
      </c>
      <c r="D44" s="2" t="s">
        <v>186</v>
      </c>
      <c r="E44" s="158">
        <v>0.2494934</v>
      </c>
      <c r="F44" s="32">
        <v>30090</v>
      </c>
      <c r="G44" s="32">
        <f t="shared" ref="G44:G60" si="4">ROUND(E44*F44,2)</f>
        <v>7507.26</v>
      </c>
      <c r="H44" s="163">
        <f t="shared" si="3"/>
        <v>7.1341022223379472E-2</v>
      </c>
      <c r="I44" s="32">
        <f>ROUND(F44*'Прил. 10'!$D$13,2)</f>
        <v>241923.6</v>
      </c>
      <c r="J44" s="32">
        <f t="shared" ref="J44:J60" si="5">ROUND(I44*E44,2)</f>
        <v>60358.34</v>
      </c>
    </row>
    <row r="45" spans="1:10" s="12" customFormat="1" ht="25.5" customHeight="1" outlineLevel="1" x14ac:dyDescent="0.2">
      <c r="A45" s="2">
        <v>17</v>
      </c>
      <c r="B45" s="2" t="s">
        <v>189</v>
      </c>
      <c r="C45" s="8" t="s">
        <v>190</v>
      </c>
      <c r="D45" s="2" t="s">
        <v>191</v>
      </c>
      <c r="E45" s="158">
        <v>0.18</v>
      </c>
      <c r="F45" s="32">
        <v>6080</v>
      </c>
      <c r="G45" s="32">
        <f t="shared" si="4"/>
        <v>1094.4000000000001</v>
      </c>
      <c r="H45" s="163">
        <f t="shared" si="3"/>
        <v>1.0400014748558929E-2</v>
      </c>
      <c r="I45" s="32">
        <f>ROUND(F45*'Прил. 10'!$D$13,2)</f>
        <v>48883.199999999997</v>
      </c>
      <c r="J45" s="32">
        <f t="shared" si="5"/>
        <v>8798.98</v>
      </c>
    </row>
    <row r="46" spans="1:10" s="12" customFormat="1" ht="25.5" customHeight="1" outlineLevel="1" x14ac:dyDescent="0.2">
      <c r="A46" s="2">
        <v>18</v>
      </c>
      <c r="B46" s="2" t="s">
        <v>192</v>
      </c>
      <c r="C46" s="8" t="s">
        <v>193</v>
      </c>
      <c r="D46" s="2" t="s">
        <v>186</v>
      </c>
      <c r="E46" s="158">
        <v>3.1175000000000001E-2</v>
      </c>
      <c r="F46" s="32">
        <v>32758.86</v>
      </c>
      <c r="G46" s="32">
        <f t="shared" si="4"/>
        <v>1021.26</v>
      </c>
      <c r="H46" s="163">
        <f t="shared" si="3"/>
        <v>9.7049699032467924E-3</v>
      </c>
      <c r="I46" s="32">
        <f>ROUND(F46*'Прил. 10'!$D$13,2)</f>
        <v>263381.23</v>
      </c>
      <c r="J46" s="32">
        <f t="shared" si="5"/>
        <v>8210.91</v>
      </c>
    </row>
    <row r="47" spans="1:10" s="12" customFormat="1" ht="14.25" customHeight="1" outlineLevel="1" x14ac:dyDescent="0.2">
      <c r="A47" s="2">
        <v>19</v>
      </c>
      <c r="B47" s="2" t="s">
        <v>194</v>
      </c>
      <c r="C47" s="8" t="s">
        <v>195</v>
      </c>
      <c r="D47" s="2" t="s">
        <v>186</v>
      </c>
      <c r="E47" s="158">
        <v>8.3006399999999994E-2</v>
      </c>
      <c r="F47" s="32">
        <v>10315.01</v>
      </c>
      <c r="G47" s="32">
        <f t="shared" si="4"/>
        <v>856.21</v>
      </c>
      <c r="H47" s="163">
        <f t="shared" si="3"/>
        <v>8.1365100766297872E-3</v>
      </c>
      <c r="I47" s="32">
        <f>ROUND(F47*'Прил. 10'!$D$13,2)</f>
        <v>82932.679999999993</v>
      </c>
      <c r="J47" s="32">
        <f t="shared" si="5"/>
        <v>6883.94</v>
      </c>
    </row>
    <row r="48" spans="1:10" s="12" customFormat="1" ht="25.5" customHeight="1" outlineLevel="1" x14ac:dyDescent="0.2">
      <c r="A48" s="2">
        <v>20</v>
      </c>
      <c r="B48" s="2" t="s">
        <v>196</v>
      </c>
      <c r="C48" s="8" t="s">
        <v>197</v>
      </c>
      <c r="D48" s="2" t="s">
        <v>198</v>
      </c>
      <c r="E48" s="158">
        <v>2.3562859999999999</v>
      </c>
      <c r="F48" s="32">
        <v>238.48</v>
      </c>
      <c r="G48" s="32">
        <f t="shared" si="4"/>
        <v>561.92999999999995</v>
      </c>
      <c r="H48" s="163">
        <f t="shared" si="3"/>
        <v>5.3399856429620961E-3</v>
      </c>
      <c r="I48" s="32">
        <f>ROUND(F48*'Прил. 10'!$D$13,2)</f>
        <v>1917.38</v>
      </c>
      <c r="J48" s="32">
        <f t="shared" si="5"/>
        <v>4517.8999999999996</v>
      </c>
    </row>
    <row r="49" spans="1:10" s="12" customFormat="1" ht="14.25" customHeight="1" outlineLevel="1" x14ac:dyDescent="0.2">
      <c r="A49" s="2">
        <v>21</v>
      </c>
      <c r="B49" s="2" t="s">
        <v>199</v>
      </c>
      <c r="C49" s="8" t="s">
        <v>200</v>
      </c>
      <c r="D49" s="2" t="s">
        <v>198</v>
      </c>
      <c r="E49" s="158">
        <v>82.613699999999994</v>
      </c>
      <c r="F49" s="32">
        <v>6.67</v>
      </c>
      <c r="G49" s="32">
        <f t="shared" si="4"/>
        <v>551.03</v>
      </c>
      <c r="H49" s="163">
        <f t="shared" si="3"/>
        <v>5.2364036247244386E-3</v>
      </c>
      <c r="I49" s="32">
        <f>ROUND(F49*'Прил. 10'!$D$13,2)</f>
        <v>53.63</v>
      </c>
      <c r="J49" s="32">
        <f t="shared" si="5"/>
        <v>4430.57</v>
      </c>
    </row>
    <row r="50" spans="1:10" s="12" customFormat="1" ht="14.25" customHeight="1" outlineLevel="1" x14ac:dyDescent="0.2">
      <c r="A50" s="2">
        <v>22</v>
      </c>
      <c r="B50" s="2" t="s">
        <v>201</v>
      </c>
      <c r="C50" s="8" t="s">
        <v>202</v>
      </c>
      <c r="D50" s="2" t="s">
        <v>198</v>
      </c>
      <c r="E50" s="158">
        <v>13.5</v>
      </c>
      <c r="F50" s="32">
        <v>28.6</v>
      </c>
      <c r="G50" s="32">
        <f t="shared" si="4"/>
        <v>386.1</v>
      </c>
      <c r="H50" s="163">
        <f t="shared" si="3"/>
        <v>3.6690841506017927E-3</v>
      </c>
      <c r="I50" s="32">
        <f>ROUND(F50*'Прил. 10'!$D$13,2)</f>
        <v>229.94</v>
      </c>
      <c r="J50" s="32">
        <f t="shared" si="5"/>
        <v>3104.19</v>
      </c>
    </row>
    <row r="51" spans="1:10" s="12" customFormat="1" ht="38.25" customHeight="1" outlineLevel="1" x14ac:dyDescent="0.2">
      <c r="A51" s="2">
        <v>23</v>
      </c>
      <c r="B51" s="2" t="s">
        <v>203</v>
      </c>
      <c r="C51" s="8" t="s">
        <v>204</v>
      </c>
      <c r="D51" s="2" t="s">
        <v>186</v>
      </c>
      <c r="E51" s="158">
        <v>5.3999999999999999E-2</v>
      </c>
      <c r="F51" s="32">
        <v>5000</v>
      </c>
      <c r="G51" s="32">
        <f t="shared" si="4"/>
        <v>270</v>
      </c>
      <c r="H51" s="163">
        <f t="shared" si="3"/>
        <v>2.5657931123089458E-3</v>
      </c>
      <c r="I51" s="32">
        <f>ROUND(F51*'Прил. 10'!$D$13,2)</f>
        <v>40200</v>
      </c>
      <c r="J51" s="32">
        <f t="shared" si="5"/>
        <v>2170.8000000000002</v>
      </c>
    </row>
    <row r="52" spans="1:10" s="12" customFormat="1" ht="14.25" customHeight="1" outlineLevel="1" x14ac:dyDescent="0.2">
      <c r="A52" s="2">
        <v>24</v>
      </c>
      <c r="B52" s="2" t="s">
        <v>205</v>
      </c>
      <c r="C52" s="8" t="s">
        <v>206</v>
      </c>
      <c r="D52" s="2" t="s">
        <v>198</v>
      </c>
      <c r="E52" s="158">
        <v>21.78</v>
      </c>
      <c r="F52" s="32">
        <v>9.0399999999999991</v>
      </c>
      <c r="G52" s="32">
        <f t="shared" si="4"/>
        <v>196.89</v>
      </c>
      <c r="H52" s="163">
        <f t="shared" si="3"/>
        <v>1.8710333551204012E-3</v>
      </c>
      <c r="I52" s="32">
        <f>ROUND(F52*'Прил. 10'!$D$13,2)</f>
        <v>72.680000000000007</v>
      </c>
      <c r="J52" s="32">
        <f t="shared" si="5"/>
        <v>1582.97</v>
      </c>
    </row>
    <row r="53" spans="1:10" s="12" customFormat="1" ht="14.25" customHeight="1" outlineLevel="1" x14ac:dyDescent="0.2">
      <c r="A53" s="2">
        <v>25</v>
      </c>
      <c r="B53" s="2" t="s">
        <v>207</v>
      </c>
      <c r="C53" s="8" t="s">
        <v>208</v>
      </c>
      <c r="D53" s="2" t="s">
        <v>186</v>
      </c>
      <c r="E53" s="158">
        <v>1.8144E-2</v>
      </c>
      <c r="F53" s="32">
        <v>6200</v>
      </c>
      <c r="G53" s="32">
        <f t="shared" si="4"/>
        <v>112.49</v>
      </c>
      <c r="H53" s="163">
        <f t="shared" si="3"/>
        <v>1.0689854340875308E-3</v>
      </c>
      <c r="I53" s="32">
        <f>ROUND(F53*'Прил. 10'!$D$13,2)</f>
        <v>49848</v>
      </c>
      <c r="J53" s="32">
        <f t="shared" si="5"/>
        <v>904.44</v>
      </c>
    </row>
    <row r="54" spans="1:10" s="12" customFormat="1" ht="25.5" customHeight="1" outlineLevel="1" x14ac:dyDescent="0.2">
      <c r="A54" s="2">
        <v>26</v>
      </c>
      <c r="B54" s="2" t="s">
        <v>196</v>
      </c>
      <c r="C54" s="8" t="s">
        <v>197</v>
      </c>
      <c r="D54" s="2" t="s">
        <v>198</v>
      </c>
      <c r="E54" s="158">
        <v>0.33119999999999999</v>
      </c>
      <c r="F54" s="32">
        <v>238.48</v>
      </c>
      <c r="G54" s="32">
        <f t="shared" si="4"/>
        <v>78.98</v>
      </c>
      <c r="H54" s="163">
        <f t="shared" si="3"/>
        <v>7.5054200003763167E-4</v>
      </c>
      <c r="I54" s="32">
        <f>ROUND(F54*'Прил. 10'!$D$13,2)</f>
        <v>1917.38</v>
      </c>
      <c r="J54" s="32">
        <f t="shared" si="5"/>
        <v>635.04</v>
      </c>
    </row>
    <row r="55" spans="1:10" s="12" customFormat="1" ht="25.5" customHeight="1" outlineLevel="1" x14ac:dyDescent="0.2">
      <c r="A55" s="2">
        <v>27</v>
      </c>
      <c r="B55" s="2" t="s">
        <v>209</v>
      </c>
      <c r="C55" s="8" t="s">
        <v>210</v>
      </c>
      <c r="D55" s="2" t="s">
        <v>198</v>
      </c>
      <c r="E55" s="158">
        <v>1.120673</v>
      </c>
      <c r="F55" s="32">
        <v>54.99</v>
      </c>
      <c r="G55" s="32">
        <f t="shared" si="4"/>
        <v>61.63</v>
      </c>
      <c r="H55" s="163">
        <f t="shared" si="3"/>
        <v>5.8566603522814938E-4</v>
      </c>
      <c r="I55" s="32">
        <f>ROUND(F55*'Прил. 10'!$D$13,2)</f>
        <v>442.12</v>
      </c>
      <c r="J55" s="32">
        <f t="shared" si="5"/>
        <v>495.47</v>
      </c>
    </row>
    <row r="56" spans="1:10" s="12" customFormat="1" ht="25.5" customHeight="1" outlineLevel="1" x14ac:dyDescent="0.2">
      <c r="A56" s="2">
        <v>28</v>
      </c>
      <c r="B56" s="2" t="s">
        <v>211</v>
      </c>
      <c r="C56" s="8" t="s">
        <v>212</v>
      </c>
      <c r="D56" s="2" t="s">
        <v>186</v>
      </c>
      <c r="E56" s="158">
        <v>7.7999999999999999E-4</v>
      </c>
      <c r="F56" s="32">
        <v>17500</v>
      </c>
      <c r="G56" s="32">
        <f t="shared" si="4"/>
        <v>13.65</v>
      </c>
      <c r="H56" s="163">
        <f t="shared" si="3"/>
        <v>1.2971509623339671E-4</v>
      </c>
      <c r="I56" s="32">
        <f>ROUND(F56*'Прил. 10'!$D$13,2)</f>
        <v>140700</v>
      </c>
      <c r="J56" s="32">
        <f t="shared" si="5"/>
        <v>109.75</v>
      </c>
    </row>
    <row r="57" spans="1:10" s="12" customFormat="1" ht="25.5" customHeight="1" outlineLevel="1" x14ac:dyDescent="0.2">
      <c r="A57" s="2">
        <v>29</v>
      </c>
      <c r="B57" s="2" t="s">
        <v>213</v>
      </c>
      <c r="C57" s="8" t="s">
        <v>214</v>
      </c>
      <c r="D57" s="2" t="s">
        <v>198</v>
      </c>
      <c r="E57" s="158">
        <v>1.0871999999999999</v>
      </c>
      <c r="F57" s="32">
        <v>10.57</v>
      </c>
      <c r="G57" s="32">
        <f t="shared" si="4"/>
        <v>11.49</v>
      </c>
      <c r="H57" s="163">
        <f t="shared" si="3"/>
        <v>1.0918875133492514E-4</v>
      </c>
      <c r="I57" s="32">
        <f>ROUND(F57*'Прил. 10'!$D$13,2)</f>
        <v>84.98</v>
      </c>
      <c r="J57" s="32">
        <f t="shared" si="5"/>
        <v>92.39</v>
      </c>
    </row>
    <row r="58" spans="1:10" s="12" customFormat="1" ht="25.5" customHeight="1" outlineLevel="1" x14ac:dyDescent="0.2">
      <c r="A58" s="2">
        <v>30</v>
      </c>
      <c r="B58" s="2" t="s">
        <v>215</v>
      </c>
      <c r="C58" s="8" t="s">
        <v>216</v>
      </c>
      <c r="D58" s="2" t="s">
        <v>217</v>
      </c>
      <c r="E58" s="158">
        <v>9.9811200000000007</v>
      </c>
      <c r="F58" s="32">
        <v>1</v>
      </c>
      <c r="G58" s="32">
        <f t="shared" si="4"/>
        <v>9.98</v>
      </c>
      <c r="H58" s="163">
        <f t="shared" si="3"/>
        <v>9.4839315780901039E-5</v>
      </c>
      <c r="I58" s="32">
        <f>ROUND(F58*'Прил. 10'!$D$13,2)</f>
        <v>8.0399999999999991</v>
      </c>
      <c r="J58" s="32">
        <f t="shared" si="5"/>
        <v>80.25</v>
      </c>
    </row>
    <row r="59" spans="1:10" s="12" customFormat="1" ht="38.25" customHeight="1" outlineLevel="1" x14ac:dyDescent="0.2">
      <c r="A59" s="2">
        <v>31</v>
      </c>
      <c r="B59" s="2" t="s">
        <v>218</v>
      </c>
      <c r="C59" s="8" t="s">
        <v>219</v>
      </c>
      <c r="D59" s="2" t="s">
        <v>186</v>
      </c>
      <c r="E59" s="158">
        <v>5.7600000000000001E-4</v>
      </c>
      <c r="F59" s="32">
        <v>5763</v>
      </c>
      <c r="G59" s="32">
        <f t="shared" si="4"/>
        <v>3.32</v>
      </c>
      <c r="H59" s="163">
        <f t="shared" si="3"/>
        <v>3.1549752343947035E-5</v>
      </c>
      <c r="I59" s="32">
        <f>ROUND(F59*'Прил. 10'!$D$13,2)</f>
        <v>46334.52</v>
      </c>
      <c r="J59" s="32">
        <f t="shared" si="5"/>
        <v>26.69</v>
      </c>
    </row>
    <row r="60" spans="1:10" s="12" customFormat="1" ht="14.25" customHeight="1" outlineLevel="1" x14ac:dyDescent="0.2">
      <c r="A60" s="2">
        <v>32</v>
      </c>
      <c r="B60" s="2" t="s">
        <v>220</v>
      </c>
      <c r="C60" s="8" t="s">
        <v>221</v>
      </c>
      <c r="D60" s="2" t="s">
        <v>198</v>
      </c>
      <c r="E60" s="158">
        <v>0.27298280000000003</v>
      </c>
      <c r="F60" s="32">
        <v>9.42</v>
      </c>
      <c r="G60" s="32">
        <f t="shared" si="4"/>
        <v>2.57</v>
      </c>
      <c r="H60" s="163">
        <f t="shared" si="3"/>
        <v>2.4422549254199964E-5</v>
      </c>
      <c r="I60" s="32">
        <f>ROUND(F60*'Прил. 10'!$D$13,2)</f>
        <v>75.739999999999995</v>
      </c>
      <c r="J60" s="32">
        <f t="shared" si="5"/>
        <v>20.68</v>
      </c>
    </row>
    <row r="61" spans="1:10" s="12" customFormat="1" ht="14.25" customHeight="1" x14ac:dyDescent="0.2">
      <c r="A61" s="2"/>
      <c r="B61" s="2"/>
      <c r="C61" s="8" t="s">
        <v>260</v>
      </c>
      <c r="D61" s="2"/>
      <c r="E61" s="158"/>
      <c r="F61" s="102"/>
      <c r="G61" s="32">
        <f>SUM(G44:G60)</f>
        <v>12739.189999999999</v>
      </c>
      <c r="H61" s="163">
        <f t="shared" si="3"/>
        <v>0.12105972577183333</v>
      </c>
      <c r="I61" s="32"/>
      <c r="J61" s="32">
        <f>SUM(J44:J60)</f>
        <v>102423.30999999998</v>
      </c>
    </row>
    <row r="62" spans="1:10" s="12" customFormat="1" ht="14.25" customHeight="1" x14ac:dyDescent="0.2">
      <c r="A62" s="2"/>
      <c r="B62" s="2"/>
      <c r="C62" s="103" t="s">
        <v>261</v>
      </c>
      <c r="D62" s="2"/>
      <c r="E62" s="158"/>
      <c r="F62" s="102"/>
      <c r="G62" s="32">
        <f>G43+G61</f>
        <v>105230.62</v>
      </c>
      <c r="H62" s="164">
        <f t="shared" si="3"/>
        <v>1</v>
      </c>
      <c r="I62" s="32"/>
      <c r="J62" s="32">
        <f>J43+J61</f>
        <v>846054.37</v>
      </c>
    </row>
    <row r="63" spans="1:10" s="12" customFormat="1" ht="14.25" customHeight="1" x14ac:dyDescent="0.2">
      <c r="A63" s="2"/>
      <c r="B63" s="2"/>
      <c r="C63" s="8" t="s">
        <v>262</v>
      </c>
      <c r="D63" s="2"/>
      <c r="E63" s="158"/>
      <c r="F63" s="102"/>
      <c r="G63" s="32">
        <f>G14+G32+G62</f>
        <v>129532.68</v>
      </c>
      <c r="H63" s="164"/>
      <c r="I63" s="32"/>
      <c r="J63" s="32">
        <f>J14+J32+J62</f>
        <v>1390977.0499999998</v>
      </c>
    </row>
    <row r="64" spans="1:10" s="12" customFormat="1" ht="14.25" customHeight="1" x14ac:dyDescent="0.2">
      <c r="A64" s="2"/>
      <c r="B64" s="2"/>
      <c r="C64" s="8" t="s">
        <v>263</v>
      </c>
      <c r="D64" s="175">
        <f>ROUND(G64/(G$16+$G$14),2)</f>
        <v>0.95</v>
      </c>
      <c r="E64" s="158"/>
      <c r="F64" s="102"/>
      <c r="G64" s="32">
        <v>10835.49</v>
      </c>
      <c r="H64" s="164"/>
      <c r="I64" s="32"/>
      <c r="J64" s="32">
        <f>ROUND(D64*(J14+J16),2)</f>
        <v>489275.82</v>
      </c>
    </row>
    <row r="65" spans="1:12" s="12" customFormat="1" ht="14.25" customHeight="1" x14ac:dyDescent="0.2">
      <c r="A65" s="2"/>
      <c r="B65" s="2"/>
      <c r="C65" s="8" t="s">
        <v>264</v>
      </c>
      <c r="D65" s="175">
        <f>ROUND(G65/(G$14+G$16),2)</f>
        <v>0.52</v>
      </c>
      <c r="E65" s="158"/>
      <c r="F65" s="102"/>
      <c r="G65" s="32">
        <v>5931.03</v>
      </c>
      <c r="H65" s="164"/>
      <c r="I65" s="32"/>
      <c r="J65" s="32">
        <f>ROUND(D65*(J14+J16),2)</f>
        <v>267814.13</v>
      </c>
    </row>
    <row r="66" spans="1:12" s="12" customFormat="1" ht="14.25" customHeight="1" x14ac:dyDescent="0.2">
      <c r="A66" s="2"/>
      <c r="B66" s="2"/>
      <c r="C66" s="8" t="s">
        <v>265</v>
      </c>
      <c r="D66" s="2"/>
      <c r="E66" s="158"/>
      <c r="F66" s="102"/>
      <c r="G66" s="32">
        <f>G14+G32+G62+G64+G65</f>
        <v>146299.19999999998</v>
      </c>
      <c r="H66" s="164"/>
      <c r="I66" s="32"/>
      <c r="J66" s="32">
        <f>J14+J32+J62+J64+J65</f>
        <v>2148067</v>
      </c>
    </row>
    <row r="67" spans="1:12" s="12" customFormat="1" ht="14.25" customHeight="1" x14ac:dyDescent="0.2">
      <c r="A67" s="2"/>
      <c r="B67" s="2"/>
      <c r="C67" s="8" t="s">
        <v>266</v>
      </c>
      <c r="D67" s="2"/>
      <c r="E67" s="158"/>
      <c r="F67" s="102"/>
      <c r="G67" s="32">
        <f>G66+G38</f>
        <v>220430.58</v>
      </c>
      <c r="H67" s="164"/>
      <c r="I67" s="32"/>
      <c r="J67" s="32">
        <f>J66+J38</f>
        <v>2612129.5</v>
      </c>
    </row>
    <row r="68" spans="1:12" s="12" customFormat="1" ht="34.5" customHeight="1" x14ac:dyDescent="0.2">
      <c r="A68" s="2"/>
      <c r="B68" s="2"/>
      <c r="C68" s="8" t="s">
        <v>108</v>
      </c>
      <c r="D68" s="2" t="s">
        <v>267</v>
      </c>
      <c r="E68" s="158">
        <v>9</v>
      </c>
      <c r="F68" s="102"/>
      <c r="G68" s="32">
        <f>G67/E68</f>
        <v>24492.286666666667</v>
      </c>
      <c r="H68" s="164"/>
      <c r="I68" s="32"/>
      <c r="J68" s="32">
        <f>J67/E68</f>
        <v>290236.61111111112</v>
      </c>
    </row>
    <row r="70" spans="1:12" x14ac:dyDescent="0.25">
      <c r="A70"/>
      <c r="B70" s="182" t="s">
        <v>434</v>
      </c>
      <c r="C70" s="188"/>
      <c r="D70"/>
      <c r="E70"/>
      <c r="F70"/>
      <c r="G70"/>
      <c r="H70"/>
      <c r="I70"/>
      <c r="J70"/>
      <c r="K70"/>
      <c r="L70"/>
    </row>
    <row r="71" spans="1:12" x14ac:dyDescent="0.25">
      <c r="A71"/>
      <c r="B71" s="187" t="s">
        <v>75</v>
      </c>
      <c r="C71" s="188"/>
      <c r="D71"/>
      <c r="E71"/>
      <c r="F71"/>
      <c r="G71"/>
      <c r="H71"/>
      <c r="I71"/>
      <c r="J71"/>
      <c r="K71"/>
      <c r="L71"/>
    </row>
    <row r="72" spans="1:12" x14ac:dyDescent="0.25">
      <c r="A72"/>
      <c r="B72" s="182"/>
      <c r="C72" s="188"/>
      <c r="D72"/>
      <c r="E72"/>
      <c r="F72"/>
      <c r="G72"/>
      <c r="H72"/>
      <c r="I72"/>
      <c r="J72"/>
      <c r="K72"/>
      <c r="L72"/>
    </row>
    <row r="73" spans="1:12" x14ac:dyDescent="0.25">
      <c r="A73"/>
      <c r="B73" s="182" t="s">
        <v>268</v>
      </c>
      <c r="C73" s="188"/>
      <c r="D73"/>
      <c r="E73"/>
      <c r="F73"/>
      <c r="G73"/>
      <c r="H73"/>
      <c r="I73"/>
      <c r="J73"/>
      <c r="K73"/>
      <c r="L73"/>
    </row>
    <row r="74" spans="1:12" x14ac:dyDescent="0.25">
      <c r="A74"/>
      <c r="B74" s="187" t="s">
        <v>76</v>
      </c>
      <c r="C74" s="188"/>
      <c r="D74"/>
      <c r="E74"/>
      <c r="F74"/>
      <c r="G74"/>
      <c r="H74"/>
      <c r="I74"/>
      <c r="J74"/>
      <c r="K74"/>
      <c r="L74"/>
    </row>
  </sheetData>
  <sheetProtection formatCells="0" formatColumns="0" formatRows="0" insertColumns="0" insertRows="0" insertHyperlinks="0" deleteColumns="0" deleteRows="0" sort="0" autoFilter="0" pivotTables="0"/>
  <mergeCells count="21">
    <mergeCell ref="B41:H41"/>
    <mergeCell ref="B12:H12"/>
    <mergeCell ref="B15:H15"/>
    <mergeCell ref="B17:H17"/>
    <mergeCell ref="B18:H18"/>
    <mergeCell ref="B34:H34"/>
    <mergeCell ref="B33:H33"/>
    <mergeCell ref="B40:H40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2023-11-30T09:55:01Z</cp:lastPrinted>
  <dcterms:created xsi:type="dcterms:W3CDTF">2020-09-30T08:50:27Z</dcterms:created>
  <dcterms:modified xsi:type="dcterms:W3CDTF">2023-11-30T09:55:20Z</dcterms:modified>
  <cp:category/>
</cp:coreProperties>
</file>