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4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Прил.3!$A$1:$H$66</definedName>
    <definedName name="_xlnm.Print_Area" localSheetId="3">'Прил.4 РМ'!$A$1:$E$48</definedName>
    <definedName name="_xlnm.Print_Area" localSheetId="4">'Прил.5 Расчет СМР и ОБ'!$A$1:$J$64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6" i="6"/>
  <c r="G15" i="6"/>
  <c r="G14" i="6"/>
  <c r="F14" i="6"/>
  <c r="E14" i="6"/>
  <c r="D14" i="6"/>
  <c r="C14" i="6"/>
  <c r="B14" i="6"/>
  <c r="J53" i="5"/>
  <c r="G53" i="5"/>
  <c r="J52" i="5"/>
  <c r="G52" i="5"/>
  <c r="J51" i="5"/>
  <c r="G51" i="5"/>
  <c r="J50" i="5"/>
  <c r="E50" i="5"/>
  <c r="J49" i="5"/>
  <c r="E49" i="5"/>
  <c r="J48" i="5"/>
  <c r="G48" i="5"/>
  <c r="J47" i="5"/>
  <c r="G47" i="5"/>
  <c r="J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0" i="5"/>
  <c r="H30" i="5"/>
  <c r="G30" i="5"/>
  <c r="J29" i="5"/>
  <c r="H29" i="5"/>
  <c r="G29" i="5"/>
  <c r="H28" i="5"/>
  <c r="J27" i="5"/>
  <c r="H27" i="5"/>
  <c r="G27" i="5"/>
  <c r="J26" i="5"/>
  <c r="H26" i="5"/>
  <c r="G26" i="5"/>
  <c r="F26" i="5"/>
  <c r="J23" i="5"/>
  <c r="G23" i="5"/>
  <c r="H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H33" i="3"/>
  <c r="A33" i="3"/>
  <c r="H32" i="3"/>
  <c r="A32" i="3"/>
  <c r="H31" i="3"/>
  <c r="A31" i="3"/>
  <c r="H30" i="3"/>
  <c r="A30" i="3"/>
  <c r="H29" i="3"/>
  <c r="A29" i="3"/>
  <c r="H28" i="3"/>
  <c r="A28" i="3"/>
  <c r="H27" i="3"/>
  <c r="A27" i="3"/>
  <c r="H26" i="3"/>
  <c r="A26" i="3"/>
  <c r="H25" i="3"/>
  <c r="F25" i="3"/>
  <c r="A25" i="3"/>
  <c r="H24" i="3"/>
  <c r="F24" i="3"/>
  <c r="A24" i="3"/>
  <c r="H23" i="3"/>
  <c r="F23" i="3"/>
  <c r="A23" i="3"/>
  <c r="H22" i="3"/>
  <c r="A22" i="3"/>
  <c r="H21" i="3"/>
  <c r="H20" i="3"/>
  <c r="F20" i="3"/>
  <c r="E20" i="3"/>
  <c r="D20" i="3"/>
  <c r="H19" i="3"/>
  <c r="H18" i="3"/>
  <c r="A18" i="3"/>
  <c r="H17" i="3"/>
  <c r="A17" i="3"/>
  <c r="H16" i="3"/>
  <c r="H15" i="3"/>
  <c r="F15" i="3"/>
  <c r="H14" i="3"/>
  <c r="H13" i="3"/>
  <c r="H12" i="3"/>
  <c r="F12" i="3"/>
  <c r="J14" i="2"/>
  <c r="I14" i="2"/>
  <c r="H14" i="2"/>
  <c r="F14" i="2"/>
  <c r="J13" i="2"/>
  <c r="I13" i="2"/>
  <c r="H13" i="2"/>
  <c r="F13" i="2"/>
  <c r="J12" i="2"/>
  <c r="I12" i="2"/>
  <c r="H12" i="2"/>
  <c r="F12" i="2"/>
  <c r="B7" i="2"/>
  <c r="B6" i="2"/>
  <c r="D23" i="1"/>
  <c r="D22" i="1"/>
  <c r="D16" i="1"/>
</calcChain>
</file>

<file path=xl/sharedStrings.xml><?xml version="1.0" encoding="utf-8"?>
<sst xmlns="http://schemas.openxmlformats.org/spreadsheetml/2006/main" count="431" uniqueCount="277">
  <si>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</si>
  <si>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</si>
  <si>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</si>
  <si>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35(20) кВ</t>
  </si>
  <si>
    <t>Сопоставимый уровень цен: 4 квартал 2014 года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</si>
  <si>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</si>
  <si>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</si>
  <si>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</si>
  <si>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</si>
  <si>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</si>
  <si>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330/220/110/10 кВ Талашкино. Реконструкция и техперевооружение</t>
  </si>
  <si>
    <t>Наименование субъекта Российской Федерации</t>
  </si>
  <si>
    <t>Смоленская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</si>
  <si>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</si>
  <si>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</si>
  <si>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</si>
  <si>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</si>
  <si>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Ввод трансформатора 35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</si>
  <si>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</si>
  <si>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</si>
  <si>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</si>
  <si>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</si>
  <si>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</si>
  <si>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</si>
  <si>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</si>
  <si>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</si>
  <si>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</si>
  <si>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</si>
  <si>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2014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</si>
  <si>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</si>
  <si>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</si>
  <si>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</si>
  <si>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</si>
  <si>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</si>
  <si>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</si>
  <si>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</si>
  <si>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</si>
  <si>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</si>
  <si>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</si>
  <si>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</si>
  <si>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</si>
  <si>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2014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</si>
  <si>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</si>
  <si>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</si>
  <si>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</si>
  <si>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</si>
  <si>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</si>
  <si>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Ввод трансформатора 10 кВ</t>
  </si>
  <si>
    <t>02-01-06</t>
  </si>
  <si>
    <t>Установка главных трансформаторов 500 кВ</t>
  </si>
  <si>
    <t>Всего по объекту:</t>
  </si>
  <si>
    <t>Всего по объекту в сопоставимом уровне цен 4 кв. 2014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</si>
  <si>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</si>
  <si>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</si>
  <si>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</si>
  <si>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</si>
  <si>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</si>
  <si>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</si>
  <si>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</si>
  <si>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</si>
  <si>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</si>
  <si>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</si>
  <si>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</si>
  <si>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</si>
  <si>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</si>
  <si>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</si>
  <si>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</si>
  <si>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чел.час</t>
  </si>
  <si>
    <t>Затраты труда машинистов</t>
  </si>
  <si>
    <t>чел.-ч</t>
  </si>
  <si>
    <t>Машины и механизмы</t>
  </si>
  <si>
    <t>91.05.05-014</t>
  </si>
  <si>
    <t>Краны на автомобильном ходу, грузоподъемность 10 т</t>
  </si>
  <si>
    <t>маш.час</t>
  </si>
  <si>
    <t>91.14.02-001</t>
  </si>
  <si>
    <t>Автомобили бортовые, грузоподъемность: до 5 т</t>
  </si>
  <si>
    <t>Прайс из СД ОП</t>
  </si>
  <si>
    <t>Материалы</t>
  </si>
  <si>
    <t>10.3.02.03-0011</t>
  </si>
  <si>
    <t>Припои оловянно-свинцовые бессурьмянистые марки: ПОС30</t>
  </si>
  <si>
    <t>т</t>
  </si>
  <si>
    <t>02.2.05.04-1777</t>
  </si>
  <si>
    <t>Щебень М 800, фракция 20-40 мм, группа 2</t>
  </si>
  <si>
    <t>м3</t>
  </si>
  <si>
    <t>21.2.01.02-0086</t>
  </si>
  <si>
    <t>Провод неизолированный для воздушных линий электропередачи АС 70/11</t>
  </si>
  <si>
    <t>20.1.01.02-0067</t>
  </si>
  <si>
    <t>Зажим аппаратный прессуемый: А4А-400-2</t>
  </si>
  <si>
    <t>100 шт.</t>
  </si>
  <si>
    <t>01.1.02.01-0003</t>
  </si>
  <si>
    <t>Асботекстолит марки Г</t>
  </si>
  <si>
    <t>01.3.02.09-0022</t>
  </si>
  <si>
    <t>Пропан-бутан, смесь техническая</t>
  </si>
  <si>
    <t>кг</t>
  </si>
  <si>
    <t>10.2.02.08-0001</t>
  </si>
  <si>
    <t>Проволока медная, круглая, мягкая, электротехническая, диаметр 1,0-3,0 мм и выше</t>
  </si>
  <si>
    <t>14.4.02.09-0001</t>
  </si>
  <si>
    <t>Краска</t>
  </si>
  <si>
    <t>20.1.02.06-0001</t>
  </si>
  <si>
    <t>Жир паяльный</t>
  </si>
  <si>
    <t>01.3.01.05-0009</t>
  </si>
  <si>
    <t>Парафины нефтяные твердые марки Т-1</t>
  </si>
  <si>
    <t>999-9950</t>
  </si>
  <si>
    <t>Вспомогательные ненормируемые ресурсы (2% от Оплаты труда рабочих)</t>
  </si>
  <si>
    <t>руб.</t>
  </si>
  <si>
    <t>01.7.20.08-0031</t>
  </si>
  <si>
    <t>Бязь суровая арт. 6804</t>
  </si>
  <si>
    <t>10 м2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</si>
  <si>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</si>
  <si>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</si>
  <si>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</si>
  <si>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</si>
  <si>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</si>
  <si>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</si>
  <si>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</si>
  <si>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</si>
  <si>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</si>
  <si>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</si>
  <si>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</si>
  <si>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</si>
  <si>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</si>
  <si>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</si>
  <si>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</si>
  <si>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</si>
  <si>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</si>
  <si>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</si>
  <si>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</si>
  <si>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</si>
  <si>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</si>
  <si>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</si>
  <si>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</si>
  <si>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</si>
  <si>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</si>
  <si>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</si>
  <si>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</si>
  <si>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</si>
  <si>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</si>
  <si>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</si>
  <si>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</si>
  <si>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</si>
  <si>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</si>
  <si>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</si>
  <si>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</si>
  <si>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</si>
  <si>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</si>
  <si>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</si>
  <si>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</si>
  <si>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</si>
  <si>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Ввод линейный (выключателя, трансформатора) на одну фазу (номинальный ток, 1000 А и выше) без устройства фундамента напряжение 35(20)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</si>
  <si>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</si>
  <si>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</si>
  <si>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</si>
  <si>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</si>
  <si>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</si>
  <si>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</si>
  <si>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</si>
  <si>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</si>
  <si>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</si>
  <si>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</si>
  <si>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</si>
  <si>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</si>
  <si>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</si>
  <si>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</si>
  <si>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</si>
  <si>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БЦ.5.1.12</t>
  </si>
  <si>
    <t>к-т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</si>
  <si>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</si>
  <si>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</si>
  <si>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</si>
  <si>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</si>
  <si>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</si>
  <si>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</si>
  <si>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</si>
  <si>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</si>
  <si>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</si>
  <si>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</si>
  <si>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</si>
  <si>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</si>
  <si>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</si>
  <si>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</si>
  <si>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</si>
  <si>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</si>
  <si>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</si>
  <si>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</si>
  <si>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</si>
  <si>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</si>
  <si>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</si>
  <si>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</si>
  <si>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</si>
  <si>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</si>
  <si>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</si>
  <si>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</si>
  <si>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</si>
  <si>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</si>
  <si>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</si>
  <si>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</si>
  <si>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И10-10-2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</si>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</sst>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4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sz val="11"/>
      <color rgb="FF000000"/>
      <name val="Times New Roman"/>
    </font>
    <font>
      <b/>
      <sz val="12"/>
      <color rgb="FF000000"/>
      <name val="Calibri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/>
    <xf numFmtId="0" fontId="2" fillId="0" borderId="12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" fillId="0" borderId="0" xfId="0" applyFont="1"/>
    <xf numFmtId="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4" fontId="19" fillId="0" borderId="2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479426</xdr:colOff>
      <xdr:row>15</xdr:row>
      <xdr:rowOff>143435</xdr:rowOff>
    </xdr:from>
    <xdr:to>
      <xdr:col>2</xdr:col>
      <xdr:colOff>1382620</xdr:colOff>
      <xdr:row>17</xdr:row>
      <xdr:rowOff>99023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1" y="42487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157817</xdr:colOff>
      <xdr:row>36</xdr:row>
      <xdr:rowOff>62193</xdr:rowOff>
    </xdr:from>
    <xdr:to>
      <xdr:col>2</xdr:col>
      <xdr:colOff>1096309</xdr:colOff>
      <xdr:row>39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17" y="84060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127001</xdr:colOff>
      <xdr:row>34</xdr:row>
      <xdr:rowOff>10085</xdr:rowOff>
    </xdr:from>
    <xdr:to>
      <xdr:col>2</xdr:col>
      <xdr:colOff>1030195</xdr:colOff>
      <xdr:row>35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1" y="79729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1005542</xdr:colOff>
      <xdr:row>43</xdr:row>
      <xdr:rowOff>52668</xdr:rowOff>
    </xdr:from>
    <xdr:to>
      <xdr:col>1</xdr:col>
      <xdr:colOff>1944034</xdr:colOff>
      <xdr:row>46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767" y="12025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41</xdr:row>
      <xdr:rowOff>10085</xdr:rowOff>
    </xdr:from>
    <xdr:to>
      <xdr:col>1</xdr:col>
      <xdr:colOff>1887445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6" y="116020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1027393</xdr:colOff>
      <xdr:row>56</xdr:row>
      <xdr:rowOff>68356</xdr:rowOff>
    </xdr:from>
    <xdr:to>
      <xdr:col>2</xdr:col>
      <xdr:colOff>464297</xdr:colOff>
      <xdr:row>59</xdr:row>
      <xdr:rowOff>52481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393" y="1266376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53</xdr:row>
      <xdr:rowOff>136711</xdr:rowOff>
    </xdr:from>
    <xdr:to>
      <xdr:col>2</xdr:col>
      <xdr:colOff>426758</xdr:colOff>
      <xdr:row>55</xdr:row>
      <xdr:rowOff>111349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152" y="12171829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14942</xdr:colOff>
      <xdr:row>18</xdr:row>
      <xdr:rowOff>52668</xdr:rowOff>
    </xdr:from>
    <xdr:to>
      <xdr:col>2</xdr:col>
      <xdr:colOff>953434</xdr:colOff>
      <xdr:row>21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542" y="39198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98426</xdr:colOff>
      <xdr:row>16</xdr:row>
      <xdr:rowOff>19610</xdr:rowOff>
    </xdr:from>
    <xdr:to>
      <xdr:col>2</xdr:col>
      <xdr:colOff>1001620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026" y="35057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13</xdr:row>
      <xdr:rowOff>43143</xdr:rowOff>
    </xdr:from>
    <xdr:to>
      <xdr:col>1</xdr:col>
      <xdr:colOff>1934509</xdr:colOff>
      <xdr:row>15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042" y="45389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10</xdr:row>
      <xdr:rowOff>886385</xdr:rowOff>
    </xdr:from>
    <xdr:to>
      <xdr:col>1</xdr:col>
      <xdr:colOff>1973170</xdr:colOff>
      <xdr:row>12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1" y="41058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1043642</xdr:colOff>
      <xdr:row>26</xdr:row>
      <xdr:rowOff>71718</xdr:rowOff>
    </xdr:from>
    <xdr:to>
      <xdr:col>1</xdr:col>
      <xdr:colOff>1982134</xdr:colOff>
      <xdr:row>29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242" y="89871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1050926</xdr:colOff>
      <xdr:row>23</xdr:row>
      <xdr:rowOff>181535</xdr:rowOff>
    </xdr:from>
    <xdr:to>
      <xdr:col>1</xdr:col>
      <xdr:colOff>1954120</xdr:colOff>
      <xdr:row>25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526" y="852543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opLeftCell="A16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4" t="s">
        <v>0</v>
      </c>
      <c r="C2" s="144"/>
      <c r="D2" s="144"/>
    </row>
    <row r="3" spans="2:4" ht="18.75" customHeight="1" x14ac:dyDescent="0.25">
      <c r="B3" s="145" t="s">
        <v>1</v>
      </c>
      <c r="C3" s="145"/>
      <c r="D3" s="145"/>
    </row>
    <row r="4" spans="2:4" ht="84" customHeight="1" x14ac:dyDescent="0.25">
      <c r="B4" s="146" t="s">
        <v>2</v>
      </c>
      <c r="C4" s="146"/>
      <c r="D4" s="146"/>
    </row>
    <row r="5" spans="2:4" ht="18.75" customHeight="1" x14ac:dyDescent="0.25">
      <c r="B5" s="75"/>
      <c r="C5" s="75"/>
      <c r="D5" s="75"/>
    </row>
    <row r="6" spans="2:4" ht="59.25" customHeight="1" x14ac:dyDescent="0.25">
      <c r="B6" s="147" t="s">
        <v>3</v>
      </c>
      <c r="C6" s="147"/>
      <c r="D6" s="147"/>
    </row>
    <row r="7" spans="2:4" ht="15.75" customHeight="1" x14ac:dyDescent="0.25">
      <c r="B7" s="143" t="s">
        <v>4</v>
      </c>
      <c r="C7" s="143"/>
      <c r="D7" s="143"/>
    </row>
    <row r="8" spans="2:4" ht="15.75" customHeight="1" x14ac:dyDescent="0.25">
      <c r="B8" s="143" t="s">
        <v>5</v>
      </c>
      <c r="C8" s="143"/>
      <c r="D8" s="143"/>
    </row>
    <row r="9" spans="2:4" ht="18.75" customHeight="1" x14ac:dyDescent="0.25">
      <c r="B9" s="36"/>
    </row>
    <row r="10" spans="2:4" ht="15.75" customHeight="1" x14ac:dyDescent="0.25">
      <c r="B10" s="37" t="s">
        <v>6</v>
      </c>
      <c r="C10" s="37" t="s">
        <v>7</v>
      </c>
      <c r="D10" s="37" t="s">
        <v>8</v>
      </c>
    </row>
    <row r="11" spans="2:4" ht="55.5" customHeight="1" x14ac:dyDescent="0.25">
      <c r="B11" s="37">
        <v>1</v>
      </c>
      <c r="C11" s="55" t="s">
        <v>9</v>
      </c>
      <c r="D11" s="123" t="s">
        <v>10</v>
      </c>
    </row>
    <row r="12" spans="2:4" ht="31.5" customHeight="1" x14ac:dyDescent="0.25">
      <c r="B12" s="37">
        <v>2</v>
      </c>
      <c r="C12" s="55" t="s">
        <v>11</v>
      </c>
      <c r="D12" s="123" t="s">
        <v>12</v>
      </c>
    </row>
    <row r="13" spans="2:4" ht="15.75" customHeight="1" x14ac:dyDescent="0.25">
      <c r="B13" s="37">
        <v>3</v>
      </c>
      <c r="C13" s="55" t="s">
        <v>13</v>
      </c>
      <c r="D13" s="123" t="s">
        <v>14</v>
      </c>
    </row>
    <row r="14" spans="2:4" ht="15.75" customHeight="1" x14ac:dyDescent="0.25">
      <c r="B14" s="37">
        <v>4</v>
      </c>
      <c r="C14" s="55" t="s">
        <v>15</v>
      </c>
      <c r="D14" s="123">
        <v>1</v>
      </c>
    </row>
    <row r="15" spans="2:4" ht="99.75" customHeight="1" x14ac:dyDescent="0.25">
      <c r="B15" s="37">
        <v>5</v>
      </c>
      <c r="C15" s="38" t="s">
        <v>16</v>
      </c>
      <c r="D15" s="130" t="s">
        <v>17</v>
      </c>
    </row>
    <row r="16" spans="2:4" ht="78.75" customHeight="1" x14ac:dyDescent="0.25">
      <c r="B16" s="37">
        <v>6</v>
      </c>
      <c r="C16" s="38" t="s">
        <v>18</v>
      </c>
      <c r="D16" s="131">
        <f>SUM(D17:D20)</f>
        <v>76.19</v>
      </c>
    </row>
    <row r="17" spans="2:7" ht="15.75" customHeight="1" x14ac:dyDescent="0.25">
      <c r="B17" s="76" t="s">
        <v>19</v>
      </c>
      <c r="C17" s="55" t="s">
        <v>20</v>
      </c>
      <c r="D17" s="131">
        <v>3.9</v>
      </c>
    </row>
    <row r="18" spans="2:7" ht="15.75" customHeight="1" x14ac:dyDescent="0.25">
      <c r="B18" s="76" t="s">
        <v>21</v>
      </c>
      <c r="C18" s="55" t="s">
        <v>22</v>
      </c>
      <c r="D18" s="131">
        <v>59.06</v>
      </c>
    </row>
    <row r="19" spans="2:7" ht="15.75" customHeight="1" x14ac:dyDescent="0.25">
      <c r="B19" s="76" t="s">
        <v>23</v>
      </c>
      <c r="C19" s="55" t="s">
        <v>24</v>
      </c>
      <c r="D19" s="131"/>
    </row>
    <row r="20" spans="2:7" ht="15.75" customHeight="1" x14ac:dyDescent="0.25">
      <c r="B20" s="76" t="s">
        <v>25</v>
      </c>
      <c r="C20" s="55" t="s">
        <v>26</v>
      </c>
      <c r="D20" s="131">
        <v>13.23</v>
      </c>
    </row>
    <row r="21" spans="2:7" ht="15.75" customHeight="1" x14ac:dyDescent="0.25">
      <c r="B21" s="37">
        <v>7</v>
      </c>
      <c r="C21" s="55" t="s">
        <v>27</v>
      </c>
      <c r="D21" s="132" t="s">
        <v>28</v>
      </c>
      <c r="G21" s="82"/>
    </row>
    <row r="22" spans="2:7" ht="110.25" customHeight="1" x14ac:dyDescent="0.25">
      <c r="B22" s="37">
        <v>8</v>
      </c>
      <c r="C22" s="38" t="s">
        <v>29</v>
      </c>
      <c r="D22" s="131">
        <f>D16</f>
        <v>76.19</v>
      </c>
    </row>
    <row r="23" spans="2:7" ht="47.25" customHeight="1" x14ac:dyDescent="0.25">
      <c r="B23" s="37">
        <v>9</v>
      </c>
      <c r="C23" s="38" t="s">
        <v>30</v>
      </c>
      <c r="D23" s="131">
        <f>D22/D14</f>
        <v>76.19</v>
      </c>
      <c r="G23" s="82"/>
    </row>
    <row r="24" spans="2:7" ht="110.25" hidden="1" customHeight="1" x14ac:dyDescent="0.25">
      <c r="B24" s="37">
        <v>10</v>
      </c>
      <c r="C24" s="55" t="s">
        <v>31</v>
      </c>
      <c r="D24" s="55" t="s">
        <v>32</v>
      </c>
    </row>
    <row r="25" spans="2:7" ht="37.5" customHeight="1" x14ac:dyDescent="0.25">
      <c r="B25" s="77"/>
      <c r="C25" s="78"/>
      <c r="D25" s="78"/>
    </row>
    <row r="26" spans="2:7" x14ac:dyDescent="0.25">
      <c r="B26" s="112" t="s">
        <v>275</v>
      </c>
      <c r="C26" s="121"/>
    </row>
    <row r="27" spans="2:7" x14ac:dyDescent="0.25">
      <c r="B27" s="120" t="s">
        <v>33</v>
      </c>
      <c r="C27" s="121"/>
    </row>
    <row r="28" spans="2:7" x14ac:dyDescent="0.25">
      <c r="B28" s="112"/>
      <c r="C28" s="121"/>
    </row>
    <row r="29" spans="2:7" x14ac:dyDescent="0.25">
      <c r="B29" s="112" t="s">
        <v>276</v>
      </c>
      <c r="C29" s="121"/>
    </row>
    <row r="30" spans="2:7" x14ac:dyDescent="0.25">
      <c r="B30" s="120" t="s">
        <v>34</v>
      </c>
      <c r="C30" s="121"/>
    </row>
    <row r="31" spans="2:7" ht="15.75" customHeight="1" x14ac:dyDescent="0.25">
      <c r="B31" s="78"/>
      <c r="C31" s="78"/>
      <c r="D31" s="78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255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256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58" t="s">
        <v>257</v>
      </c>
      <c r="B3" s="59">
        <v>2007</v>
      </c>
      <c r="C3" s="59">
        <v>2008</v>
      </c>
      <c r="D3" s="59">
        <v>2009</v>
      </c>
      <c r="E3" s="59">
        <v>2010</v>
      </c>
      <c r="F3" s="59">
        <v>2011</v>
      </c>
      <c r="G3" s="60">
        <v>2012</v>
      </c>
      <c r="H3" s="60">
        <v>2013</v>
      </c>
      <c r="I3" s="60">
        <v>2014</v>
      </c>
      <c r="J3" s="60">
        <v>2015</v>
      </c>
      <c r="K3" s="60">
        <v>2016</v>
      </c>
      <c r="L3" s="60">
        <v>2017</v>
      </c>
      <c r="M3" s="60">
        <v>2018</v>
      </c>
      <c r="N3" s="60">
        <v>2019</v>
      </c>
      <c r="O3" s="60">
        <v>2020</v>
      </c>
    </row>
    <row r="4" spans="1:15" x14ac:dyDescent="0.25">
      <c r="A4" s="61" t="s">
        <v>258</v>
      </c>
      <c r="B4" s="62">
        <f t="shared" ref="B4:O4" si="0">B15^(1/12)</f>
        <v>1.0136015752351999</v>
      </c>
      <c r="C4" s="63">
        <f t="shared" si="0"/>
        <v>1.0148854522991999</v>
      </c>
      <c r="D4" s="63">
        <f t="shared" si="0"/>
        <v>1.0040741237835999</v>
      </c>
      <c r="E4" s="63">
        <f t="shared" si="0"/>
        <v>1.0064340301100001</v>
      </c>
      <c r="F4" s="63">
        <f t="shared" si="0"/>
        <v>1.0070531864112999</v>
      </c>
      <c r="G4" s="63">
        <f t="shared" si="0"/>
        <v>1.0054973670825</v>
      </c>
      <c r="H4" s="63">
        <f t="shared" si="0"/>
        <v>1.0048675505653</v>
      </c>
      <c r="I4" s="63">
        <f t="shared" si="0"/>
        <v>1.0039944005553001</v>
      </c>
      <c r="J4" s="63">
        <f t="shared" si="0"/>
        <v>1.0088859305371001</v>
      </c>
      <c r="K4" s="63">
        <f t="shared" si="0"/>
        <v>1.0051042407585</v>
      </c>
      <c r="L4" s="63">
        <f t="shared" si="0"/>
        <v>1.0035947364110001</v>
      </c>
      <c r="M4" s="63">
        <f t="shared" si="0"/>
        <v>1.0037548121811</v>
      </c>
      <c r="N4" s="63">
        <f t="shared" si="0"/>
        <v>1.0035947364110001</v>
      </c>
      <c r="O4" s="63">
        <f t="shared" si="0"/>
        <v>1.00343437929</v>
      </c>
    </row>
    <row r="5" spans="1:15" x14ac:dyDescent="0.25">
      <c r="A5" s="64" t="s">
        <v>259</v>
      </c>
      <c r="B5" s="62">
        <f t="shared" ref="B5:O5" si="1">B4*B4</f>
        <v>1.0273881533192999</v>
      </c>
      <c r="C5" s="63">
        <f t="shared" si="1"/>
        <v>1.0299924812886001</v>
      </c>
      <c r="D5" s="63">
        <f t="shared" si="1"/>
        <v>1.0081648460518999</v>
      </c>
      <c r="E5" s="63">
        <f t="shared" si="1"/>
        <v>1.0129094569635</v>
      </c>
      <c r="F5" s="63">
        <f t="shared" si="1"/>
        <v>1.0141561202611999</v>
      </c>
      <c r="G5" s="63">
        <f t="shared" si="1"/>
        <v>1.0110249552099</v>
      </c>
      <c r="H5" s="63">
        <f t="shared" si="1"/>
        <v>1.0097587941791999</v>
      </c>
      <c r="I5" s="63">
        <f t="shared" si="1"/>
        <v>1.0080047563464001</v>
      </c>
      <c r="J5" s="63">
        <f t="shared" si="1"/>
        <v>1.0178508208357999</v>
      </c>
      <c r="K5" s="63">
        <f t="shared" si="1"/>
        <v>1.0102345347906001</v>
      </c>
      <c r="L5" s="63">
        <f t="shared" si="1"/>
        <v>1.0072023949519999</v>
      </c>
      <c r="M5" s="63">
        <f t="shared" si="1"/>
        <v>1.0075237229767999</v>
      </c>
      <c r="N5" s="63">
        <f t="shared" si="1"/>
        <v>1.0072023949519999</v>
      </c>
      <c r="O5" s="63">
        <f t="shared" si="1"/>
        <v>1.0068805535412</v>
      </c>
    </row>
    <row r="6" spans="1:15" ht="15.75" customHeight="1" x14ac:dyDescent="0.25">
      <c r="A6" s="65" t="s">
        <v>260</v>
      </c>
      <c r="B6" s="66">
        <f t="shared" ref="B6:O6" si="2">B4*B4*B4</f>
        <v>1.0413622505824001</v>
      </c>
      <c r="C6" s="67">
        <f t="shared" si="2"/>
        <v>1.0453243852373</v>
      </c>
      <c r="D6" s="67">
        <f t="shared" si="2"/>
        <v>1.0122722344290001</v>
      </c>
      <c r="E6" s="67">
        <f t="shared" si="2"/>
        <v>1.0194265469082999</v>
      </c>
      <c r="F6" s="67">
        <f t="shared" si="2"/>
        <v>1.0213091524275999</v>
      </c>
      <c r="G6" s="67">
        <f t="shared" si="2"/>
        <v>1.0165829305183001</v>
      </c>
      <c r="H6" s="67">
        <f t="shared" si="2"/>
        <v>1.0146738461686999</v>
      </c>
      <c r="I6" s="67">
        <f t="shared" si="2"/>
        <v>1.0120311311049</v>
      </c>
      <c r="J6" s="67">
        <f t="shared" si="2"/>
        <v>1.0268953725269001</v>
      </c>
      <c r="K6" s="67">
        <f t="shared" si="2"/>
        <v>1.0153910150787</v>
      </c>
      <c r="L6" s="67">
        <f t="shared" si="2"/>
        <v>1.0108230220743999</v>
      </c>
      <c r="M6" s="67">
        <f t="shared" si="2"/>
        <v>1.0113067853246001</v>
      </c>
      <c r="N6" s="67">
        <f t="shared" si="2"/>
        <v>1.0108230220743999</v>
      </c>
      <c r="O6" s="67">
        <f t="shared" si="2"/>
        <v>1.0103385632618</v>
      </c>
    </row>
    <row r="7" spans="1:15" x14ac:dyDescent="0.25">
      <c r="A7" s="61" t="s">
        <v>261</v>
      </c>
      <c r="B7" s="68">
        <f t="shared" ref="B7:O7" si="3">B4*B4*B4*B4</f>
        <v>1.0555264175807999</v>
      </c>
      <c r="C7" s="69">
        <f t="shared" si="3"/>
        <v>1.0608845115109999</v>
      </c>
      <c r="D7" s="69">
        <f t="shared" si="3"/>
        <v>1.0163963568148999</v>
      </c>
      <c r="E7" s="69">
        <f t="shared" si="3"/>
        <v>1.0259855680059999</v>
      </c>
      <c r="F7" s="69">
        <f t="shared" si="3"/>
        <v>1.0285126362632999</v>
      </c>
      <c r="G7" s="69">
        <f t="shared" si="3"/>
        <v>1.0221714600572001</v>
      </c>
      <c r="H7" s="69">
        <f t="shared" si="3"/>
        <v>1.0196128224222001</v>
      </c>
      <c r="I7" s="69">
        <f t="shared" si="3"/>
        <v>1.0160735888170001</v>
      </c>
      <c r="J7" s="69">
        <f t="shared" si="3"/>
        <v>1.0360202934761</v>
      </c>
      <c r="K7" s="69">
        <f t="shared" si="3"/>
        <v>1.0205738152835999</v>
      </c>
      <c r="L7" s="69">
        <f t="shared" si="3"/>
        <v>1.0144566643970001</v>
      </c>
      <c r="M7" s="69">
        <f t="shared" si="3"/>
        <v>1.015104052361</v>
      </c>
      <c r="N7" s="69">
        <f t="shared" si="3"/>
        <v>1.0144566643970001</v>
      </c>
      <c r="O7" s="69">
        <f t="shared" si="3"/>
        <v>1.0138084490993999</v>
      </c>
    </row>
    <row r="8" spans="1:15" x14ac:dyDescent="0.25">
      <c r="A8" s="64" t="s">
        <v>262</v>
      </c>
      <c r="B8" s="62">
        <f t="shared" ref="B8:O8" si="4">B4*B4*B4*B4*B4</f>
        <v>1.0698832395622999</v>
      </c>
      <c r="C8" s="63">
        <f t="shared" si="4"/>
        <v>1.0766762573021</v>
      </c>
      <c r="D8" s="63">
        <f t="shared" si="4"/>
        <v>1.0205372813858</v>
      </c>
      <c r="E8" s="63">
        <f t="shared" si="4"/>
        <v>1.0325867900429999</v>
      </c>
      <c r="F8" s="63">
        <f t="shared" si="4"/>
        <v>1.0357669276132999</v>
      </c>
      <c r="G8" s="63">
        <f t="shared" si="4"/>
        <v>1.0277907117944001</v>
      </c>
      <c r="H8" s="63">
        <f t="shared" si="4"/>
        <v>1.0245758393924</v>
      </c>
      <c r="I8" s="63">
        <f t="shared" si="4"/>
        <v>1.0201321937243999</v>
      </c>
      <c r="J8" s="63">
        <f t="shared" si="4"/>
        <v>1.0452262978389</v>
      </c>
      <c r="K8" s="63">
        <f t="shared" si="4"/>
        <v>1.0257830697485999</v>
      </c>
      <c r="L8" s="63">
        <f t="shared" si="4"/>
        <v>1.0181033687059</v>
      </c>
      <c r="M8" s="63">
        <f t="shared" si="4"/>
        <v>1.018915577422</v>
      </c>
      <c r="N8" s="63">
        <f t="shared" si="4"/>
        <v>1.0181033687059</v>
      </c>
      <c r="O8" s="63">
        <f t="shared" si="4"/>
        <v>1.0172902518411</v>
      </c>
    </row>
    <row r="9" spans="1:15" ht="15.75" customHeight="1" x14ac:dyDescent="0.25">
      <c r="A9" s="65" t="s">
        <v>263</v>
      </c>
      <c r="B9" s="66">
        <f t="shared" ref="B9:O9" si="5">B4*B4*B4*B4*B4*B4</f>
        <v>1.0844353369380999</v>
      </c>
      <c r="C9" s="67">
        <f t="shared" si="5"/>
        <v>1.0927030703717999</v>
      </c>
      <c r="D9" s="67">
        <f t="shared" si="5"/>
        <v>1.0246950765959999</v>
      </c>
      <c r="E9" s="67">
        <f t="shared" si="5"/>
        <v>1.0392304845413001</v>
      </c>
      <c r="F9" s="67">
        <f t="shared" si="5"/>
        <v>1.0430723848323999</v>
      </c>
      <c r="G9" s="67">
        <f t="shared" si="5"/>
        <v>1.0334408546211</v>
      </c>
      <c r="H9" s="67">
        <f t="shared" si="5"/>
        <v>1.0295630140987</v>
      </c>
      <c r="I9" s="67">
        <f t="shared" si="5"/>
        <v>1.0242070103255001</v>
      </c>
      <c r="J9" s="67">
        <f t="shared" si="5"/>
        <v>1.0545141061170999</v>
      </c>
      <c r="K9" s="67">
        <f t="shared" si="5"/>
        <v>1.0310189135026</v>
      </c>
      <c r="L9" s="67">
        <f t="shared" si="5"/>
        <v>1.0217631819555999</v>
      </c>
      <c r="M9" s="67">
        <f t="shared" si="5"/>
        <v>1.0227414140436</v>
      </c>
      <c r="N9" s="67">
        <f t="shared" si="5"/>
        <v>1.0217631819555999</v>
      </c>
      <c r="O9" s="67">
        <f t="shared" si="5"/>
        <v>1.020784012414</v>
      </c>
    </row>
    <row r="10" spans="1:15" x14ac:dyDescent="0.25">
      <c r="A10" s="61" t="s">
        <v>264</v>
      </c>
      <c r="B10" s="68">
        <f t="shared" ref="B10:O10" si="6">B4*B4*B4*B4*B4*B4*B4</f>
        <v>1.0991853657612001</v>
      </c>
      <c r="C10" s="69">
        <f t="shared" si="6"/>
        <v>1.1089684498029999</v>
      </c>
      <c r="D10" s="69">
        <f t="shared" si="6"/>
        <v>1.0288698111785</v>
      </c>
      <c r="E10" s="69">
        <f t="shared" si="6"/>
        <v>1.0459169247700999</v>
      </c>
      <c r="F10" s="69">
        <f t="shared" si="6"/>
        <v>1.0504293688032</v>
      </c>
      <c r="G10" s="69">
        <f t="shared" si="6"/>
        <v>1.039122058357</v>
      </c>
      <c r="H10" s="69">
        <f t="shared" si="6"/>
        <v>1.0345744641300001</v>
      </c>
      <c r="I10" s="69">
        <f t="shared" si="6"/>
        <v>1.0282981033764</v>
      </c>
      <c r="J10" s="69">
        <f t="shared" si="6"/>
        <v>1.0638844452145</v>
      </c>
      <c r="K10" s="69">
        <f t="shared" si="6"/>
        <v>1.0362814822636</v>
      </c>
      <c r="L10" s="69">
        <f t="shared" si="6"/>
        <v>1.0254361512692001</v>
      </c>
      <c r="M10" s="69">
        <f t="shared" si="6"/>
        <v>1.0265816159633001</v>
      </c>
      <c r="N10" s="69">
        <f t="shared" si="6"/>
        <v>1.0254361512692001</v>
      </c>
      <c r="O10" s="69">
        <f t="shared" si="6"/>
        <v>1.0242897718857999</v>
      </c>
    </row>
    <row r="11" spans="1:15" x14ac:dyDescent="0.25">
      <c r="A11" s="64" t="s">
        <v>265</v>
      </c>
      <c r="B11" s="62">
        <f t="shared" ref="B11:O11" si="7">B4*B4*B4*B4*B4*B4*B4*B4</f>
        <v>1.1141360182110001</v>
      </c>
      <c r="C11" s="63">
        <f t="shared" si="7"/>
        <v>1.1254759467638999</v>
      </c>
      <c r="D11" s="63">
        <f t="shared" si="7"/>
        <v>1.0330615541465</v>
      </c>
      <c r="E11" s="63">
        <f t="shared" si="7"/>
        <v>1.0526463857566</v>
      </c>
      <c r="F11" s="63">
        <f t="shared" si="7"/>
        <v>1.0578382429533</v>
      </c>
      <c r="G11" s="63">
        <f t="shared" si="7"/>
        <v>1.0448344937553999</v>
      </c>
      <c r="H11" s="63">
        <f t="shared" si="7"/>
        <v>1.0396103076478</v>
      </c>
      <c r="I11" s="63">
        <f t="shared" si="7"/>
        <v>1.0324055378915</v>
      </c>
      <c r="J11" s="63">
        <f t="shared" si="7"/>
        <v>1.0733380484941999</v>
      </c>
      <c r="K11" s="63">
        <f t="shared" si="7"/>
        <v>1.0415709124426</v>
      </c>
      <c r="L11" s="63">
        <f t="shared" si="7"/>
        <v>1.0291223239394001</v>
      </c>
      <c r="M11" s="63">
        <f t="shared" si="7"/>
        <v>1.0304362371197999</v>
      </c>
      <c r="N11" s="63">
        <f t="shared" si="7"/>
        <v>1.0291223239394001</v>
      </c>
      <c r="O11" s="63">
        <f t="shared" si="7"/>
        <v>1.0278075714654</v>
      </c>
    </row>
    <row r="12" spans="1:15" ht="15.75" customHeight="1" x14ac:dyDescent="0.25">
      <c r="A12" s="65" t="s">
        <v>266</v>
      </c>
      <c r="B12" s="66">
        <f t="shared" ref="B12:O12" si="8">B4*B4*B4*B4*B4*B4*B4*B4*B4</f>
        <v>1.1292900230848999</v>
      </c>
      <c r="C12" s="67">
        <f t="shared" si="8"/>
        <v>1.1422291652834</v>
      </c>
      <c r="D12" s="67">
        <f t="shared" si="8"/>
        <v>1.0372703747942</v>
      </c>
      <c r="E12" s="67">
        <f t="shared" si="8"/>
        <v>1.0594191442978</v>
      </c>
      <c r="F12" s="67">
        <f t="shared" si="8"/>
        <v>1.0652993732739</v>
      </c>
      <c r="G12" s="67">
        <f t="shared" si="8"/>
        <v>1.050578332508</v>
      </c>
      <c r="H12" s="67">
        <f t="shared" si="8"/>
        <v>1.0446706633884999</v>
      </c>
      <c r="I12" s="67">
        <f t="shared" si="8"/>
        <v>1.0365293791454</v>
      </c>
      <c r="J12" s="67">
        <f t="shared" si="8"/>
        <v>1.082875655836</v>
      </c>
      <c r="K12" s="67">
        <f t="shared" si="8"/>
        <v>1.0468873411466999</v>
      </c>
      <c r="L12" s="67">
        <f t="shared" si="8"/>
        <v>1.0328217474287</v>
      </c>
      <c r="M12" s="67">
        <f t="shared" si="8"/>
        <v>1.0343053316549</v>
      </c>
      <c r="N12" s="67">
        <f t="shared" si="8"/>
        <v>1.0328217474287</v>
      </c>
      <c r="O12" s="67">
        <f t="shared" si="8"/>
        <v>1.0313374525029999</v>
      </c>
    </row>
    <row r="13" spans="1:15" x14ac:dyDescent="0.25">
      <c r="A13" s="61" t="s">
        <v>267</v>
      </c>
      <c r="B13" s="68">
        <f t="shared" ref="B13:O13" si="9">B4*B4*B4*B4*B4*B4*B4*B4*B4*B4</f>
        <v>1.1446501462962999</v>
      </c>
      <c r="C13" s="69">
        <f t="shared" si="9"/>
        <v>1.159231763038</v>
      </c>
      <c r="D13" s="69">
        <f t="shared" si="9"/>
        <v>1.0414963426982999</v>
      </c>
      <c r="E13" s="69">
        <f t="shared" si="9"/>
        <v>1.0662354789713</v>
      </c>
      <c r="F13" s="69">
        <f t="shared" si="9"/>
        <v>1.0728131283374001</v>
      </c>
      <c r="G13" s="69">
        <f t="shared" si="9"/>
        <v>1.0563537472508</v>
      </c>
      <c r="H13" s="69">
        <f t="shared" si="9"/>
        <v>1.0497556506667001</v>
      </c>
      <c r="I13" s="69">
        <f t="shared" si="9"/>
        <v>1.0406696926729999</v>
      </c>
      <c r="J13" s="69">
        <f t="shared" si="9"/>
        <v>1.0924980136941</v>
      </c>
      <c r="K13" s="69">
        <f t="shared" si="9"/>
        <v>1.0522309061829</v>
      </c>
      <c r="L13" s="69">
        <f t="shared" si="9"/>
        <v>1.0365344693703</v>
      </c>
      <c r="M13" s="69">
        <f t="shared" si="9"/>
        <v>1.0381889539132001</v>
      </c>
      <c r="N13" s="69">
        <f t="shared" si="9"/>
        <v>1.0365344693703</v>
      </c>
      <c r="O13" s="69">
        <f t="shared" si="9"/>
        <v>1.0348794564909001</v>
      </c>
    </row>
    <row r="14" spans="1:15" x14ac:dyDescent="0.25">
      <c r="A14" s="64" t="s">
        <v>268</v>
      </c>
      <c r="B14" s="62">
        <f t="shared" ref="B14:O14" si="10">B4*B4*B4*B4*B4*B4*B4*B4*B4*B4*B4</f>
        <v>1.1602191913791</v>
      </c>
      <c r="C14" s="63">
        <f t="shared" si="10"/>
        <v>1.1764874521504001</v>
      </c>
      <c r="D14" s="63">
        <f t="shared" si="10"/>
        <v>1.0457395277185999</v>
      </c>
      <c r="E14" s="63">
        <f t="shared" si="10"/>
        <v>1.0730956701473999</v>
      </c>
      <c r="F14" s="63">
        <f t="shared" si="10"/>
        <v>1.0803798793160999</v>
      </c>
      <c r="G14" s="63">
        <f t="shared" si="10"/>
        <v>1.0621609115684001</v>
      </c>
      <c r="H14" s="63">
        <f t="shared" si="10"/>
        <v>1.0548653893776001</v>
      </c>
      <c r="I14" s="63">
        <f t="shared" si="10"/>
        <v>1.0448265442714</v>
      </c>
      <c r="J14" s="63">
        <f t="shared" si="10"/>
        <v>1.1022058751557</v>
      </c>
      <c r="K14" s="63">
        <f t="shared" si="10"/>
        <v>1.0576017460614999</v>
      </c>
      <c r="L14" s="63">
        <f t="shared" si="10"/>
        <v>1.0402605375686</v>
      </c>
      <c r="M14" s="63">
        <f t="shared" si="10"/>
        <v>1.0420871584436999</v>
      </c>
      <c r="N14" s="63">
        <f t="shared" si="10"/>
        <v>1.0402605375686</v>
      </c>
      <c r="O14" s="63">
        <f t="shared" si="10"/>
        <v>1.0384336250640001</v>
      </c>
    </row>
    <row r="15" spans="1:15" ht="15.75" customHeight="1" x14ac:dyDescent="0.25">
      <c r="A15" s="70" t="s">
        <v>269</v>
      </c>
      <c r="B15" s="71">
        <f>117.6/100</f>
        <v>1.1759999999999999</v>
      </c>
      <c r="C15" s="72">
        <v>1.194</v>
      </c>
      <c r="D15" s="72">
        <v>1.05</v>
      </c>
      <c r="E15" s="72">
        <f>1.08</f>
        <v>1.08</v>
      </c>
      <c r="F15" s="72">
        <v>1.0880000000000001</v>
      </c>
      <c r="G15" s="72">
        <v>1.0680000000000001</v>
      </c>
      <c r="H15" s="72">
        <v>1.06</v>
      </c>
      <c r="I15" s="72">
        <v>1.0489999999999999</v>
      </c>
      <c r="J15" s="72">
        <v>1.1120000000000001</v>
      </c>
      <c r="K15" s="72">
        <v>1.0629999999999999</v>
      </c>
      <c r="L15" s="72">
        <v>1.044</v>
      </c>
      <c r="M15" s="72">
        <v>1.046</v>
      </c>
      <c r="N15" s="72">
        <v>1.044</v>
      </c>
      <c r="O15" s="72">
        <v>1.042</v>
      </c>
    </row>
    <row r="16" spans="1:15" ht="29.25" customHeight="1" x14ac:dyDescent="0.25">
      <c r="A16" s="184" t="s">
        <v>270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73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271</v>
      </c>
      <c r="B2" s="181"/>
      <c r="C2" s="181"/>
      <c r="D2" s="181"/>
      <c r="E2" s="181"/>
      <c r="F2" s="181"/>
    </row>
    <row r="4" spans="1:7" ht="18" customHeight="1" x14ac:dyDescent="0.25">
      <c r="A4" s="20" t="s">
        <v>219</v>
      </c>
    </row>
    <row r="5" spans="1:7" x14ac:dyDescent="0.25">
      <c r="A5" s="21" t="s">
        <v>149</v>
      </c>
      <c r="B5" s="21" t="s">
        <v>220</v>
      </c>
      <c r="C5" s="21" t="s">
        <v>221</v>
      </c>
      <c r="D5" s="21" t="s">
        <v>222</v>
      </c>
      <c r="E5" s="21" t="s">
        <v>223</v>
      </c>
      <c r="F5" s="21" t="s">
        <v>224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225</v>
      </c>
      <c r="B7" s="24" t="s">
        <v>226</v>
      </c>
      <c r="C7" s="23" t="s">
        <v>227</v>
      </c>
      <c r="D7" s="23" t="s">
        <v>228</v>
      </c>
      <c r="E7" s="25">
        <v>43361</v>
      </c>
      <c r="F7" s="24" t="s">
        <v>272</v>
      </c>
    </row>
    <row r="8" spans="1:7" ht="30" customHeight="1" x14ac:dyDescent="0.25">
      <c r="A8" s="22" t="s">
        <v>230</v>
      </c>
      <c r="B8" s="24" t="s">
        <v>231</v>
      </c>
      <c r="C8" s="23" t="s">
        <v>232</v>
      </c>
      <c r="D8" s="23" t="s">
        <v>233</v>
      </c>
      <c r="E8" s="25">
        <f>1973/12</f>
        <v>164.41666666667001</v>
      </c>
      <c r="F8" s="24" t="s">
        <v>234</v>
      </c>
      <c r="G8" s="26"/>
    </row>
    <row r="9" spans="1:7" x14ac:dyDescent="0.25">
      <c r="A9" s="22" t="s">
        <v>235</v>
      </c>
      <c r="B9" s="24" t="s">
        <v>236</v>
      </c>
      <c r="C9" s="23" t="s">
        <v>237</v>
      </c>
      <c r="D9" s="23" t="s">
        <v>228</v>
      </c>
      <c r="E9" s="25">
        <v>1</v>
      </c>
      <c r="F9" s="24"/>
      <c r="G9" s="27"/>
    </row>
    <row r="10" spans="1:7" x14ac:dyDescent="0.25">
      <c r="A10" s="22" t="s">
        <v>238</v>
      </c>
      <c r="B10" s="24" t="s">
        <v>239</v>
      </c>
      <c r="C10" s="23"/>
      <c r="D10" s="23"/>
      <c r="E10" s="28">
        <v>1</v>
      </c>
      <c r="F10" s="24" t="s">
        <v>240</v>
      </c>
      <c r="G10" s="27"/>
    </row>
    <row r="11" spans="1:7" ht="75" customHeight="1" x14ac:dyDescent="0.25">
      <c r="A11" s="22" t="s">
        <v>241</v>
      </c>
      <c r="B11" s="24" t="s">
        <v>242</v>
      </c>
      <c r="C11" s="23" t="s">
        <v>243</v>
      </c>
      <c r="D11" s="23" t="s">
        <v>228</v>
      </c>
      <c r="E11" s="29">
        <v>2.15</v>
      </c>
      <c r="F11" s="24" t="s">
        <v>273</v>
      </c>
    </row>
    <row r="12" spans="1:7" ht="75" customHeight="1" x14ac:dyDescent="0.25">
      <c r="A12" s="22" t="s">
        <v>245</v>
      </c>
      <c r="B12" s="30" t="s">
        <v>246</v>
      </c>
      <c r="C12" s="23" t="s">
        <v>247</v>
      </c>
      <c r="D12" s="23" t="s">
        <v>228</v>
      </c>
      <c r="E12" s="31">
        <v>1.139</v>
      </c>
      <c r="F12" s="32" t="s">
        <v>248</v>
      </c>
      <c r="G12" s="27" t="s">
        <v>249</v>
      </c>
    </row>
    <row r="13" spans="1:7" ht="60" customHeight="1" x14ac:dyDescent="0.25">
      <c r="A13" s="22" t="s">
        <v>250</v>
      </c>
      <c r="B13" s="33" t="s">
        <v>274</v>
      </c>
      <c r="C13" s="23" t="s">
        <v>252</v>
      </c>
      <c r="D13" s="23" t="s">
        <v>253</v>
      </c>
      <c r="E13" s="34">
        <f>((E7*E9/E8)*E11)*E12</f>
        <v>645.82616229093003</v>
      </c>
      <c r="F13" s="24" t="s">
        <v>254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77"/>
      <c r="D3" s="77"/>
      <c r="E3" s="77"/>
      <c r="F3" s="77"/>
      <c r="G3" s="77"/>
      <c r="H3" s="77"/>
      <c r="I3" s="77"/>
      <c r="J3" s="83" t="s">
        <v>35</v>
      </c>
      <c r="K3" s="77"/>
    </row>
    <row r="4" spans="2:11" ht="15.75" customHeight="1" x14ac:dyDescent="0.25">
      <c r="B4" s="148" t="s">
        <v>36</v>
      </c>
      <c r="C4" s="148"/>
      <c r="D4" s="148"/>
      <c r="E4" s="148"/>
      <c r="F4" s="148"/>
      <c r="G4" s="148"/>
      <c r="H4" s="148"/>
      <c r="I4" s="148"/>
      <c r="J4" s="148"/>
      <c r="K4" s="148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39.75" customHeight="1" x14ac:dyDescent="0.25">
      <c r="B6" s="147" t="str">
        <f>'Прил.1 Сравнит табл'!B6</f>
        <v>Наименование разрабатываемого показателя УНЦ - Ввод линейный (выключателя, трансформатора) на одну фазу (номинальный ток, 1000 А и выше) без устройства фундамента напряжение 35(20) кВ</v>
      </c>
      <c r="C6" s="147"/>
      <c r="D6" s="147"/>
      <c r="E6" s="147"/>
      <c r="F6" s="147"/>
      <c r="G6" s="147"/>
      <c r="H6" s="147"/>
      <c r="I6" s="147"/>
      <c r="J6" s="147"/>
      <c r="K6" s="77"/>
    </row>
    <row r="7" spans="2:11" ht="15.75" customHeight="1" x14ac:dyDescent="0.25">
      <c r="B7" s="77" t="str">
        <f>'Прил.1 Сравнит табл'!B8</f>
        <v>Единица измерения  — 1 ед.</v>
      </c>
      <c r="C7" s="77"/>
      <c r="D7" s="77"/>
      <c r="E7" s="77"/>
      <c r="F7" s="77"/>
      <c r="G7" s="77"/>
      <c r="H7" s="77"/>
      <c r="I7" s="77"/>
      <c r="J7" s="77"/>
      <c r="K7" s="77"/>
    </row>
    <row r="8" spans="2:11" ht="18.75" customHeight="1" x14ac:dyDescent="0.25">
      <c r="B8" s="36"/>
    </row>
    <row r="9" spans="2:11" ht="15.75" customHeight="1" x14ac:dyDescent="0.25">
      <c r="B9" s="151" t="s">
        <v>6</v>
      </c>
      <c r="C9" s="151" t="s">
        <v>37</v>
      </c>
      <c r="D9" s="151" t="s">
        <v>38</v>
      </c>
      <c r="E9" s="151"/>
      <c r="F9" s="151"/>
      <c r="G9" s="151"/>
      <c r="H9" s="151"/>
      <c r="I9" s="151"/>
      <c r="J9" s="151"/>
    </row>
    <row r="10" spans="2:11" ht="15.75" customHeight="1" x14ac:dyDescent="0.25">
      <c r="B10" s="151"/>
      <c r="C10" s="151"/>
      <c r="D10" s="151" t="s">
        <v>39</v>
      </c>
      <c r="E10" s="151" t="s">
        <v>40</v>
      </c>
      <c r="F10" s="151" t="s">
        <v>41</v>
      </c>
      <c r="G10" s="151"/>
      <c r="H10" s="151"/>
      <c r="I10" s="151"/>
      <c r="J10" s="151"/>
    </row>
    <row r="11" spans="2:11" ht="31.5" customHeight="1" x14ac:dyDescent="0.25">
      <c r="B11" s="151"/>
      <c r="C11" s="151"/>
      <c r="D11" s="151"/>
      <c r="E11" s="151"/>
      <c r="F11" s="130" t="s">
        <v>42</v>
      </c>
      <c r="G11" s="130" t="s">
        <v>43</v>
      </c>
      <c r="H11" s="130" t="s">
        <v>44</v>
      </c>
      <c r="I11" s="130" t="s">
        <v>45</v>
      </c>
      <c r="J11" s="130" t="s">
        <v>46</v>
      </c>
    </row>
    <row r="12" spans="2:11" ht="63" customHeight="1" x14ac:dyDescent="0.25">
      <c r="B12" s="133">
        <v>1</v>
      </c>
      <c r="C12" s="129" t="s">
        <v>47</v>
      </c>
      <c r="D12" s="134" t="s">
        <v>48</v>
      </c>
      <c r="E12" s="135" t="s">
        <v>49</v>
      </c>
      <c r="F12" s="136">
        <f>647*6.03/1000</f>
        <v>3.9014099999999998</v>
      </c>
      <c r="G12" s="136"/>
      <c r="H12" s="136">
        <f>14691*4.02/1000</f>
        <v>59.05782</v>
      </c>
      <c r="I12" s="136">
        <f>1675*7.9/1000</f>
        <v>13.2325</v>
      </c>
      <c r="J12" s="136">
        <f>SUM(F12:I12)</f>
        <v>76.191730000000007</v>
      </c>
    </row>
    <row r="13" spans="2:11" ht="15" customHeight="1" x14ac:dyDescent="0.25">
      <c r="B13" s="149" t="s">
        <v>50</v>
      </c>
      <c r="C13" s="149"/>
      <c r="D13" s="149"/>
      <c r="E13" s="149"/>
      <c r="F13" s="137">
        <f>SUM(F12)</f>
        <v>3.9014099999999998</v>
      </c>
      <c r="G13" s="137"/>
      <c r="H13" s="137">
        <f>SUM(H12)</f>
        <v>59.05782</v>
      </c>
      <c r="I13" s="137">
        <f>SUM(I12)</f>
        <v>13.2325</v>
      </c>
      <c r="J13" s="137">
        <f>SUM(J12)</f>
        <v>76.191730000000007</v>
      </c>
    </row>
    <row r="14" spans="2:11" ht="15.75" customHeight="1" x14ac:dyDescent="0.25">
      <c r="B14" s="150" t="s">
        <v>51</v>
      </c>
      <c r="C14" s="150"/>
      <c r="D14" s="150"/>
      <c r="E14" s="150"/>
      <c r="F14" s="138">
        <f>F13</f>
        <v>3.9014099999999998</v>
      </c>
      <c r="G14" s="138"/>
      <c r="H14" s="138">
        <f>H13</f>
        <v>59.05782</v>
      </c>
      <c r="I14" s="138">
        <f>I13</f>
        <v>13.2325</v>
      </c>
      <c r="J14" s="138">
        <f>J13</f>
        <v>76.191730000000007</v>
      </c>
    </row>
    <row r="18" spans="2:3" x14ac:dyDescent="0.25">
      <c r="B18" s="112" t="s">
        <v>275</v>
      </c>
      <c r="C18" s="121"/>
    </row>
    <row r="19" spans="2:3" x14ac:dyDescent="0.25">
      <c r="B19" s="120" t="s">
        <v>33</v>
      </c>
      <c r="C19" s="121"/>
    </row>
    <row r="20" spans="2:3" x14ac:dyDescent="0.25">
      <c r="B20" s="112"/>
      <c r="C20" s="121"/>
    </row>
    <row r="21" spans="2:3" x14ac:dyDescent="0.25">
      <c r="B21" s="112" t="s">
        <v>276</v>
      </c>
      <c r="C21" s="121"/>
    </row>
    <row r="22" spans="2:3" x14ac:dyDescent="0.25">
      <c r="B22" s="120" t="s">
        <v>34</v>
      </c>
      <c r="C22" s="121"/>
    </row>
  </sheetData>
  <mergeCells count="10">
    <mergeCell ref="B4:K4"/>
    <mergeCell ref="B6:J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view="pageBreakPreview" topLeftCell="A27" zoomScaleSheetLayoutView="100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44" t="s">
        <v>52</v>
      </c>
      <c r="B1" s="144"/>
      <c r="C1" s="144"/>
      <c r="D1" s="144"/>
      <c r="E1" s="144"/>
      <c r="F1" s="144"/>
      <c r="G1" s="144"/>
      <c r="H1" s="144"/>
    </row>
    <row r="2" spans="1:12" ht="18.75" customHeight="1" x14ac:dyDescent="0.25">
      <c r="A2" s="145" t="s">
        <v>53</v>
      </c>
      <c r="B2" s="145"/>
      <c r="C2" s="145"/>
      <c r="D2" s="145"/>
      <c r="E2" s="145"/>
      <c r="F2" s="145"/>
      <c r="G2" s="145"/>
      <c r="H2" s="145"/>
    </row>
    <row r="3" spans="1:12" x14ac:dyDescent="0.25">
      <c r="B3" s="80"/>
    </row>
    <row r="4" spans="1:12" ht="18.75" customHeight="1" x14ac:dyDescent="0.25">
      <c r="A4" s="81"/>
      <c r="B4" s="81"/>
      <c r="C4" s="156"/>
      <c r="D4" s="156"/>
      <c r="E4" s="156"/>
      <c r="F4" s="156"/>
      <c r="G4" s="156"/>
      <c r="H4" s="156"/>
    </row>
    <row r="5" spans="1:12" ht="18.75" customHeight="1" x14ac:dyDescent="0.25">
      <c r="A5" s="36"/>
    </row>
    <row r="6" spans="1:12" ht="32.25" customHeight="1" x14ac:dyDescent="0.25">
      <c r="A6" s="152" t="s">
        <v>3</v>
      </c>
      <c r="B6" s="152"/>
      <c r="C6" s="152"/>
      <c r="D6" s="152"/>
      <c r="E6" s="152"/>
      <c r="F6" s="152"/>
      <c r="G6" s="152"/>
      <c r="H6" s="152"/>
    </row>
    <row r="7" spans="1:12" ht="42" hidden="1" customHeight="1" x14ac:dyDescent="0.25">
      <c r="A7" s="84"/>
      <c r="B7" s="84"/>
      <c r="C7" s="84"/>
      <c r="D7" s="77"/>
      <c r="E7" s="87"/>
      <c r="F7" s="87"/>
      <c r="G7" s="87"/>
      <c r="H7" s="87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53"/>
    </row>
    <row r="9" spans="1:12" ht="38.25" customHeight="1" x14ac:dyDescent="0.25">
      <c r="A9" s="151" t="s">
        <v>54</v>
      </c>
      <c r="B9" s="151" t="s">
        <v>55</v>
      </c>
      <c r="C9" s="151" t="s">
        <v>56</v>
      </c>
      <c r="D9" s="151" t="s">
        <v>57</v>
      </c>
      <c r="E9" s="151" t="s">
        <v>58</v>
      </c>
      <c r="F9" s="151" t="s">
        <v>59</v>
      </c>
      <c r="G9" s="151" t="s">
        <v>60</v>
      </c>
      <c r="H9" s="151"/>
    </row>
    <row r="10" spans="1:12" ht="40.5" customHeight="1" x14ac:dyDescent="0.25">
      <c r="A10" s="151"/>
      <c r="B10" s="151"/>
      <c r="C10" s="151"/>
      <c r="D10" s="151"/>
      <c r="E10" s="151"/>
      <c r="F10" s="151"/>
      <c r="G10" s="37" t="s">
        <v>61</v>
      </c>
      <c r="H10" s="37" t="s">
        <v>62</v>
      </c>
    </row>
    <row r="11" spans="1:12" ht="15.75" customHeight="1" x14ac:dyDescent="0.25">
      <c r="A11" s="37">
        <v>1</v>
      </c>
      <c r="B11" s="44"/>
      <c r="C11" s="37">
        <v>2</v>
      </c>
      <c r="D11" s="37" t="s">
        <v>63</v>
      </c>
      <c r="E11" s="37">
        <v>4</v>
      </c>
      <c r="F11" s="37">
        <v>5</v>
      </c>
      <c r="G11" s="44">
        <v>6</v>
      </c>
      <c r="H11" s="44">
        <v>7</v>
      </c>
    </row>
    <row r="12" spans="1:12" ht="15" customHeight="1" x14ac:dyDescent="0.25">
      <c r="A12" s="154" t="s">
        <v>64</v>
      </c>
      <c r="B12" s="155"/>
      <c r="C12" s="155"/>
      <c r="D12" s="155"/>
      <c r="E12" s="155"/>
      <c r="F12" s="45">
        <f>SUM(F13:F13)</f>
        <v>13.790020790021</v>
      </c>
      <c r="G12" s="46"/>
      <c r="H12" s="45">
        <f>SUM(H13:H13)</f>
        <v>132.66</v>
      </c>
      <c r="J12" s="56"/>
      <c r="K12" s="18"/>
    </row>
    <row r="13" spans="1:12" x14ac:dyDescent="0.25">
      <c r="A13" s="50">
        <v>1</v>
      </c>
      <c r="B13" s="21"/>
      <c r="C13" s="50" t="s">
        <v>65</v>
      </c>
      <c r="D13" s="126" t="s">
        <v>66</v>
      </c>
      <c r="E13" s="125" t="s">
        <v>67</v>
      </c>
      <c r="F13" s="139">
        <v>13.790020790021</v>
      </c>
      <c r="G13" s="14">
        <v>9.6199999999999992</v>
      </c>
      <c r="H13" s="14">
        <f>ROUND(F13*G13,2)</f>
        <v>132.66</v>
      </c>
    </row>
    <row r="14" spans="1:12" ht="15" customHeight="1" x14ac:dyDescent="0.25">
      <c r="A14" s="153" t="s">
        <v>68</v>
      </c>
      <c r="B14" s="153"/>
      <c r="C14" s="153"/>
      <c r="D14" s="153"/>
      <c r="E14" s="153"/>
      <c r="F14" s="46"/>
      <c r="G14" s="46"/>
      <c r="H14" s="45">
        <f>H15</f>
        <v>2.0501999999999998</v>
      </c>
    </row>
    <row r="15" spans="1:12" x14ac:dyDescent="0.25">
      <c r="A15" s="140">
        <v>2</v>
      </c>
      <c r="B15" s="21"/>
      <c r="C15" s="50">
        <v>2</v>
      </c>
      <c r="D15" s="126" t="s">
        <v>68</v>
      </c>
      <c r="E15" s="125" t="s">
        <v>69</v>
      </c>
      <c r="F15" s="125">
        <f>'Прил.5 Расчет СМР и ОБ'!E16</f>
        <v>0.16320000000000001</v>
      </c>
      <c r="G15" s="14"/>
      <c r="H15" s="141">
        <f>'Прил.5 Расчет СМР и ОБ'!G16</f>
        <v>2.0501999999999998</v>
      </c>
      <c r="L15" s="42"/>
    </row>
    <row r="16" spans="1:12" ht="15" customHeight="1" x14ac:dyDescent="0.25">
      <c r="A16" s="153" t="s">
        <v>70</v>
      </c>
      <c r="B16" s="153"/>
      <c r="C16" s="153"/>
      <c r="D16" s="153"/>
      <c r="E16" s="153"/>
      <c r="F16" s="46"/>
      <c r="G16" s="46"/>
      <c r="H16" s="45">
        <f>SUM(H17:H18)</f>
        <v>14.22</v>
      </c>
      <c r="K16" s="18"/>
    </row>
    <row r="17" spans="1:11" ht="25.5" customHeight="1" x14ac:dyDescent="0.25">
      <c r="A17" s="50">
        <f>A15+1</f>
        <v>3</v>
      </c>
      <c r="B17" s="21"/>
      <c r="C17" s="50" t="s">
        <v>71</v>
      </c>
      <c r="D17" s="126" t="s">
        <v>72</v>
      </c>
      <c r="E17" s="125" t="s">
        <v>73</v>
      </c>
      <c r="F17" s="50">
        <v>0.08</v>
      </c>
      <c r="G17" s="128">
        <v>111.99</v>
      </c>
      <c r="H17" s="14">
        <f>ROUND(F17*G17,2)</f>
        <v>8.9600000000000009</v>
      </c>
    </row>
    <row r="18" spans="1:11" x14ac:dyDescent="0.25">
      <c r="A18" s="50">
        <f>A17+1</f>
        <v>4</v>
      </c>
      <c r="B18" s="21"/>
      <c r="C18" s="50" t="s">
        <v>74</v>
      </c>
      <c r="D18" s="126" t="s">
        <v>75</v>
      </c>
      <c r="E18" s="125" t="s">
        <v>73</v>
      </c>
      <c r="F18" s="50">
        <v>0.08</v>
      </c>
      <c r="G18" s="128">
        <v>65.709999999999994</v>
      </c>
      <c r="H18" s="14">
        <f>ROUND(F18*G18,2)</f>
        <v>5.26</v>
      </c>
    </row>
    <row r="19" spans="1:11" ht="15" customHeight="1" x14ac:dyDescent="0.25">
      <c r="A19" s="153" t="s">
        <v>44</v>
      </c>
      <c r="B19" s="153"/>
      <c r="C19" s="153"/>
      <c r="D19" s="153"/>
      <c r="E19" s="153"/>
      <c r="F19" s="46"/>
      <c r="G19" s="46"/>
      <c r="H19" s="45">
        <f>SUM(H20:H20)</f>
        <v>44093.29</v>
      </c>
    </row>
    <row r="20" spans="1:11" x14ac:dyDescent="0.25">
      <c r="A20" s="140">
        <v>5</v>
      </c>
      <c r="B20" s="124"/>
      <c r="C20" s="50" t="s">
        <v>76</v>
      </c>
      <c r="D20" s="90" t="str">
        <f>'Прил.5 Расчет СМР и ОБ'!C26</f>
        <v>Ввод трансформатора 35 кВ</v>
      </c>
      <c r="E20" s="50" t="str">
        <f>'Прил.5 Расчет СМР и ОБ'!D26</f>
        <v>к-т</v>
      </c>
      <c r="F20" s="50">
        <f>'Прил.5 Расчет СМР и ОБ'!E26</f>
        <v>1</v>
      </c>
      <c r="G20" s="14">
        <v>44093.29</v>
      </c>
      <c r="H20" s="14">
        <f>ROUND(F20*G20,2)</f>
        <v>44093.29</v>
      </c>
    </row>
    <row r="21" spans="1:11" ht="15" customHeight="1" x14ac:dyDescent="0.25">
      <c r="A21" s="153" t="s">
        <v>77</v>
      </c>
      <c r="B21" s="153"/>
      <c r="C21" s="153"/>
      <c r="D21" s="153"/>
      <c r="E21" s="153"/>
      <c r="F21" s="46"/>
      <c r="G21" s="46"/>
      <c r="H21" s="45">
        <f>SUM(H22:H33)</f>
        <v>515.48</v>
      </c>
      <c r="K21" s="18"/>
    </row>
    <row r="22" spans="1:11" ht="25.5" customHeight="1" x14ac:dyDescent="0.25">
      <c r="A22" s="140">
        <f>A20+1</f>
        <v>6</v>
      </c>
      <c r="B22" s="21"/>
      <c r="C22" s="127" t="s">
        <v>78</v>
      </c>
      <c r="D22" s="126" t="s">
        <v>79</v>
      </c>
      <c r="E22" s="125" t="s">
        <v>80</v>
      </c>
      <c r="F22" s="91">
        <v>2.3999999999999998E-3</v>
      </c>
      <c r="G22" s="14">
        <v>68050</v>
      </c>
      <c r="H22" s="14">
        <f t="shared" ref="H22:H33" si="0">ROUND(F22*G22,2)</f>
        <v>163.32</v>
      </c>
    </row>
    <row r="23" spans="1:11" x14ac:dyDescent="0.25">
      <c r="A23" s="140">
        <f t="shared" ref="A23:A33" si="1">A22+1</f>
        <v>7</v>
      </c>
      <c r="B23" s="21"/>
      <c r="C23" s="127" t="s">
        <v>81</v>
      </c>
      <c r="D23" s="126" t="s">
        <v>82</v>
      </c>
      <c r="E23" s="125" t="s">
        <v>83</v>
      </c>
      <c r="F23" s="91">
        <f>0.8*1*1</f>
        <v>0.8</v>
      </c>
      <c r="G23" s="14">
        <v>108.4</v>
      </c>
      <c r="H23" s="14">
        <f t="shared" si="0"/>
        <v>86.72</v>
      </c>
    </row>
    <row r="24" spans="1:11" ht="25.5" customHeight="1" x14ac:dyDescent="0.25">
      <c r="A24" s="140">
        <f t="shared" si="1"/>
        <v>8</v>
      </c>
      <c r="B24" s="21"/>
      <c r="C24" s="127" t="s">
        <v>84</v>
      </c>
      <c r="D24" s="126" t="s">
        <v>85</v>
      </c>
      <c r="E24" s="125" t="s">
        <v>80</v>
      </c>
      <c r="F24" s="91">
        <f>0.00223*1*1</f>
        <v>2.2300000000000002E-3</v>
      </c>
      <c r="G24" s="14">
        <v>31957.37</v>
      </c>
      <c r="H24" s="14">
        <f t="shared" si="0"/>
        <v>71.260000000000005</v>
      </c>
    </row>
    <row r="25" spans="1:11" x14ac:dyDescent="0.25">
      <c r="A25" s="140">
        <f t="shared" si="1"/>
        <v>9</v>
      </c>
      <c r="B25" s="21"/>
      <c r="C25" s="127" t="s">
        <v>86</v>
      </c>
      <c r="D25" s="126" t="s">
        <v>87</v>
      </c>
      <c r="E25" s="125" t="s">
        <v>88</v>
      </c>
      <c r="F25" s="91">
        <f>0.01*1</f>
        <v>0.01</v>
      </c>
      <c r="G25" s="14">
        <v>6505</v>
      </c>
      <c r="H25" s="14">
        <f t="shared" si="0"/>
        <v>65.05</v>
      </c>
    </row>
    <row r="26" spans="1:11" x14ac:dyDescent="0.25">
      <c r="A26" s="140">
        <f t="shared" si="1"/>
        <v>10</v>
      </c>
      <c r="B26" s="21"/>
      <c r="C26" s="127" t="s">
        <v>89</v>
      </c>
      <c r="D26" s="126" t="s">
        <v>90</v>
      </c>
      <c r="E26" s="125" t="s">
        <v>80</v>
      </c>
      <c r="F26" s="91">
        <v>2.9999999999999997E-4</v>
      </c>
      <c r="G26" s="14">
        <v>161000</v>
      </c>
      <c r="H26" s="14">
        <f t="shared" si="0"/>
        <v>48.3</v>
      </c>
    </row>
    <row r="27" spans="1:11" x14ac:dyDescent="0.25">
      <c r="A27" s="140">
        <f t="shared" si="1"/>
        <v>11</v>
      </c>
      <c r="B27" s="21"/>
      <c r="C27" s="127" t="s">
        <v>91</v>
      </c>
      <c r="D27" s="126" t="s">
        <v>92</v>
      </c>
      <c r="E27" s="125" t="s">
        <v>93</v>
      </c>
      <c r="F27" s="91">
        <v>5</v>
      </c>
      <c r="G27" s="14">
        <v>6.09</v>
      </c>
      <c r="H27" s="14">
        <f t="shared" si="0"/>
        <v>30.45</v>
      </c>
    </row>
    <row r="28" spans="1:11" ht="25.5" customHeight="1" x14ac:dyDescent="0.25">
      <c r="A28" s="140">
        <f t="shared" si="1"/>
        <v>12</v>
      </c>
      <c r="B28" s="21"/>
      <c r="C28" s="127" t="s">
        <v>94</v>
      </c>
      <c r="D28" s="126" t="s">
        <v>95</v>
      </c>
      <c r="E28" s="125" t="s">
        <v>80</v>
      </c>
      <c r="F28" s="91">
        <v>6.9999999999999999E-4</v>
      </c>
      <c r="G28" s="14">
        <v>37517</v>
      </c>
      <c r="H28" s="14">
        <f t="shared" si="0"/>
        <v>26.26</v>
      </c>
    </row>
    <row r="29" spans="1:11" x14ac:dyDescent="0.25">
      <c r="A29" s="140">
        <f t="shared" si="1"/>
        <v>13</v>
      </c>
      <c r="B29" s="21"/>
      <c r="C29" s="127" t="s">
        <v>96</v>
      </c>
      <c r="D29" s="126" t="s">
        <v>97</v>
      </c>
      <c r="E29" s="125" t="s">
        <v>93</v>
      </c>
      <c r="F29" s="91">
        <v>0.4</v>
      </c>
      <c r="G29" s="14">
        <v>28.6</v>
      </c>
      <c r="H29" s="14">
        <f t="shared" si="0"/>
        <v>11.44</v>
      </c>
    </row>
    <row r="30" spans="1:11" x14ac:dyDescent="0.25">
      <c r="A30" s="140">
        <f t="shared" si="1"/>
        <v>14</v>
      </c>
      <c r="B30" s="21"/>
      <c r="C30" s="127" t="s">
        <v>98</v>
      </c>
      <c r="D30" s="126" t="s">
        <v>99</v>
      </c>
      <c r="E30" s="125" t="s">
        <v>93</v>
      </c>
      <c r="F30" s="91">
        <v>0.06</v>
      </c>
      <c r="G30" s="14">
        <v>100.8</v>
      </c>
      <c r="H30" s="14">
        <f t="shared" si="0"/>
        <v>6.05</v>
      </c>
    </row>
    <row r="31" spans="1:11" x14ac:dyDescent="0.25">
      <c r="A31" s="140">
        <f t="shared" si="1"/>
        <v>15</v>
      </c>
      <c r="B31" s="21"/>
      <c r="C31" s="127" t="s">
        <v>100</v>
      </c>
      <c r="D31" s="126" t="s">
        <v>101</v>
      </c>
      <c r="E31" s="125" t="s">
        <v>80</v>
      </c>
      <c r="F31" s="91">
        <v>4.0000000000000002E-4</v>
      </c>
      <c r="G31" s="14">
        <v>8105.71</v>
      </c>
      <c r="H31" s="14">
        <f t="shared" si="0"/>
        <v>3.24</v>
      </c>
    </row>
    <row r="32" spans="1:11" ht="25.5" customHeight="1" x14ac:dyDescent="0.25">
      <c r="A32" s="140">
        <f t="shared" si="1"/>
        <v>16</v>
      </c>
      <c r="B32" s="21"/>
      <c r="C32" s="127" t="s">
        <v>102</v>
      </c>
      <c r="D32" s="126" t="s">
        <v>103</v>
      </c>
      <c r="E32" s="125" t="s">
        <v>104</v>
      </c>
      <c r="F32" s="91">
        <v>2.6</v>
      </c>
      <c r="G32" s="14">
        <v>1</v>
      </c>
      <c r="H32" s="14">
        <f t="shared" si="0"/>
        <v>2.6</v>
      </c>
    </row>
    <row r="33" spans="1:11" x14ac:dyDescent="0.25">
      <c r="A33" s="140">
        <f t="shared" si="1"/>
        <v>17</v>
      </c>
      <c r="B33" s="21"/>
      <c r="C33" s="127" t="s">
        <v>105</v>
      </c>
      <c r="D33" s="126" t="s">
        <v>106</v>
      </c>
      <c r="E33" s="125" t="s">
        <v>107</v>
      </c>
      <c r="F33" s="91">
        <v>0.01</v>
      </c>
      <c r="G33" s="14">
        <v>79.099999999999994</v>
      </c>
      <c r="H33" s="14">
        <f t="shared" si="0"/>
        <v>0.79</v>
      </c>
    </row>
    <row r="34" spans="1:11" x14ac:dyDescent="0.25">
      <c r="K34" s="79"/>
    </row>
    <row r="36" spans="1:11" x14ac:dyDescent="0.25">
      <c r="B36" s="112" t="s">
        <v>275</v>
      </c>
      <c r="C36" s="121"/>
    </row>
    <row r="37" spans="1:11" x14ac:dyDescent="0.25">
      <c r="B37" s="120" t="s">
        <v>33</v>
      </c>
      <c r="C37" s="121"/>
    </row>
    <row r="38" spans="1:11" x14ac:dyDescent="0.25">
      <c r="B38" s="112"/>
      <c r="C38" s="121"/>
    </row>
    <row r="39" spans="1:11" x14ac:dyDescent="0.25">
      <c r="B39" s="112" t="s">
        <v>276</v>
      </c>
      <c r="C39" s="121"/>
    </row>
    <row r="40" spans="1:11" x14ac:dyDescent="0.25">
      <c r="B40" s="120" t="s">
        <v>34</v>
      </c>
      <c r="C40" s="121"/>
    </row>
  </sheetData>
  <mergeCells count="16">
    <mergeCell ref="A19:E19"/>
    <mergeCell ref="A21:E21"/>
    <mergeCell ref="A12:E12"/>
    <mergeCell ref="C4:H4"/>
    <mergeCell ref="G9:H9"/>
    <mergeCell ref="A14:E14"/>
    <mergeCell ref="A16:E16"/>
    <mergeCell ref="A1:H1"/>
    <mergeCell ref="A2:H2"/>
    <mergeCell ref="E9:E10"/>
    <mergeCell ref="F9:F10"/>
    <mergeCell ref="A9:A10"/>
    <mergeCell ref="B9:B10"/>
    <mergeCell ref="C9:C10"/>
    <mergeCell ref="D9:D10"/>
    <mergeCell ref="A6:H6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108</v>
      </c>
    </row>
    <row r="2" spans="2:5" x14ac:dyDescent="0.25">
      <c r="B2" s="6"/>
      <c r="C2" s="6"/>
      <c r="D2" s="6"/>
      <c r="E2" s="6"/>
    </row>
    <row r="3" spans="2:5" x14ac:dyDescent="0.25">
      <c r="B3" s="6"/>
      <c r="C3" s="6"/>
      <c r="D3" s="6"/>
      <c r="E3" s="6"/>
    </row>
    <row r="4" spans="2:5" x14ac:dyDescent="0.25">
      <c r="B4" s="157" t="s">
        <v>109</v>
      </c>
      <c r="C4" s="157"/>
      <c r="D4" s="157"/>
      <c r="E4" s="157"/>
    </row>
    <row r="5" spans="2:5" x14ac:dyDescent="0.25">
      <c r="B5" s="16"/>
      <c r="C5" s="6"/>
      <c r="D5" s="6"/>
      <c r="E5" s="6"/>
    </row>
    <row r="6" spans="2:5" ht="51.75" customHeight="1" x14ac:dyDescent="0.25">
      <c r="B6" s="147" t="s">
        <v>3</v>
      </c>
      <c r="C6" s="147"/>
      <c r="D6" s="147"/>
      <c r="E6" s="147"/>
    </row>
    <row r="7" spans="2:5" ht="15.75" customHeight="1" x14ac:dyDescent="0.25">
      <c r="B7" s="84" t="str">
        <f>'Прил.1 Сравнит табл'!B8</f>
        <v>Единица измерения  — 1 ед.</v>
      </c>
      <c r="C7" s="84"/>
      <c r="D7" s="84"/>
      <c r="E7" s="84"/>
    </row>
    <row r="8" spans="2:5" ht="15.75" customHeight="1" x14ac:dyDescent="0.25">
      <c r="B8" s="84"/>
      <c r="C8" s="84"/>
      <c r="D8" s="84"/>
      <c r="E8" s="84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110</v>
      </c>
      <c r="C10" s="2" t="s">
        <v>111</v>
      </c>
      <c r="D10" s="2" t="s">
        <v>112</v>
      </c>
      <c r="E10" s="2" t="s">
        <v>113</v>
      </c>
    </row>
    <row r="11" spans="2:5" x14ac:dyDescent="0.25">
      <c r="B11" s="7" t="s">
        <v>114</v>
      </c>
      <c r="C11" s="93">
        <f>'Прил.5 Расчет СМР и ОБ'!J14</f>
        <v>6128.27</v>
      </c>
      <c r="D11" s="94">
        <f t="shared" ref="D11:D18" si="0">C11/$C$24</f>
        <v>0.30295661356095999</v>
      </c>
      <c r="E11" s="94">
        <f t="shared" ref="E11:E18" si="1">C11/$C$40</f>
        <v>1.5647278692233001E-2</v>
      </c>
    </row>
    <row r="12" spans="2:5" x14ac:dyDescent="0.25">
      <c r="B12" s="7" t="s">
        <v>115</v>
      </c>
      <c r="C12" s="93">
        <f>'Прил.5 Расчет СМР и ОБ'!J21</f>
        <v>191.49</v>
      </c>
      <c r="D12" s="94">
        <f t="shared" si="0"/>
        <v>9.4664826991611994E-3</v>
      </c>
      <c r="E12" s="94">
        <f t="shared" si="1"/>
        <v>4.8893038276311997E-4</v>
      </c>
    </row>
    <row r="13" spans="2:5" x14ac:dyDescent="0.25">
      <c r="B13" s="7" t="s">
        <v>116</v>
      </c>
      <c r="C13" s="93">
        <f>'Прил.5 Расчет СМР и ОБ'!J22</f>
        <v>0</v>
      </c>
      <c r="D13" s="94">
        <f t="shared" si="0"/>
        <v>0</v>
      </c>
      <c r="E13" s="94">
        <f t="shared" si="1"/>
        <v>0</v>
      </c>
    </row>
    <row r="14" spans="2:5" x14ac:dyDescent="0.25">
      <c r="B14" s="7" t="s">
        <v>117</v>
      </c>
      <c r="C14" s="93">
        <f>C13+C12</f>
        <v>191.49</v>
      </c>
      <c r="D14" s="94">
        <f t="shared" si="0"/>
        <v>9.4664826991611994E-3</v>
      </c>
      <c r="E14" s="94">
        <f t="shared" si="1"/>
        <v>4.8893038276311997E-4</v>
      </c>
    </row>
    <row r="15" spans="2:5" x14ac:dyDescent="0.25">
      <c r="B15" s="7" t="s">
        <v>118</v>
      </c>
      <c r="C15" s="93">
        <f>'Прил.5 Расчет СМР и ОБ'!J16</f>
        <v>90.8</v>
      </c>
      <c r="D15" s="94">
        <f t="shared" si="0"/>
        <v>4.4887807670575004E-3</v>
      </c>
      <c r="E15" s="94">
        <f t="shared" si="1"/>
        <v>2.3183914958949001E-4</v>
      </c>
    </row>
    <row r="16" spans="2:5" x14ac:dyDescent="0.25">
      <c r="B16" s="7" t="s">
        <v>119</v>
      </c>
      <c r="C16" s="93">
        <f>'Прил.5 Расчет СМР и ОБ'!J39</f>
        <v>3739.42</v>
      </c>
      <c r="D16" s="94">
        <f t="shared" si="0"/>
        <v>0.18486163629901001</v>
      </c>
      <c r="E16" s="94">
        <f t="shared" si="1"/>
        <v>9.5478408894043992E-3</v>
      </c>
    </row>
    <row r="17" spans="2:7" x14ac:dyDescent="0.25">
      <c r="B17" s="7" t="s">
        <v>120</v>
      </c>
      <c r="C17" s="93">
        <f>'Прил.5 Расчет СМР и ОБ'!J46</f>
        <v>405.09</v>
      </c>
      <c r="D17" s="94">
        <f t="shared" si="0"/>
        <v>2.0025993402283001E-2</v>
      </c>
      <c r="E17" s="94">
        <f t="shared" si="1"/>
        <v>1.0343141091102E-3</v>
      </c>
      <c r="G17" s="17"/>
    </row>
    <row r="18" spans="2:7" x14ac:dyDescent="0.25">
      <c r="B18" s="7" t="s">
        <v>121</v>
      </c>
      <c r="C18" s="93">
        <f>C17+C16</f>
        <v>4144.51</v>
      </c>
      <c r="D18" s="94">
        <f t="shared" si="0"/>
        <v>0.20488762970129001</v>
      </c>
      <c r="E18" s="94">
        <f t="shared" si="1"/>
        <v>1.0582154998515E-2</v>
      </c>
    </row>
    <row r="19" spans="2:7" x14ac:dyDescent="0.25">
      <c r="B19" s="7" t="s">
        <v>122</v>
      </c>
      <c r="C19" s="93">
        <f>C18+C14+C11</f>
        <v>10464.27</v>
      </c>
      <c r="D19" s="94"/>
      <c r="E19" s="7"/>
    </row>
    <row r="20" spans="2:7" x14ac:dyDescent="0.25">
      <c r="B20" s="7" t="s">
        <v>123</v>
      </c>
      <c r="C20" s="93">
        <f>ROUND(C21*(C11+C15),2)</f>
        <v>3980.2</v>
      </c>
      <c r="D20" s="94">
        <f>C20/$C$24</f>
        <v>0.19676481507756</v>
      </c>
      <c r="E20" s="94">
        <f>C20/$C$40</f>
        <v>1.0162623162952E-2</v>
      </c>
    </row>
    <row r="21" spans="2:7" x14ac:dyDescent="0.25">
      <c r="B21" s="7" t="s">
        <v>124</v>
      </c>
      <c r="C21" s="95">
        <f>'Прил.5 Расчет СМР и ОБ'!E50</f>
        <v>0.64</v>
      </c>
      <c r="D21" s="94"/>
      <c r="E21" s="7"/>
    </row>
    <row r="22" spans="2:7" x14ac:dyDescent="0.25">
      <c r="B22" s="7" t="s">
        <v>125</v>
      </c>
      <c r="C22" s="93">
        <f>ROUND(C23*(C11+C15),2)</f>
        <v>5783.74</v>
      </c>
      <c r="D22" s="94">
        <f>C22/$C$24</f>
        <v>0.28592445896103003</v>
      </c>
      <c r="E22" s="94">
        <f>C22/$C$40</f>
        <v>1.4767592104038999E-2</v>
      </c>
    </row>
    <row r="23" spans="2:7" x14ac:dyDescent="0.25">
      <c r="B23" s="7" t="s">
        <v>126</v>
      </c>
      <c r="C23" s="95">
        <f>'Прил.5 Расчет СМР и ОБ'!E49</f>
        <v>0.93</v>
      </c>
      <c r="D23" s="94"/>
      <c r="E23" s="7"/>
    </row>
    <row r="24" spans="2:7" x14ac:dyDescent="0.25">
      <c r="B24" s="7" t="s">
        <v>127</v>
      </c>
      <c r="C24" s="93">
        <f>C19+C20+C22</f>
        <v>20228.21</v>
      </c>
      <c r="D24" s="94">
        <f>C24/$C$24</f>
        <v>1</v>
      </c>
      <c r="E24" s="94">
        <f>C24/$C$40</f>
        <v>5.1648579340502002E-2</v>
      </c>
    </row>
    <row r="25" spans="2:7" ht="25.5" customHeight="1" x14ac:dyDescent="0.25">
      <c r="B25" s="7" t="s">
        <v>128</v>
      </c>
      <c r="C25" s="93">
        <f>'Прил.5 Расчет СМР и ОБ'!J30</f>
        <v>276024</v>
      </c>
      <c r="D25" s="94"/>
      <c r="E25" s="94">
        <f>C25/$C$40</f>
        <v>0.70477058839524998</v>
      </c>
    </row>
    <row r="26" spans="2:7" ht="25.5" customHeight="1" x14ac:dyDescent="0.25">
      <c r="B26" s="7" t="s">
        <v>129</v>
      </c>
      <c r="C26" s="93">
        <f>C25</f>
        <v>276024</v>
      </c>
      <c r="D26" s="94"/>
      <c r="E26" s="94">
        <f>C26/$C$40</f>
        <v>0.70477058839524998</v>
      </c>
    </row>
    <row r="27" spans="2:7" x14ac:dyDescent="0.25">
      <c r="B27" s="7" t="s">
        <v>130</v>
      </c>
      <c r="C27" s="96">
        <f>C24+C25</f>
        <v>296252.21000000002</v>
      </c>
      <c r="D27" s="94"/>
      <c r="E27" s="94">
        <f>C27/$C$40</f>
        <v>0.75641916773575002</v>
      </c>
    </row>
    <row r="28" spans="2:7" ht="33" customHeight="1" x14ac:dyDescent="0.25">
      <c r="B28" s="7" t="s">
        <v>131</v>
      </c>
      <c r="C28" s="7"/>
      <c r="D28" s="7"/>
      <c r="E28" s="7"/>
    </row>
    <row r="29" spans="2:7" ht="25.5" customHeight="1" x14ac:dyDescent="0.25">
      <c r="B29" s="7" t="s">
        <v>132</v>
      </c>
      <c r="C29" s="96">
        <f>ROUND(C24*3.9%,2)</f>
        <v>788.9</v>
      </c>
      <c r="D29" s="7"/>
      <c r="E29" s="94">
        <f t="shared" ref="E29:E38" si="2">C29/$C$40</f>
        <v>2.0142941091536E-3</v>
      </c>
    </row>
    <row r="30" spans="2:7" ht="38.25" customHeight="1" x14ac:dyDescent="0.25">
      <c r="B30" s="7" t="s">
        <v>133</v>
      </c>
      <c r="C30" s="96">
        <f>ROUND((C24+C29)*2.1%,2)</f>
        <v>441.36</v>
      </c>
      <c r="D30" s="7"/>
      <c r="E30" s="94">
        <f t="shared" si="2"/>
        <v>1.126922104216E-3</v>
      </c>
    </row>
    <row r="31" spans="2:7" x14ac:dyDescent="0.25">
      <c r="B31" s="7" t="s">
        <v>134</v>
      </c>
      <c r="C31" s="96">
        <v>74066.820000000007</v>
      </c>
      <c r="D31" s="7"/>
      <c r="E31" s="94">
        <f t="shared" si="2"/>
        <v>0.18911441147134</v>
      </c>
    </row>
    <row r="32" spans="2:7" ht="25.5" customHeight="1" x14ac:dyDescent="0.25">
      <c r="B32" s="7" t="s">
        <v>135</v>
      </c>
      <c r="C32" s="96">
        <f>ROUND(C26*0%,2)</f>
        <v>0</v>
      </c>
      <c r="D32" s="7"/>
      <c r="E32" s="94">
        <f t="shared" si="2"/>
        <v>0</v>
      </c>
    </row>
    <row r="33" spans="2:12" ht="25.5" customHeight="1" x14ac:dyDescent="0.25">
      <c r="B33" s="7" t="s">
        <v>136</v>
      </c>
      <c r="C33" s="96">
        <f>ROUND(C27*0%,2)</f>
        <v>0</v>
      </c>
      <c r="D33" s="7"/>
      <c r="E33" s="94">
        <f t="shared" si="2"/>
        <v>0</v>
      </c>
    </row>
    <row r="34" spans="2:12" ht="51" customHeight="1" x14ac:dyDescent="0.25">
      <c r="B34" s="7" t="s">
        <v>137</v>
      </c>
      <c r="C34" s="96">
        <f>ROUND(C28*0%,2)</f>
        <v>0</v>
      </c>
      <c r="D34" s="7"/>
      <c r="E34" s="94">
        <f t="shared" si="2"/>
        <v>0</v>
      </c>
    </row>
    <row r="35" spans="2:12" ht="76.5" customHeight="1" x14ac:dyDescent="0.25">
      <c r="B35" s="7" t="s">
        <v>138</v>
      </c>
      <c r="C35" s="96">
        <f>ROUND(C29*0%,2)</f>
        <v>0</v>
      </c>
      <c r="D35" s="7"/>
      <c r="E35" s="94">
        <f t="shared" si="2"/>
        <v>0</v>
      </c>
    </row>
    <row r="36" spans="2:12" ht="25.5" customHeight="1" x14ac:dyDescent="0.25">
      <c r="B36" s="7" t="s">
        <v>139</v>
      </c>
      <c r="C36" s="96">
        <f>ROUND((C27+C32+C33+C34+C35+C29+C31+C30)*2.14%,2)</f>
        <v>7951.15</v>
      </c>
      <c r="D36" s="7"/>
      <c r="E36" s="94">
        <f t="shared" si="2"/>
        <v>2.0301628350864E-2</v>
      </c>
      <c r="G36" s="54"/>
      <c r="L36" s="18"/>
    </row>
    <row r="37" spans="2:12" x14ac:dyDescent="0.25">
      <c r="B37" s="7" t="s">
        <v>140</v>
      </c>
      <c r="C37" s="96">
        <f>ROUND((C27+C32+C33+C34+C35+C29+C31+C30)*0.2%,2)</f>
        <v>743.1</v>
      </c>
      <c r="D37" s="7"/>
      <c r="E37" s="94">
        <f t="shared" si="2"/>
        <v>1.8973532165192999E-3</v>
      </c>
      <c r="G37" s="54"/>
      <c r="L37" s="18"/>
    </row>
    <row r="38" spans="2:12" ht="38.25" customHeight="1" x14ac:dyDescent="0.25">
      <c r="B38" s="7" t="s">
        <v>141</v>
      </c>
      <c r="C38" s="93">
        <f>C27+C32+C33+C34+C35+C29+C31+C30+C36+C37</f>
        <v>380243.54</v>
      </c>
      <c r="D38" s="7"/>
      <c r="E38" s="94">
        <f t="shared" si="2"/>
        <v>0.97087377698785005</v>
      </c>
    </row>
    <row r="39" spans="2:12" ht="13.5" customHeight="1" x14ac:dyDescent="0.25">
      <c r="B39" s="7" t="s">
        <v>142</v>
      </c>
      <c r="C39" s="93">
        <f>ROUND(C38*3%,2)</f>
        <v>11407.31</v>
      </c>
      <c r="D39" s="7"/>
      <c r="E39" s="94">
        <f>C39/$C$38</f>
        <v>3.0000009993594999E-2</v>
      </c>
    </row>
    <row r="40" spans="2:12" x14ac:dyDescent="0.25">
      <c r="B40" s="7" t="s">
        <v>143</v>
      </c>
      <c r="C40" s="93">
        <f>C39+C38</f>
        <v>391650.85</v>
      </c>
      <c r="D40" s="7"/>
      <c r="E40" s="94">
        <f>C40/$C$40</f>
        <v>1</v>
      </c>
    </row>
    <row r="41" spans="2:12" x14ac:dyDescent="0.25">
      <c r="B41" s="7" t="s">
        <v>144</v>
      </c>
      <c r="C41" s="93">
        <f>C40/'Прил.5 Расчет СМР и ОБ'!E53</f>
        <v>391650.85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112" t="s">
        <v>275</v>
      </c>
      <c r="C43" s="121"/>
    </row>
    <row r="44" spans="2:12" x14ac:dyDescent="0.25">
      <c r="B44" s="120" t="s">
        <v>33</v>
      </c>
      <c r="C44" s="121"/>
    </row>
    <row r="45" spans="2:12" x14ac:dyDescent="0.25">
      <c r="B45" s="112"/>
      <c r="C45" s="121"/>
    </row>
    <row r="46" spans="2:12" x14ac:dyDescent="0.25">
      <c r="B46" s="112" t="s">
        <v>276</v>
      </c>
      <c r="C46" s="121"/>
    </row>
    <row r="47" spans="2:12" x14ac:dyDescent="0.25">
      <c r="B47" s="120" t="s">
        <v>34</v>
      </c>
      <c r="C47" s="121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B6:E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0"/>
  <sheetViews>
    <sheetView tabSelected="1"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74"/>
      <c r="J2" s="57" t="s">
        <v>145</v>
      </c>
    </row>
    <row r="4" spans="1:12" s="6" customFormat="1" ht="12.75" customHeight="1" x14ac:dyDescent="0.2">
      <c r="A4" s="157" t="s">
        <v>146</v>
      </c>
      <c r="B4" s="157"/>
      <c r="C4" s="157"/>
      <c r="D4" s="157"/>
      <c r="E4" s="157"/>
      <c r="F4" s="157"/>
      <c r="G4" s="157"/>
      <c r="H4" s="157"/>
      <c r="I4" s="47"/>
      <c r="J4" s="47"/>
    </row>
    <row r="5" spans="1:12" s="6" customFormat="1" ht="12.75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</row>
    <row r="6" spans="1:12" s="6" customFormat="1" ht="29.25" customHeight="1" x14ac:dyDescent="0.2">
      <c r="B6" s="77" t="s">
        <v>147</v>
      </c>
      <c r="C6" s="88"/>
      <c r="D6" s="170" t="s">
        <v>148</v>
      </c>
      <c r="E6" s="170"/>
      <c r="F6" s="170"/>
      <c r="G6" s="170"/>
      <c r="H6" s="170"/>
      <c r="I6" s="170"/>
      <c r="J6" s="170"/>
    </row>
    <row r="7" spans="1:12" s="6" customFormat="1" ht="15.75" customHeight="1" x14ac:dyDescent="0.2">
      <c r="B7" s="89" t="str">
        <f>'Прил.1 Сравнит табл'!B8</f>
        <v>Единица измерения  — 1 ед.</v>
      </c>
      <c r="C7" s="77"/>
      <c r="D7" s="77"/>
      <c r="E7" s="19"/>
      <c r="F7" s="19"/>
      <c r="G7" s="19"/>
      <c r="H7" s="19"/>
      <c r="I7" s="48"/>
      <c r="J7" s="48"/>
    </row>
    <row r="8" spans="1:12" s="6" customFormat="1" ht="12.75" customHeight="1" x14ac:dyDescent="0.2"/>
    <row r="9" spans="1:12" ht="27" customHeight="1" x14ac:dyDescent="0.25">
      <c r="A9" s="158" t="s">
        <v>149</v>
      </c>
      <c r="B9" s="158" t="s">
        <v>56</v>
      </c>
      <c r="C9" s="158" t="s">
        <v>110</v>
      </c>
      <c r="D9" s="158" t="s">
        <v>58</v>
      </c>
      <c r="E9" s="159" t="s">
        <v>150</v>
      </c>
      <c r="F9" s="161" t="s">
        <v>60</v>
      </c>
      <c r="G9" s="162"/>
      <c r="H9" s="159" t="s">
        <v>151</v>
      </c>
      <c r="I9" s="161" t="s">
        <v>152</v>
      </c>
      <c r="J9" s="162"/>
    </row>
    <row r="10" spans="1:12" ht="28.5" customHeight="1" x14ac:dyDescent="0.25">
      <c r="A10" s="158"/>
      <c r="B10" s="158"/>
      <c r="C10" s="158"/>
      <c r="D10" s="158"/>
      <c r="E10" s="160"/>
      <c r="F10" s="2" t="s">
        <v>153</v>
      </c>
      <c r="G10" s="2" t="s">
        <v>62</v>
      </c>
      <c r="H10" s="160"/>
      <c r="I10" s="2" t="s">
        <v>153</v>
      </c>
      <c r="J10" s="2" t="s">
        <v>62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3" t="s">
        <v>154</v>
      </c>
      <c r="C12" s="163"/>
      <c r="D12" s="158"/>
      <c r="E12" s="164"/>
      <c r="F12" s="165"/>
      <c r="G12" s="165"/>
      <c r="H12" s="171"/>
      <c r="I12" s="100"/>
      <c r="J12" s="100"/>
      <c r="L12" s="85"/>
    </row>
    <row r="13" spans="1:12" ht="25.5" customHeight="1" x14ac:dyDescent="0.25">
      <c r="A13" s="2">
        <v>1</v>
      </c>
      <c r="B13" s="50" t="s">
        <v>65</v>
      </c>
      <c r="C13" s="3" t="s">
        <v>155</v>
      </c>
      <c r="D13" s="2" t="s">
        <v>156</v>
      </c>
      <c r="E13" s="101">
        <v>13.790020790021</v>
      </c>
      <c r="F13" s="14">
        <v>9.6199999999999992</v>
      </c>
      <c r="G13" s="14">
        <v>132.66</v>
      </c>
      <c r="H13" s="99">
        <f>G13/G14</f>
        <v>1</v>
      </c>
      <c r="I13" s="14">
        <f>ФОТр.тек.!E13</f>
        <v>444.39870291576</v>
      </c>
      <c r="J13" s="14">
        <f>ROUND(I13*E13,2)</f>
        <v>6128.27</v>
      </c>
    </row>
    <row r="14" spans="1:12" s="1" customFormat="1" ht="25.5" customHeight="1" x14ac:dyDescent="0.25">
      <c r="A14" s="2"/>
      <c r="B14" s="2"/>
      <c r="C14" s="5" t="s">
        <v>157</v>
      </c>
      <c r="D14" s="2" t="s">
        <v>156</v>
      </c>
      <c r="E14" s="101">
        <f>SUM(E13:E13)</f>
        <v>13.790020790021</v>
      </c>
      <c r="F14" s="14"/>
      <c r="G14" s="14">
        <f>SUM(G13:G13)</f>
        <v>132.66</v>
      </c>
      <c r="H14" s="99">
        <v>1</v>
      </c>
      <c r="I14" s="14"/>
      <c r="J14" s="14">
        <f>SUM(J13:J13)</f>
        <v>6128.27</v>
      </c>
      <c r="L14" s="86"/>
    </row>
    <row r="15" spans="1:12" s="1" customFormat="1" ht="14.25" customHeight="1" x14ac:dyDescent="0.2">
      <c r="A15" s="2"/>
      <c r="B15" s="163" t="s">
        <v>68</v>
      </c>
      <c r="C15" s="163"/>
      <c r="D15" s="158"/>
      <c r="E15" s="164"/>
      <c r="F15" s="165"/>
      <c r="G15" s="165"/>
      <c r="H15" s="171"/>
      <c r="I15" s="100"/>
      <c r="J15" s="100"/>
      <c r="L15" s="85"/>
    </row>
    <row r="16" spans="1:12" s="1" customFormat="1" ht="14.25" customHeight="1" x14ac:dyDescent="0.2">
      <c r="A16" s="2">
        <v>2</v>
      </c>
      <c r="B16" s="2">
        <v>2</v>
      </c>
      <c r="C16" s="3" t="s">
        <v>68</v>
      </c>
      <c r="D16" s="2" t="s">
        <v>156</v>
      </c>
      <c r="E16" s="101">
        <v>0.16320000000000001</v>
      </c>
      <c r="F16" s="14">
        <f>G16/E16</f>
        <v>12.5625</v>
      </c>
      <c r="G16" s="14">
        <v>2.0501999999999998</v>
      </c>
      <c r="H16" s="99">
        <v>1</v>
      </c>
      <c r="I16" s="14">
        <f>ROUND(F16*Прил.10!D10,2)</f>
        <v>556.39</v>
      </c>
      <c r="J16" s="14">
        <f>ROUND(I16*E16,2)</f>
        <v>90.8</v>
      </c>
      <c r="L16" s="52"/>
    </row>
    <row r="17" spans="1:12" s="1" customFormat="1" ht="14.25" customHeight="1" x14ac:dyDescent="0.2">
      <c r="A17" s="2"/>
      <c r="B17" s="153" t="s">
        <v>70</v>
      </c>
      <c r="C17" s="163"/>
      <c r="D17" s="158"/>
      <c r="E17" s="164"/>
      <c r="F17" s="165"/>
      <c r="G17" s="165"/>
      <c r="H17" s="166"/>
      <c r="I17" s="99"/>
      <c r="J17" s="99"/>
    </row>
    <row r="18" spans="1:12" s="1" customFormat="1" ht="14.25" customHeight="1" x14ac:dyDescent="0.2">
      <c r="A18" s="2"/>
      <c r="B18" s="163" t="s">
        <v>158</v>
      </c>
      <c r="C18" s="163"/>
      <c r="D18" s="158"/>
      <c r="E18" s="164"/>
      <c r="F18" s="165"/>
      <c r="G18" s="165"/>
      <c r="H18" s="171"/>
      <c r="I18" s="100"/>
      <c r="J18" s="100"/>
    </row>
    <row r="19" spans="1:12" s="1" customFormat="1" ht="25.5" customHeight="1" x14ac:dyDescent="0.2">
      <c r="A19" s="2">
        <v>3</v>
      </c>
      <c r="B19" s="50" t="s">
        <v>71</v>
      </c>
      <c r="C19" s="3" t="s">
        <v>72</v>
      </c>
      <c r="D19" s="2" t="s">
        <v>73</v>
      </c>
      <c r="E19" s="101">
        <v>0.08</v>
      </c>
      <c r="F19" s="9">
        <v>111.99</v>
      </c>
      <c r="G19" s="14">
        <f>ROUND(E19*F19,2)</f>
        <v>8.9600000000000009</v>
      </c>
      <c r="H19" s="99">
        <f>G19/$G$23</f>
        <v>0.63009845288326005</v>
      </c>
      <c r="I19" s="14">
        <f>ROUND(F19*Прил.10!$D$11,2)</f>
        <v>1508.51</v>
      </c>
      <c r="J19" s="14">
        <f>ROUND(I19*E19,2)</f>
        <v>120.68</v>
      </c>
    </row>
    <row r="20" spans="1:12" s="1" customFormat="1" ht="25.5" customHeight="1" x14ac:dyDescent="0.2">
      <c r="A20" s="2">
        <v>4</v>
      </c>
      <c r="B20" s="50" t="s">
        <v>74</v>
      </c>
      <c r="C20" s="3" t="s">
        <v>75</v>
      </c>
      <c r="D20" s="2" t="s">
        <v>73</v>
      </c>
      <c r="E20" s="101">
        <v>0.08</v>
      </c>
      <c r="F20" s="9">
        <v>65.709999999999994</v>
      </c>
      <c r="G20" s="14">
        <f>ROUND(E20*F20,2)</f>
        <v>5.26</v>
      </c>
      <c r="H20" s="99">
        <f>G20/$G$23</f>
        <v>0.36990154711674</v>
      </c>
      <c r="I20" s="14">
        <f>ROUND(F20*Прил.10!$D$11,2)</f>
        <v>885.11</v>
      </c>
      <c r="J20" s="14">
        <f>ROUND(I20*E20,2)</f>
        <v>70.81</v>
      </c>
    </row>
    <row r="21" spans="1:12" s="1" customFormat="1" ht="14.25" customHeight="1" x14ac:dyDescent="0.2">
      <c r="B21" s="2"/>
      <c r="C21" s="3" t="s">
        <v>159</v>
      </c>
      <c r="D21" s="2"/>
      <c r="E21" s="102"/>
      <c r="F21" s="14"/>
      <c r="G21" s="14">
        <f>SUM(G19:G20)</f>
        <v>14.22</v>
      </c>
      <c r="H21" s="99">
        <f>G21/G23</f>
        <v>1</v>
      </c>
      <c r="I21" s="14"/>
      <c r="J21" s="14">
        <f>SUM(J19:J20)</f>
        <v>191.49</v>
      </c>
      <c r="L21" s="49"/>
    </row>
    <row r="22" spans="1:12" s="1" customFormat="1" ht="14.25" customHeight="1" x14ac:dyDescent="0.2">
      <c r="A22" s="2"/>
      <c r="B22" s="2"/>
      <c r="C22" s="3" t="s">
        <v>160</v>
      </c>
      <c r="D22" s="2"/>
      <c r="E22" s="92"/>
      <c r="F22" s="14"/>
      <c r="G22" s="14">
        <v>0</v>
      </c>
      <c r="H22" s="99">
        <f>G22/G23</f>
        <v>0</v>
      </c>
      <c r="I22" s="14"/>
      <c r="J22" s="14">
        <v>0</v>
      </c>
      <c r="K22" s="49"/>
      <c r="L22" s="85"/>
    </row>
    <row r="23" spans="1:12" s="1" customFormat="1" ht="25.5" customHeight="1" x14ac:dyDescent="0.2">
      <c r="A23" s="2"/>
      <c r="B23" s="97"/>
      <c r="C23" s="103" t="s">
        <v>161</v>
      </c>
      <c r="D23" s="97"/>
      <c r="E23" s="104"/>
      <c r="F23" s="105"/>
      <c r="G23" s="105">
        <f>G21+G22</f>
        <v>14.22</v>
      </c>
      <c r="H23" s="106">
        <v>1</v>
      </c>
      <c r="I23" s="105"/>
      <c r="J23" s="105">
        <f>J21+J22</f>
        <v>191.49</v>
      </c>
    </row>
    <row r="24" spans="1:12" x14ac:dyDescent="0.25">
      <c r="A24" s="107"/>
      <c r="B24" s="153" t="s">
        <v>162</v>
      </c>
      <c r="C24" s="153"/>
      <c r="D24" s="153"/>
      <c r="E24" s="153"/>
      <c r="F24" s="153"/>
      <c r="G24" s="153"/>
      <c r="H24" s="153"/>
      <c r="I24" s="153"/>
      <c r="J24" s="153"/>
    </row>
    <row r="25" spans="1:12" ht="15" customHeight="1" x14ac:dyDescent="0.25">
      <c r="A25" s="2"/>
      <c r="B25" s="172" t="s">
        <v>163</v>
      </c>
      <c r="C25" s="173"/>
      <c r="D25" s="173"/>
      <c r="E25" s="173"/>
      <c r="F25" s="173"/>
      <c r="G25" s="173"/>
      <c r="H25" s="173"/>
      <c r="I25" s="173"/>
      <c r="J25" s="173"/>
    </row>
    <row r="26" spans="1:12" x14ac:dyDescent="0.25">
      <c r="A26" s="97">
        <v>5</v>
      </c>
      <c r="B26" s="50" t="s">
        <v>164</v>
      </c>
      <c r="C26" s="3" t="s">
        <v>17</v>
      </c>
      <c r="D26" s="2" t="s">
        <v>165</v>
      </c>
      <c r="E26" s="91">
        <v>1</v>
      </c>
      <c r="F26" s="14">
        <f>ROUND(I26/Прил.10!$D$13,2)</f>
        <v>44093.29</v>
      </c>
      <c r="G26" s="14">
        <f>ROUND(E26*F26,2)</f>
        <v>44093.29</v>
      </c>
      <c r="H26" s="99">
        <f>G26/$G$29</f>
        <v>1</v>
      </c>
      <c r="I26" s="14">
        <v>276024</v>
      </c>
      <c r="J26" s="14">
        <f>ROUND(I26*E26,2)</f>
        <v>276024</v>
      </c>
    </row>
    <row r="27" spans="1:12" x14ac:dyDescent="0.25">
      <c r="A27" s="108"/>
      <c r="B27" s="109"/>
      <c r="C27" s="3" t="s">
        <v>166</v>
      </c>
      <c r="D27" s="2"/>
      <c r="E27" s="101"/>
      <c r="F27" s="4"/>
      <c r="G27" s="14">
        <f>SUM(G26:G26)</f>
        <v>44093.29</v>
      </c>
      <c r="H27" s="99">
        <f>G27/$G$29</f>
        <v>1</v>
      </c>
      <c r="I27" s="14"/>
      <c r="J27" s="14">
        <f>SUM(J26:J26)</f>
        <v>276024</v>
      </c>
      <c r="K27" s="49"/>
    </row>
    <row r="28" spans="1:12" x14ac:dyDescent="0.25">
      <c r="A28" s="108"/>
      <c r="B28" s="109"/>
      <c r="C28" s="3" t="s">
        <v>167</v>
      </c>
      <c r="D28" s="2"/>
      <c r="E28" s="92"/>
      <c r="F28" s="4"/>
      <c r="G28" s="14">
        <v>0</v>
      </c>
      <c r="H28" s="99">
        <f>G28/$G$29</f>
        <v>0</v>
      </c>
      <c r="I28" s="14"/>
      <c r="J28" s="14">
        <v>0</v>
      </c>
      <c r="K28" s="49"/>
      <c r="L28" s="85"/>
    </row>
    <row r="29" spans="1:12" x14ac:dyDescent="0.25">
      <c r="A29" s="98"/>
      <c r="B29" s="2"/>
      <c r="C29" s="5" t="s">
        <v>168</v>
      </c>
      <c r="D29" s="2"/>
      <c r="E29" s="92"/>
      <c r="F29" s="4"/>
      <c r="G29" s="14">
        <f>G27+G28</f>
        <v>44093.29</v>
      </c>
      <c r="H29" s="99">
        <f>(G27+G28)/G29</f>
        <v>1</v>
      </c>
      <c r="I29" s="14"/>
      <c r="J29" s="14">
        <f>J28+J27</f>
        <v>276024</v>
      </c>
      <c r="K29" s="49"/>
    </row>
    <row r="30" spans="1:12" ht="25.5" customHeight="1" x14ac:dyDescent="0.25">
      <c r="A30" s="2"/>
      <c r="B30" s="2"/>
      <c r="C30" s="3" t="s">
        <v>169</v>
      </c>
      <c r="D30" s="2"/>
      <c r="E30" s="92"/>
      <c r="F30" s="4"/>
      <c r="G30" s="14">
        <f>'Прил.6 Расчет ОБ'!G15</f>
        <v>44093.29</v>
      </c>
      <c r="H30" s="99">
        <f>G30/$G$29</f>
        <v>1</v>
      </c>
      <c r="I30" s="14"/>
      <c r="J30" s="14">
        <f>ROUND(G30*Прил.10!$D$13,2)</f>
        <v>276024</v>
      </c>
      <c r="K30" s="49"/>
    </row>
    <row r="31" spans="1:12" s="1" customFormat="1" ht="14.25" customHeight="1" x14ac:dyDescent="0.2">
      <c r="A31" s="2"/>
      <c r="B31" s="167" t="s">
        <v>77</v>
      </c>
      <c r="C31" s="168"/>
      <c r="D31" s="168"/>
      <c r="E31" s="168"/>
      <c r="F31" s="168"/>
      <c r="G31" s="168"/>
      <c r="H31" s="168"/>
      <c r="I31" s="168"/>
      <c r="J31" s="169"/>
      <c r="K31" s="49"/>
    </row>
    <row r="32" spans="1:12" s="1" customFormat="1" ht="14.25" customHeight="1" x14ac:dyDescent="0.2">
      <c r="A32" s="2"/>
      <c r="B32" s="163" t="s">
        <v>170</v>
      </c>
      <c r="C32" s="163"/>
      <c r="D32" s="158"/>
      <c r="E32" s="164"/>
      <c r="F32" s="165"/>
      <c r="G32" s="165"/>
      <c r="H32" s="166"/>
      <c r="I32" s="99"/>
      <c r="J32" s="99"/>
    </row>
    <row r="33" spans="1:12" s="1" customFormat="1" ht="25.5" customHeight="1" x14ac:dyDescent="0.2">
      <c r="A33" s="2">
        <v>6</v>
      </c>
      <c r="B33" s="50" t="s">
        <v>78</v>
      </c>
      <c r="C33" s="3" t="s">
        <v>79</v>
      </c>
      <c r="D33" s="2" t="s">
        <v>80</v>
      </c>
      <c r="E33" s="101">
        <v>2.3999999999999998E-3</v>
      </c>
      <c r="F33" s="14">
        <v>68050</v>
      </c>
      <c r="G33" s="14">
        <f t="shared" ref="G33:G38" si="0">ROUND(E33*F33,2)</f>
        <v>163.32</v>
      </c>
      <c r="H33" s="99">
        <f t="shared" ref="H33:H45" si="1">G33/$G$47</f>
        <v>0.31683091487546</v>
      </c>
      <c r="I33" s="14">
        <f>ROUND(F33*Прил.10!$D$12,2)</f>
        <v>547122</v>
      </c>
      <c r="J33" s="14">
        <f t="shared" ref="J33:J38" si="2">ROUND(I33*E33,2)</f>
        <v>1313.09</v>
      </c>
    </row>
    <row r="34" spans="1:12" s="1" customFormat="1" ht="25.5" customHeight="1" x14ac:dyDescent="0.2">
      <c r="A34" s="2">
        <v>7</v>
      </c>
      <c r="B34" s="50" t="s">
        <v>81</v>
      </c>
      <c r="C34" s="3" t="s">
        <v>82</v>
      </c>
      <c r="D34" s="2" t="s">
        <v>83</v>
      </c>
      <c r="E34" s="101">
        <v>0.8</v>
      </c>
      <c r="F34" s="14">
        <v>108.4</v>
      </c>
      <c r="G34" s="14">
        <f t="shared" si="0"/>
        <v>86.72</v>
      </c>
      <c r="H34" s="99">
        <f t="shared" si="1"/>
        <v>0.16823155117560001</v>
      </c>
      <c r="I34" s="14">
        <f>ROUND(F34*Прил.10!$D$12,2)</f>
        <v>871.54</v>
      </c>
      <c r="J34" s="14">
        <f t="shared" si="2"/>
        <v>697.23</v>
      </c>
    </row>
    <row r="35" spans="1:12" s="1" customFormat="1" ht="25.5" customHeight="1" x14ac:dyDescent="0.2">
      <c r="A35" s="2">
        <v>8</v>
      </c>
      <c r="B35" s="50" t="s">
        <v>84</v>
      </c>
      <c r="C35" s="3" t="s">
        <v>85</v>
      </c>
      <c r="D35" s="2" t="s">
        <v>80</v>
      </c>
      <c r="E35" s="101">
        <v>2.2300000000000002E-3</v>
      </c>
      <c r="F35" s="14">
        <v>31957.37</v>
      </c>
      <c r="G35" s="14">
        <f t="shared" si="0"/>
        <v>71.260000000000005</v>
      </c>
      <c r="H35" s="99">
        <f t="shared" si="1"/>
        <v>0.13824008690928999</v>
      </c>
      <c r="I35" s="14">
        <f>ROUND(F35*Прил.10!$D$12,2)</f>
        <v>256937.25</v>
      </c>
      <c r="J35" s="14">
        <f t="shared" si="2"/>
        <v>572.97</v>
      </c>
    </row>
    <row r="36" spans="1:12" s="1" customFormat="1" ht="25.5" customHeight="1" x14ac:dyDescent="0.2">
      <c r="A36" s="2">
        <v>9</v>
      </c>
      <c r="B36" s="50" t="s">
        <v>86</v>
      </c>
      <c r="C36" s="3" t="s">
        <v>87</v>
      </c>
      <c r="D36" s="2" t="s">
        <v>88</v>
      </c>
      <c r="E36" s="101">
        <v>0.01</v>
      </c>
      <c r="F36" s="14">
        <v>6505</v>
      </c>
      <c r="G36" s="14">
        <f t="shared" si="0"/>
        <v>65.05</v>
      </c>
      <c r="H36" s="99">
        <f t="shared" si="1"/>
        <v>0.12619306277643999</v>
      </c>
      <c r="I36" s="14">
        <f>ROUND(F36*Прил.10!$D$12,2)</f>
        <v>52300.2</v>
      </c>
      <c r="J36" s="14">
        <f t="shared" si="2"/>
        <v>523</v>
      </c>
    </row>
    <row r="37" spans="1:12" s="1" customFormat="1" ht="14.25" customHeight="1" x14ac:dyDescent="0.2">
      <c r="A37" s="2">
        <v>10</v>
      </c>
      <c r="B37" s="50" t="s">
        <v>89</v>
      </c>
      <c r="C37" s="3" t="s">
        <v>90</v>
      </c>
      <c r="D37" s="2" t="s">
        <v>80</v>
      </c>
      <c r="E37" s="101">
        <v>2.9999999999999997E-4</v>
      </c>
      <c r="F37" s="14">
        <v>161000</v>
      </c>
      <c r="G37" s="14">
        <f t="shared" si="0"/>
        <v>48.3</v>
      </c>
      <c r="H37" s="99">
        <f t="shared" si="1"/>
        <v>9.3699076588810007E-2</v>
      </c>
      <c r="I37" s="14">
        <f>ROUND(F37*Прил.10!$D$12,2)</f>
        <v>1294440</v>
      </c>
      <c r="J37" s="14">
        <f t="shared" si="2"/>
        <v>388.33</v>
      </c>
    </row>
    <row r="38" spans="1:12" s="1" customFormat="1" ht="14.25" customHeight="1" x14ac:dyDescent="0.2">
      <c r="A38" s="2">
        <v>11</v>
      </c>
      <c r="B38" s="50" t="s">
        <v>91</v>
      </c>
      <c r="C38" s="3" t="s">
        <v>92</v>
      </c>
      <c r="D38" s="2" t="s">
        <v>93</v>
      </c>
      <c r="E38" s="101">
        <v>5</v>
      </c>
      <c r="F38" s="14">
        <v>6.09</v>
      </c>
      <c r="G38" s="14">
        <f t="shared" si="0"/>
        <v>30.45</v>
      </c>
      <c r="H38" s="99">
        <f t="shared" si="1"/>
        <v>5.9071156979901999E-2</v>
      </c>
      <c r="I38" s="14">
        <f>ROUND(F38*Прил.10!$D$12,2)</f>
        <v>48.96</v>
      </c>
      <c r="J38" s="14">
        <f t="shared" si="2"/>
        <v>244.8</v>
      </c>
    </row>
    <row r="39" spans="1:12" s="1" customFormat="1" ht="14.25" customHeight="1" x14ac:dyDescent="0.2">
      <c r="B39" s="2"/>
      <c r="C39" s="3" t="s">
        <v>171</v>
      </c>
      <c r="D39" s="2"/>
      <c r="E39" s="101"/>
      <c r="F39" s="14"/>
      <c r="G39" s="14">
        <f>SUM(G33:G38)</f>
        <v>465.1</v>
      </c>
      <c r="H39" s="99">
        <f t="shared" si="1"/>
        <v>0.90226584930550002</v>
      </c>
      <c r="I39" s="14"/>
      <c r="J39" s="14">
        <f>SUM(J33:J38)</f>
        <v>3739.42</v>
      </c>
      <c r="K39" s="49"/>
    </row>
    <row r="40" spans="1:12" s="1" customFormat="1" ht="38.25" customHeight="1" outlineLevel="1" x14ac:dyDescent="0.2">
      <c r="A40" s="2">
        <v>12</v>
      </c>
      <c r="B40" s="43" t="s">
        <v>94</v>
      </c>
      <c r="C40" s="3" t="s">
        <v>95</v>
      </c>
      <c r="D40" s="2" t="s">
        <v>80</v>
      </c>
      <c r="E40" s="101">
        <v>6.9999999999999999E-4</v>
      </c>
      <c r="F40" s="14">
        <v>37517</v>
      </c>
      <c r="G40" s="14">
        <f t="shared" ref="G40:G45" si="3">ROUND(F40*E40,2)</f>
        <v>26.26</v>
      </c>
      <c r="H40" s="99">
        <f t="shared" si="1"/>
        <v>5.0942810584310001E-2</v>
      </c>
      <c r="I40" s="14">
        <f>ROUND(F40*Прил.10!$D$12,2)</f>
        <v>301636.68</v>
      </c>
      <c r="J40" s="14">
        <f t="shared" ref="J40:J45" si="4">ROUND(I40*E40,2)</f>
        <v>211.15</v>
      </c>
    </row>
    <row r="41" spans="1:12" s="1" customFormat="1" ht="14.25" customHeight="1" outlineLevel="1" x14ac:dyDescent="0.2">
      <c r="A41" s="2">
        <v>13</v>
      </c>
      <c r="B41" s="50" t="s">
        <v>96</v>
      </c>
      <c r="C41" s="3" t="s">
        <v>97</v>
      </c>
      <c r="D41" s="2" t="s">
        <v>93</v>
      </c>
      <c r="E41" s="101">
        <v>0.4</v>
      </c>
      <c r="F41" s="14">
        <v>28.6</v>
      </c>
      <c r="G41" s="14">
        <f t="shared" si="3"/>
        <v>11.44</v>
      </c>
      <c r="H41" s="99">
        <f t="shared" si="1"/>
        <v>2.2192907581282999E-2</v>
      </c>
      <c r="I41" s="14">
        <f>ROUND(F41*Прил.10!$D$12,2)</f>
        <v>229.94</v>
      </c>
      <c r="J41" s="14">
        <f t="shared" si="4"/>
        <v>91.98</v>
      </c>
    </row>
    <row r="42" spans="1:12" s="1" customFormat="1" ht="14.25" customHeight="1" outlineLevel="1" x14ac:dyDescent="0.2">
      <c r="A42" s="2">
        <v>14</v>
      </c>
      <c r="B42" s="50" t="s">
        <v>98</v>
      </c>
      <c r="C42" s="3" t="s">
        <v>99</v>
      </c>
      <c r="D42" s="2" t="s">
        <v>93</v>
      </c>
      <c r="E42" s="101">
        <v>0.06</v>
      </c>
      <c r="F42" s="14">
        <v>100.8</v>
      </c>
      <c r="G42" s="14">
        <f t="shared" si="3"/>
        <v>6.05</v>
      </c>
      <c r="H42" s="99">
        <f t="shared" si="1"/>
        <v>1.1736633817025E-2</v>
      </c>
      <c r="I42" s="14">
        <f>ROUND(F42*Прил.10!$D$12,2)</f>
        <v>810.43</v>
      </c>
      <c r="J42" s="14">
        <f t="shared" si="4"/>
        <v>48.63</v>
      </c>
    </row>
    <row r="43" spans="1:12" s="1" customFormat="1" ht="14.25" customHeight="1" outlineLevel="1" x14ac:dyDescent="0.2">
      <c r="A43" s="2">
        <v>15</v>
      </c>
      <c r="B43" s="50" t="s">
        <v>100</v>
      </c>
      <c r="C43" s="3" t="s">
        <v>101</v>
      </c>
      <c r="D43" s="2" t="s">
        <v>80</v>
      </c>
      <c r="E43" s="101">
        <v>4.0000000000000002E-4</v>
      </c>
      <c r="F43" s="14">
        <v>8105.71</v>
      </c>
      <c r="G43" s="14">
        <f t="shared" si="3"/>
        <v>3.24</v>
      </c>
      <c r="H43" s="99">
        <f t="shared" si="1"/>
        <v>6.2854038953985003E-3</v>
      </c>
      <c r="I43" s="14">
        <f>ROUND(F43*Прил.10!$D$12,2)</f>
        <v>65169.91</v>
      </c>
      <c r="J43" s="14">
        <f t="shared" si="4"/>
        <v>26.07</v>
      </c>
    </row>
    <row r="44" spans="1:12" s="1" customFormat="1" ht="25.5" customHeight="1" outlineLevel="1" x14ac:dyDescent="0.2">
      <c r="A44" s="2">
        <v>16</v>
      </c>
      <c r="B44" s="50" t="s">
        <v>102</v>
      </c>
      <c r="C44" s="3" t="s">
        <v>103</v>
      </c>
      <c r="D44" s="2" t="s">
        <v>104</v>
      </c>
      <c r="E44" s="101">
        <v>2.6</v>
      </c>
      <c r="F44" s="14">
        <v>1</v>
      </c>
      <c r="G44" s="14">
        <f t="shared" si="3"/>
        <v>2.6</v>
      </c>
      <c r="H44" s="99">
        <f t="shared" si="1"/>
        <v>5.0438426321098998E-3</v>
      </c>
      <c r="I44" s="14">
        <f>ROUND(F44*Прил.10!$D$12,2)</f>
        <v>8.0399999999999991</v>
      </c>
      <c r="J44" s="14">
        <f t="shared" si="4"/>
        <v>20.9</v>
      </c>
    </row>
    <row r="45" spans="1:12" s="1" customFormat="1" ht="14.25" customHeight="1" outlineLevel="1" x14ac:dyDescent="0.2">
      <c r="A45" s="2">
        <v>17</v>
      </c>
      <c r="B45" s="50" t="s">
        <v>105</v>
      </c>
      <c r="C45" s="3" t="s">
        <v>106</v>
      </c>
      <c r="D45" s="2" t="s">
        <v>107</v>
      </c>
      <c r="E45" s="101">
        <v>0.01</v>
      </c>
      <c r="F45" s="14">
        <v>79.099999999999994</v>
      </c>
      <c r="G45" s="14">
        <f t="shared" si="3"/>
        <v>0.79</v>
      </c>
      <c r="H45" s="99">
        <f t="shared" si="1"/>
        <v>1.5325521843717999E-3</v>
      </c>
      <c r="I45" s="14">
        <f>ROUND(F45*Прил.10!$D$12,2)</f>
        <v>635.96</v>
      </c>
      <c r="J45" s="14">
        <f t="shared" si="4"/>
        <v>6.36</v>
      </c>
    </row>
    <row r="46" spans="1:12" s="1" customFormat="1" ht="14.25" customHeight="1" x14ac:dyDescent="0.2">
      <c r="A46" s="2"/>
      <c r="B46" s="2"/>
      <c r="C46" s="3" t="s">
        <v>172</v>
      </c>
      <c r="D46" s="2"/>
      <c r="E46" s="92"/>
      <c r="F46" s="14"/>
      <c r="G46" s="14">
        <f>SUM(G40:G45)</f>
        <v>50.38</v>
      </c>
      <c r="H46" s="99">
        <f>G46/G47</f>
        <v>9.7734150694498007E-2</v>
      </c>
      <c r="I46" s="14"/>
      <c r="J46" s="14">
        <f>SUM(J40:J45)</f>
        <v>405.09</v>
      </c>
      <c r="L46" s="85"/>
    </row>
    <row r="47" spans="1:12" s="1" customFormat="1" ht="14.25" customHeight="1" x14ac:dyDescent="0.2">
      <c r="A47" s="2"/>
      <c r="B47" s="2"/>
      <c r="C47" s="5" t="s">
        <v>173</v>
      </c>
      <c r="D47" s="2"/>
      <c r="E47" s="92"/>
      <c r="F47" s="4"/>
      <c r="G47" s="14">
        <f>G39+G46</f>
        <v>515.48</v>
      </c>
      <c r="H47" s="99">
        <v>1</v>
      </c>
      <c r="I47" s="4"/>
      <c r="J47" s="14">
        <f>J39+J46</f>
        <v>4144.51</v>
      </c>
      <c r="K47" s="49"/>
    </row>
    <row r="48" spans="1:12" s="1" customFormat="1" ht="14.25" customHeight="1" x14ac:dyDescent="0.2">
      <c r="A48" s="2"/>
      <c r="B48" s="2"/>
      <c r="C48" s="3" t="s">
        <v>174</v>
      </c>
      <c r="D48" s="2"/>
      <c r="E48" s="92"/>
      <c r="F48" s="4"/>
      <c r="G48" s="14">
        <f>G14+G23+G47</f>
        <v>662.36</v>
      </c>
      <c r="H48" s="99"/>
      <c r="I48" s="4"/>
      <c r="J48" s="14">
        <f>J14+J23+J47</f>
        <v>10464.27</v>
      </c>
    </row>
    <row r="49" spans="1:14" s="1" customFormat="1" ht="14.25" customHeight="1" x14ac:dyDescent="0.2">
      <c r="A49" s="2"/>
      <c r="B49" s="2"/>
      <c r="C49" s="3" t="s">
        <v>175</v>
      </c>
      <c r="D49" s="2" t="s">
        <v>176</v>
      </c>
      <c r="E49" s="110">
        <f>ROUND(G49/(G14+G16),2)</f>
        <v>0.93</v>
      </c>
      <c r="F49" s="4"/>
      <c r="G49" s="14">
        <v>125.47</v>
      </c>
      <c r="H49" s="99"/>
      <c r="I49" s="4"/>
      <c r="J49" s="14">
        <f>ROUND(E49*(J14+J16),2)</f>
        <v>5783.74</v>
      </c>
      <c r="K49" s="51"/>
    </row>
    <row r="50" spans="1:14" s="1" customFormat="1" ht="14.25" customHeight="1" x14ac:dyDescent="0.2">
      <c r="A50" s="2"/>
      <c r="B50" s="2"/>
      <c r="C50" s="3" t="s">
        <v>177</v>
      </c>
      <c r="D50" s="2" t="s">
        <v>176</v>
      </c>
      <c r="E50" s="110">
        <f>ROUND(G50/(G14+G16),2)</f>
        <v>0.64</v>
      </c>
      <c r="F50" s="4"/>
      <c r="G50" s="14">
        <v>85.85</v>
      </c>
      <c r="H50" s="99"/>
      <c r="I50" s="4"/>
      <c r="J50" s="14">
        <f>ROUND(E50*(J14+J16),2)</f>
        <v>3980.2</v>
      </c>
      <c r="K50" s="51"/>
    </row>
    <row r="51" spans="1:14" s="1" customFormat="1" ht="14.25" customHeight="1" x14ac:dyDescent="0.2">
      <c r="A51" s="2"/>
      <c r="B51" s="2"/>
      <c r="C51" s="3" t="s">
        <v>178</v>
      </c>
      <c r="D51" s="2"/>
      <c r="E51" s="92"/>
      <c r="F51" s="4"/>
      <c r="G51" s="14">
        <f>G14+G23+G47+G49+G50</f>
        <v>873.68</v>
      </c>
      <c r="H51" s="99"/>
      <c r="I51" s="4"/>
      <c r="J51" s="14">
        <f>J14+J23+J47+J49+J50</f>
        <v>20228.21</v>
      </c>
      <c r="L51" s="52"/>
    </row>
    <row r="52" spans="1:14" s="1" customFormat="1" ht="14.25" customHeight="1" x14ac:dyDescent="0.2">
      <c r="A52" s="2"/>
      <c r="B52" s="2"/>
      <c r="C52" s="3" t="s">
        <v>179</v>
      </c>
      <c r="D52" s="2"/>
      <c r="E52" s="92"/>
      <c r="F52" s="4"/>
      <c r="G52" s="14">
        <f>G51+G29</f>
        <v>44966.97</v>
      </c>
      <c r="H52" s="99"/>
      <c r="I52" s="4"/>
      <c r="J52" s="14">
        <f>J51+J29</f>
        <v>296252.21000000002</v>
      </c>
      <c r="L52" s="51"/>
    </row>
    <row r="53" spans="1:14" s="1" customFormat="1" ht="14.25" customHeight="1" x14ac:dyDescent="0.2">
      <c r="A53" s="2"/>
      <c r="B53" s="2"/>
      <c r="C53" s="3" t="s">
        <v>144</v>
      </c>
      <c r="D53" s="2" t="s">
        <v>180</v>
      </c>
      <c r="E53" s="111">
        <v>1</v>
      </c>
      <c r="F53" s="4"/>
      <c r="G53" s="14">
        <f>G52/E53</f>
        <v>44966.97</v>
      </c>
      <c r="H53" s="99"/>
      <c r="I53" s="4"/>
      <c r="J53" s="14">
        <f>J52/E53</f>
        <v>296252.21000000002</v>
      </c>
      <c r="L53" s="85"/>
    </row>
    <row r="55" spans="1:14" s="1" customFormat="1" ht="14.25" customHeight="1" x14ac:dyDescent="0.2">
      <c r="A55" s="10"/>
    </row>
    <row r="56" spans="1:14" x14ac:dyDescent="0.25">
      <c r="A56"/>
      <c r="B56" s="112" t="s">
        <v>275</v>
      </c>
      <c r="C56" s="121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/>
      <c r="B57" s="120" t="s">
        <v>33</v>
      </c>
      <c r="C57" s="121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/>
      <c r="B58" s="112"/>
      <c r="C58" s="121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/>
      <c r="B59" s="112" t="s">
        <v>276</v>
      </c>
      <c r="C59" s="121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/>
      <c r="B60" s="120" t="s">
        <v>34</v>
      </c>
      <c r="C60" s="121"/>
      <c r="D60"/>
      <c r="E60"/>
      <c r="F60"/>
      <c r="G60"/>
      <c r="H60"/>
      <c r="I60"/>
      <c r="J60"/>
      <c r="K60"/>
      <c r="L60"/>
      <c r="M60"/>
      <c r="N60"/>
    </row>
  </sheetData>
  <sheetProtection formatCells="0" formatColumns="0" formatRows="0" insertColumns="0" insertRows="0" insertHyperlinks="0" deleteColumns="0" deleteRows="0" sort="0" autoFilter="0" pivotTables="0"/>
  <mergeCells count="18">
    <mergeCell ref="B32:H32"/>
    <mergeCell ref="B24:J24"/>
    <mergeCell ref="B31:J31"/>
    <mergeCell ref="I9:J9"/>
    <mergeCell ref="D6:J6"/>
    <mergeCell ref="B17:H17"/>
    <mergeCell ref="B18:H18"/>
    <mergeCell ref="B25:J25"/>
    <mergeCell ref="B12:H12"/>
    <mergeCell ref="B15:H15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181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7" t="s">
        <v>182</v>
      </c>
      <c r="B5" s="157"/>
      <c r="C5" s="157"/>
      <c r="D5" s="157"/>
      <c r="E5" s="157"/>
      <c r="F5" s="157"/>
      <c r="G5" s="157"/>
    </row>
    <row r="6" spans="1:7" ht="37.5" customHeight="1" x14ac:dyDescent="0.25">
      <c r="A6" s="147" t="s">
        <v>3</v>
      </c>
      <c r="B6" s="147"/>
      <c r="C6" s="147"/>
      <c r="D6" s="147"/>
      <c r="E6" s="147"/>
      <c r="F6" s="147"/>
      <c r="G6" s="147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8" t="s">
        <v>149</v>
      </c>
      <c r="B8" s="158" t="s">
        <v>56</v>
      </c>
      <c r="C8" s="158" t="s">
        <v>110</v>
      </c>
      <c r="D8" s="158" t="s">
        <v>58</v>
      </c>
      <c r="E8" s="159" t="s">
        <v>150</v>
      </c>
      <c r="F8" s="179" t="s">
        <v>60</v>
      </c>
      <c r="G8" s="179"/>
    </row>
    <row r="9" spans="1:7" x14ac:dyDescent="0.25">
      <c r="A9" s="158"/>
      <c r="B9" s="158"/>
      <c r="C9" s="158"/>
      <c r="D9" s="158"/>
      <c r="E9" s="160"/>
      <c r="F9" s="2" t="s">
        <v>153</v>
      </c>
      <c r="G9" s="2" t="s">
        <v>62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183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184</v>
      </c>
      <c r="D12" s="5"/>
      <c r="E12" s="8"/>
      <c r="F12" s="4"/>
      <c r="G12" s="4">
        <v>0</v>
      </c>
    </row>
    <row r="13" spans="1:7" x14ac:dyDescent="0.25">
      <c r="A13" s="2"/>
      <c r="B13" s="163" t="s">
        <v>185</v>
      </c>
      <c r="C13" s="163"/>
      <c r="D13" s="163"/>
      <c r="E13" s="177"/>
      <c r="F13" s="165"/>
      <c r="G13" s="165"/>
    </row>
    <row r="14" spans="1:7" x14ac:dyDescent="0.25">
      <c r="A14" s="2">
        <v>1</v>
      </c>
      <c r="B14" s="50" t="str">
        <f>'Прил.5 Расчет СМР и ОБ'!B26</f>
        <v>БЦ.5.1.12</v>
      </c>
      <c r="C14" s="90" t="str">
        <f>'Прил.5 Расчет СМР и ОБ'!C26</f>
        <v>Ввод трансформатора 35 кВ</v>
      </c>
      <c r="D14" s="50" t="str">
        <f>'Прил.5 Расчет СМР и ОБ'!D26</f>
        <v>к-т</v>
      </c>
      <c r="E14" s="50">
        <f>'Прил.5 Расчет СМР и ОБ'!E26</f>
        <v>1</v>
      </c>
      <c r="F14" s="14">
        <f>'Прил.5 Расчет СМР и ОБ'!F26</f>
        <v>44093.29</v>
      </c>
      <c r="G14" s="14">
        <f>ROUND(E14*F14,2)</f>
        <v>44093.29</v>
      </c>
    </row>
    <row r="15" spans="1:7" ht="25.5" customHeight="1" x14ac:dyDescent="0.25">
      <c r="A15" s="2"/>
      <c r="B15" s="12"/>
      <c r="C15" s="12" t="s">
        <v>186</v>
      </c>
      <c r="D15" s="12"/>
      <c r="E15" s="13"/>
      <c r="F15" s="4"/>
      <c r="G15" s="14">
        <f>SUM(G14:G14)</f>
        <v>44093.29</v>
      </c>
    </row>
    <row r="16" spans="1:7" ht="19.5" customHeight="1" x14ac:dyDescent="0.25">
      <c r="A16" s="2"/>
      <c r="B16" s="3"/>
      <c r="C16" s="3" t="s">
        <v>187</v>
      </c>
      <c r="D16" s="3"/>
      <c r="E16" s="9"/>
      <c r="F16" s="4"/>
      <c r="G16" s="14">
        <f>G12+G15</f>
        <v>44093.29</v>
      </c>
    </row>
    <row r="17" spans="1:7" x14ac:dyDescent="0.25">
      <c r="A17" s="10"/>
      <c r="B17" s="11"/>
      <c r="C17" s="10"/>
      <c r="D17" s="10"/>
      <c r="E17" s="10"/>
      <c r="F17" s="10"/>
      <c r="G17" s="10"/>
    </row>
    <row r="18" spans="1:7" x14ac:dyDescent="0.25">
      <c r="B18" s="112" t="s">
        <v>275</v>
      </c>
      <c r="C18" s="121"/>
    </row>
    <row r="19" spans="1:7" x14ac:dyDescent="0.25">
      <c r="B19" s="120" t="s">
        <v>33</v>
      </c>
      <c r="C19" s="121"/>
    </row>
    <row r="20" spans="1:7" x14ac:dyDescent="0.25">
      <c r="B20" s="112"/>
      <c r="C20" s="121"/>
    </row>
    <row r="21" spans="1:7" x14ac:dyDescent="0.25">
      <c r="B21" s="112" t="s">
        <v>276</v>
      </c>
      <c r="C21" s="121"/>
    </row>
    <row r="22" spans="1:7" x14ac:dyDescent="0.25">
      <c r="B22" s="120" t="s">
        <v>34</v>
      </c>
      <c r="C22" s="12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2"/>
      <c r="C1" s="112"/>
      <c r="D1" s="113" t="s">
        <v>188</v>
      </c>
    </row>
    <row r="2" spans="1:5" x14ac:dyDescent="0.25">
      <c r="A2" s="113"/>
      <c r="B2" s="113"/>
      <c r="C2" s="113"/>
      <c r="D2" s="113"/>
    </row>
    <row r="3" spans="1:5" ht="24.75" customHeight="1" x14ac:dyDescent="0.25">
      <c r="A3" s="157" t="s">
        <v>189</v>
      </c>
      <c r="B3" s="157"/>
      <c r="C3" s="157"/>
      <c r="D3" s="157"/>
    </row>
    <row r="4" spans="1:5" ht="24.75" customHeight="1" x14ac:dyDescent="0.25">
      <c r="A4" s="114"/>
      <c r="B4" s="114"/>
      <c r="C4" s="114"/>
      <c r="D4" s="114"/>
    </row>
    <row r="5" spans="1:5" ht="95.25" customHeight="1" x14ac:dyDescent="0.25">
      <c r="A5" s="180" t="s">
        <v>190</v>
      </c>
      <c r="B5" s="180"/>
      <c r="C5" s="180"/>
      <c r="D5" s="115" t="str">
        <f>'Прил.5 Расчет СМР и ОБ'!D6:J6</f>
        <v>Ввод линейный (выключателя, трансформатора) на одну фазу (номинальный ток, 1000 А и выше) без устройства фундамента напряжение 35(20) кВ</v>
      </c>
    </row>
    <row r="6" spans="1:5" ht="19.899999999999999" customHeight="1" x14ac:dyDescent="0.25">
      <c r="A6" s="180" t="s">
        <v>191</v>
      </c>
      <c r="B6" s="180"/>
      <c r="C6" s="180"/>
      <c r="D6" s="115"/>
    </row>
    <row r="7" spans="1:5" x14ac:dyDescent="0.25">
      <c r="A7" s="112"/>
      <c r="B7" s="112"/>
      <c r="C7" s="112"/>
      <c r="D7" s="112"/>
    </row>
    <row r="8" spans="1:5" ht="14.45" customHeight="1" x14ac:dyDescent="0.25">
      <c r="A8" s="151" t="s">
        <v>192</v>
      </c>
      <c r="B8" s="151" t="s">
        <v>193</v>
      </c>
      <c r="C8" s="151" t="s">
        <v>194</v>
      </c>
      <c r="D8" s="151" t="s">
        <v>195</v>
      </c>
    </row>
    <row r="9" spans="1:5" ht="15" customHeight="1" x14ac:dyDescent="0.25">
      <c r="A9" s="151"/>
      <c r="B9" s="151"/>
      <c r="C9" s="151"/>
      <c r="D9" s="151"/>
    </row>
    <row r="10" spans="1:5" x14ac:dyDescent="0.25">
      <c r="A10" s="116">
        <v>1</v>
      </c>
      <c r="B10" s="116">
        <v>2</v>
      </c>
      <c r="C10" s="116">
        <v>3</v>
      </c>
      <c r="D10" s="116">
        <v>4</v>
      </c>
    </row>
    <row r="11" spans="1:5" ht="70.5" customHeight="1" x14ac:dyDescent="0.25">
      <c r="A11" s="116" t="s">
        <v>196</v>
      </c>
      <c r="B11" s="116" t="s">
        <v>197</v>
      </c>
      <c r="C11" s="142" t="str">
        <f>D5</f>
        <v>Ввод линейный (выключателя, трансформатора) на одну фазу (номинальный ток, 1000 А и выше) без устройства фундамента напряжение 35(20) кВ</v>
      </c>
      <c r="D11" s="122">
        <f>'Прил.4 РМ'!C41/1000</f>
        <v>391.65084999999999</v>
      </c>
      <c r="E11" s="117"/>
    </row>
    <row r="12" spans="1:5" x14ac:dyDescent="0.25">
      <c r="A12" s="118"/>
      <c r="B12" s="119"/>
      <c r="C12" s="118"/>
      <c r="D12" s="118"/>
    </row>
    <row r="13" spans="1:5" x14ac:dyDescent="0.25">
      <c r="B13" s="112" t="s">
        <v>275</v>
      </c>
      <c r="C13" s="121"/>
    </row>
    <row r="14" spans="1:5" x14ac:dyDescent="0.25">
      <c r="B14" s="120" t="s">
        <v>33</v>
      </c>
      <c r="C14" s="121"/>
    </row>
    <row r="15" spans="1:5" x14ac:dyDescent="0.25">
      <c r="B15" s="112"/>
      <c r="C15" s="121"/>
    </row>
    <row r="16" spans="1:5" x14ac:dyDescent="0.25">
      <c r="B16" s="112" t="s">
        <v>276</v>
      </c>
      <c r="C16" s="121"/>
    </row>
    <row r="17" spans="2:3" x14ac:dyDescent="0.25">
      <c r="B17" s="120" t="s">
        <v>34</v>
      </c>
      <c r="C17" s="121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6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4" t="s">
        <v>198</v>
      </c>
      <c r="C4" s="144"/>
      <c r="D4" s="144"/>
    </row>
    <row r="5" spans="2:4" ht="18.75" customHeight="1" x14ac:dyDescent="0.25">
      <c r="B5" s="35"/>
    </row>
    <row r="6" spans="2:4" ht="15.75" customHeight="1" x14ac:dyDescent="0.25">
      <c r="B6" s="148" t="s">
        <v>199</v>
      </c>
      <c r="C6" s="148"/>
      <c r="D6" s="148"/>
    </row>
    <row r="7" spans="2:4" ht="18.75" customHeight="1" x14ac:dyDescent="0.25">
      <c r="B7" s="36"/>
    </row>
    <row r="8" spans="2:4" ht="47.25" customHeight="1" x14ac:dyDescent="0.25">
      <c r="B8" s="37" t="s">
        <v>200</v>
      </c>
      <c r="C8" s="37" t="s">
        <v>201</v>
      </c>
      <c r="D8" s="37" t="s">
        <v>202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45" customHeight="1" x14ac:dyDescent="0.25">
      <c r="B10" s="37" t="s">
        <v>203</v>
      </c>
      <c r="C10" s="37" t="s">
        <v>204</v>
      </c>
      <c r="D10" s="37">
        <v>44.29</v>
      </c>
    </row>
    <row r="11" spans="2:4" ht="29.25" customHeight="1" x14ac:dyDescent="0.25">
      <c r="B11" s="37" t="s">
        <v>205</v>
      </c>
      <c r="C11" s="37" t="s">
        <v>204</v>
      </c>
      <c r="D11" s="37">
        <v>13.47</v>
      </c>
    </row>
    <row r="12" spans="2:4" ht="29.25" customHeight="1" x14ac:dyDescent="0.25">
      <c r="B12" s="37" t="s">
        <v>206</v>
      </c>
      <c r="C12" s="37" t="s">
        <v>204</v>
      </c>
      <c r="D12" s="37">
        <v>8.0399999999999991</v>
      </c>
    </row>
    <row r="13" spans="2:4" ht="30.75" customHeight="1" x14ac:dyDescent="0.25">
      <c r="B13" s="37" t="s">
        <v>207</v>
      </c>
      <c r="C13" s="123" t="s">
        <v>208</v>
      </c>
      <c r="D13" s="37">
        <v>6.26</v>
      </c>
    </row>
    <row r="14" spans="2:4" ht="89.25" customHeight="1" x14ac:dyDescent="0.25">
      <c r="B14" s="37" t="s">
        <v>209</v>
      </c>
      <c r="C14" s="37" t="s">
        <v>210</v>
      </c>
      <c r="D14" s="41">
        <v>3.9E-2</v>
      </c>
    </row>
    <row r="15" spans="2:4" ht="78.75" customHeight="1" x14ac:dyDescent="0.25">
      <c r="B15" s="37" t="s">
        <v>211</v>
      </c>
      <c r="C15" s="37" t="s">
        <v>212</v>
      </c>
      <c r="D15" s="41">
        <v>2.1000000000000001E-2</v>
      </c>
    </row>
    <row r="16" spans="2:4" ht="15.75" customHeight="1" x14ac:dyDescent="0.25">
      <c r="B16" s="37" t="s">
        <v>134</v>
      </c>
      <c r="C16" s="37"/>
      <c r="D16" s="37" t="s">
        <v>213</v>
      </c>
    </row>
    <row r="17" spans="2:4" ht="31.5" customHeight="1" x14ac:dyDescent="0.25">
      <c r="B17" s="37" t="s">
        <v>214</v>
      </c>
      <c r="C17" s="37" t="s">
        <v>215</v>
      </c>
      <c r="D17" s="41">
        <v>2.1399999999999999E-2</v>
      </c>
    </row>
    <row r="18" spans="2:4" ht="31.5" customHeight="1" x14ac:dyDescent="0.25">
      <c r="B18" s="37" t="s">
        <v>140</v>
      </c>
      <c r="C18" s="37" t="s">
        <v>216</v>
      </c>
      <c r="D18" s="41">
        <v>2E-3</v>
      </c>
    </row>
    <row r="19" spans="2:4" ht="24" customHeight="1" x14ac:dyDescent="0.25">
      <c r="B19" s="37" t="s">
        <v>142</v>
      </c>
      <c r="C19" s="37" t="s">
        <v>217</v>
      </c>
      <c r="D19" s="41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12" t="s">
        <v>275</v>
      </c>
      <c r="C26" s="121"/>
    </row>
    <row r="27" spans="2:4" x14ac:dyDescent="0.25">
      <c r="B27" s="120" t="s">
        <v>33</v>
      </c>
      <c r="C27" s="121"/>
    </row>
    <row r="28" spans="2:4" x14ac:dyDescent="0.25">
      <c r="B28" s="112"/>
      <c r="C28" s="121"/>
    </row>
    <row r="29" spans="2:4" x14ac:dyDescent="0.25">
      <c r="B29" s="112" t="s">
        <v>276</v>
      </c>
      <c r="C29" s="121"/>
    </row>
    <row r="30" spans="2:4" x14ac:dyDescent="0.25">
      <c r="B30" s="120" t="s">
        <v>34</v>
      </c>
      <c r="C30" s="121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218</v>
      </c>
      <c r="B2" s="181"/>
      <c r="C2" s="181"/>
      <c r="D2" s="181"/>
      <c r="E2" s="181"/>
      <c r="F2" s="181"/>
    </row>
    <row r="4" spans="1:7" ht="18" customHeight="1" x14ac:dyDescent="0.25">
      <c r="A4" s="20" t="s">
        <v>219</v>
      </c>
    </row>
    <row r="5" spans="1:7" x14ac:dyDescent="0.25">
      <c r="A5" s="21" t="s">
        <v>149</v>
      </c>
      <c r="B5" s="21" t="s">
        <v>220</v>
      </c>
      <c r="C5" s="21" t="s">
        <v>221</v>
      </c>
      <c r="D5" s="21" t="s">
        <v>222</v>
      </c>
      <c r="E5" s="21" t="s">
        <v>223</v>
      </c>
      <c r="F5" s="21" t="s">
        <v>224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225</v>
      </c>
      <c r="B7" s="24" t="s">
        <v>226</v>
      </c>
      <c r="C7" s="23" t="s">
        <v>227</v>
      </c>
      <c r="D7" s="23" t="s">
        <v>228</v>
      </c>
      <c r="E7" s="25">
        <v>47872.94</v>
      </c>
      <c r="F7" s="24" t="s">
        <v>229</v>
      </c>
    </row>
    <row r="8" spans="1:7" ht="30" customHeight="1" x14ac:dyDescent="0.25">
      <c r="A8" s="22" t="s">
        <v>230</v>
      </c>
      <c r="B8" s="24" t="s">
        <v>231</v>
      </c>
      <c r="C8" s="23" t="s">
        <v>232</v>
      </c>
      <c r="D8" s="23" t="s">
        <v>233</v>
      </c>
      <c r="E8" s="25">
        <f>1973/12</f>
        <v>164.41666666667001</v>
      </c>
      <c r="F8" s="24" t="s">
        <v>234</v>
      </c>
      <c r="G8" s="26"/>
    </row>
    <row r="9" spans="1:7" x14ac:dyDescent="0.25">
      <c r="A9" s="22" t="s">
        <v>235</v>
      </c>
      <c r="B9" s="24" t="s">
        <v>236</v>
      </c>
      <c r="C9" s="23" t="s">
        <v>237</v>
      </c>
      <c r="D9" s="23" t="s">
        <v>228</v>
      </c>
      <c r="E9" s="25">
        <v>1</v>
      </c>
      <c r="F9" s="24"/>
      <c r="G9" s="27"/>
    </row>
    <row r="10" spans="1:7" x14ac:dyDescent="0.25">
      <c r="A10" s="22" t="s">
        <v>238</v>
      </c>
      <c r="B10" s="24" t="s">
        <v>239</v>
      </c>
      <c r="C10" s="23"/>
      <c r="D10" s="23"/>
      <c r="E10" s="28">
        <v>4</v>
      </c>
      <c r="F10" s="24" t="s">
        <v>240</v>
      </c>
      <c r="G10" s="27"/>
    </row>
    <row r="11" spans="1:7" ht="75" customHeight="1" x14ac:dyDescent="0.25">
      <c r="A11" s="22" t="s">
        <v>241</v>
      </c>
      <c r="B11" s="24" t="s">
        <v>242</v>
      </c>
      <c r="C11" s="23" t="s">
        <v>243</v>
      </c>
      <c r="D11" s="23" t="s">
        <v>228</v>
      </c>
      <c r="E11" s="29">
        <v>1.34</v>
      </c>
      <c r="F11" s="24" t="s">
        <v>244</v>
      </c>
    </row>
    <row r="12" spans="1:7" ht="75" customHeight="1" x14ac:dyDescent="0.25">
      <c r="A12" s="22" t="s">
        <v>245</v>
      </c>
      <c r="B12" s="30" t="s">
        <v>246</v>
      </c>
      <c r="C12" s="23" t="s">
        <v>247</v>
      </c>
      <c r="D12" s="23" t="s">
        <v>228</v>
      </c>
      <c r="E12" s="31">
        <v>1.139</v>
      </c>
      <c r="F12" s="32" t="s">
        <v>248</v>
      </c>
      <c r="G12" s="27" t="s">
        <v>249</v>
      </c>
    </row>
    <row r="13" spans="1:7" ht="60" customHeight="1" x14ac:dyDescent="0.25">
      <c r="A13" s="22" t="s">
        <v>250</v>
      </c>
      <c r="B13" s="33" t="s">
        <v>251</v>
      </c>
      <c r="C13" s="23" t="s">
        <v>252</v>
      </c>
      <c r="D13" s="23" t="s">
        <v>253</v>
      </c>
      <c r="E13" s="34">
        <f>((E7*E9/E8)*E11)*E12</f>
        <v>444.39870291576</v>
      </c>
      <c r="F13" s="24" t="s">
        <v>254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2023-11-30T10:01:15Z</cp:lastPrinted>
  <dcterms:created xsi:type="dcterms:W3CDTF">2020-09-30T08:50:27Z</dcterms:created>
  <dcterms:modified xsi:type="dcterms:W3CDTF">2023-11-30T10:01:27Z</dcterms:modified>
  <cp:category/>
</cp:coreProperties>
</file>