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activeTab="4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1">IF('Прил.2 Расч стоим'!n_3=1,'Прил.2 Расч стоим'!n_2,'Прил.2 Расч стоим'!n_3&amp;'Прил.2 Расч стоим'!n_1)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1">IF('Прил.2 Расч стоим'!n_3=1,'Прил.2 Расч стоим'!n_2,'Прил.2 Расч стоим'!n_3&amp;'Прил.2 Расч стоим'!n_5)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1">#REF!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1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1">'Прил.2 Расч стоим'!$A$1:$J$22</definedName>
    <definedName name="_xlnm.Print_Area" localSheetId="2">Прил.3!$A$1:$H$65</definedName>
    <definedName name="_xlnm.Print_Area" localSheetId="3">'Прил.4 РМ'!$A$1:$E$48</definedName>
    <definedName name="_xlnm.Print_Area" localSheetId="4">'Прил.5 Расчет СМР и ОБ'!$A$1:$J$93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1">#REF!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1">#REF!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6" i="6"/>
  <c r="G15" i="6"/>
  <c r="G14" i="6"/>
  <c r="F14" i="6"/>
  <c r="E14" i="6"/>
  <c r="D14" i="6"/>
  <c r="C14" i="6"/>
  <c r="B14" i="6"/>
  <c r="A6" i="6"/>
  <c r="J58" i="5"/>
  <c r="G58" i="5"/>
  <c r="J57" i="5"/>
  <c r="G57" i="5"/>
  <c r="J56" i="5"/>
  <c r="G56" i="5"/>
  <c r="J55" i="5"/>
  <c r="E55" i="5"/>
  <c r="J54" i="5"/>
  <c r="E54" i="5"/>
  <c r="J53" i="5"/>
  <c r="G53" i="5"/>
  <c r="J52" i="5"/>
  <c r="G52" i="5"/>
  <c r="J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3" i="5"/>
  <c r="H33" i="5"/>
  <c r="G33" i="5"/>
  <c r="J32" i="5"/>
  <c r="H32" i="5"/>
  <c r="G32" i="5"/>
  <c r="H31" i="5"/>
  <c r="J30" i="5"/>
  <c r="H30" i="5"/>
  <c r="G30" i="5"/>
  <c r="J29" i="5"/>
  <c r="H29" i="5"/>
  <c r="G29" i="5"/>
  <c r="F29" i="5"/>
  <c r="J26" i="5"/>
  <c r="G26" i="5"/>
  <c r="J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B7" i="5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B7" i="4"/>
  <c r="B6" i="4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A31" i="3"/>
  <c r="H30" i="3"/>
  <c r="A30" i="3"/>
  <c r="H29" i="3"/>
  <c r="A29" i="3"/>
  <c r="H28" i="3"/>
  <c r="A28" i="3"/>
  <c r="H27" i="3"/>
  <c r="A27" i="3"/>
  <c r="H26" i="3"/>
  <c r="A26" i="3"/>
  <c r="H25" i="3"/>
  <c r="A25" i="3"/>
  <c r="H24" i="3"/>
  <c r="H23" i="3"/>
  <c r="F23" i="3"/>
  <c r="E23" i="3"/>
  <c r="D23" i="3"/>
  <c r="A23" i="3"/>
  <c r="H22" i="3"/>
  <c r="H21" i="3"/>
  <c r="A21" i="3"/>
  <c r="H20" i="3"/>
  <c r="A20" i="3"/>
  <c r="H19" i="3"/>
  <c r="A19" i="3"/>
  <c r="H18" i="3"/>
  <c r="A18" i="3"/>
  <c r="H17" i="3"/>
  <c r="A17" i="3"/>
  <c r="H16" i="3"/>
  <c r="H15" i="3"/>
  <c r="F15" i="3"/>
  <c r="H14" i="3"/>
  <c r="H13" i="3"/>
  <c r="H12" i="3"/>
  <c r="F12" i="3"/>
  <c r="A6" i="3"/>
  <c r="J14" i="2"/>
  <c r="H14" i="2"/>
  <c r="G14" i="2"/>
  <c r="J13" i="2"/>
  <c r="H13" i="2"/>
  <c r="G13" i="2"/>
  <c r="J12" i="2"/>
  <c r="H12" i="2"/>
  <c r="G12" i="2"/>
  <c r="B7" i="2"/>
  <c r="B6" i="2"/>
  <c r="D23" i="1"/>
  <c r="D22" i="1"/>
  <c r="D20" i="1"/>
  <c r="D16" i="1"/>
</calcChain>
</file>

<file path=xl/sharedStrings.xml><?xml version="1.0" encoding="utf-8"?>
<sst xmlns="http://schemas.openxmlformats.org/spreadsheetml/2006/main" count="459" uniqueCount="287">
  <si>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</si>
  <si>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</si>
  <si>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</si>
  <si>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Ввод линейный (выключателя, трансформатора) на одну фазу (номинальный ток, 1000 А и выше) без устройства фундамента напряжение 110 кВ</t>
  </si>
  <si>
    <t>Сопоставимый уровень цен: 2 квартал 2017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</si>
  <si>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</si>
  <si>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</si>
  <si>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</si>
  <si>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</si>
  <si>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</si>
  <si>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ПС 330 кВ Губкин</t>
  </si>
  <si>
    <t>Наименование субъекта Российской Федерации</t>
  </si>
  <si>
    <t>Белгородская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</si>
  <si>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</si>
  <si>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</si>
  <si>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</si>
  <si>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</si>
  <si>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Ввод трансформатора 110 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</si>
  <si>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</si>
  <si>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</si>
  <si>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</si>
  <si>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</si>
  <si>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</si>
  <si>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</si>
  <si>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</si>
  <si>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</si>
  <si>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</si>
  <si>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</si>
  <si>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2017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</si>
  <si>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</si>
  <si>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</si>
  <si>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</si>
  <si>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</si>
  <si>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</si>
  <si>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</si>
  <si>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</si>
  <si>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</si>
  <si>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</si>
  <si>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</si>
  <si>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</si>
  <si>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</si>
  <si>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2017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</si>
  <si>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</si>
  <si>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</si>
  <si>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</si>
  <si>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</si>
  <si>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</si>
  <si>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02-01-02-2</t>
  </si>
  <si>
    <t xml:space="preserve">Установка автотрансформаторов.Электротехнические решения </t>
  </si>
  <si>
    <t>Всего по объекту:</t>
  </si>
  <si>
    <t>Всего по объекту в сопоставимом уровне цен 2 кв. 2017г: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</si>
  <si>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</si>
  <si>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</si>
  <si>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</si>
  <si>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</si>
  <si>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</si>
  <si>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</si>
  <si>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</si>
  <si>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</si>
  <si>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</si>
  <si>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</si>
  <si>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</si>
  <si>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</si>
  <si>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</si>
  <si>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</si>
  <si>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</si>
  <si>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</si>
  <si>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чел.час</t>
  </si>
  <si>
    <t>Затраты труда машинистов</t>
  </si>
  <si>
    <t>чел.-ч</t>
  </si>
  <si>
    <t>Машины и механизмы</t>
  </si>
  <si>
    <t>91.06.03-058</t>
  </si>
  <si>
    <t>Лебедки электрические тяговым усилием: 156,96 кН (16 т)</t>
  </si>
  <si>
    <t>маш.час</t>
  </si>
  <si>
    <t>91.06.06-042</t>
  </si>
  <si>
    <t>Подъемники гидравлические высотой подъема: 10 м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</si>
  <si>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</si>
  <si>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</si>
  <si>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</si>
  <si>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</si>
  <si>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91.17.04-233</t>
  </si>
  <si>
    <t>Установки для сварки: ручной дуговой (постоянного тока)</t>
  </si>
  <si>
    <t>Прайс из СД ОП</t>
  </si>
  <si>
    <t>Материалы</t>
  </si>
  <si>
    <t>01.7.19.04-0003</t>
  </si>
  <si>
    <t>Пластина техническая без тканевых прокладок</t>
  </si>
  <si>
    <t>т</t>
  </si>
  <si>
    <t>21.2.01.02-0089</t>
  </si>
  <si>
    <t>Провод неизолированный для воздушных линий электропередачи АС 120/19</t>
  </si>
  <si>
    <t>02.2.05.04-1777</t>
  </si>
  <si>
    <t>Щебень М 800, фракция 20-40 мм, группа 2</t>
  </si>
  <si>
    <t>м3</t>
  </si>
  <si>
    <t>14.4.02.09-0001</t>
  </si>
  <si>
    <t>Краска</t>
  </si>
  <si>
    <t>кг</t>
  </si>
  <si>
    <t>20.1.01.02-0067</t>
  </si>
  <si>
    <t>Зажим аппаратный прессуемый: А4А-400-2</t>
  </si>
  <si>
    <t>100 шт.</t>
  </si>
  <si>
    <t>01.7.20.08-0102</t>
  </si>
  <si>
    <t>Миткаль суровый</t>
  </si>
  <si>
    <t>10 м</t>
  </si>
  <si>
    <t>08.3.07.01-0076</t>
  </si>
  <si>
    <t>Прокат полосовой, горячекатаный, марка стали Ст3сп, ширина 50-200 мм, толщина 4-5 мм</t>
  </si>
  <si>
    <t>01.7.17.11-0001</t>
  </si>
  <si>
    <t>Бумага шлифовальная</t>
  </si>
  <si>
    <t>01.7.11.07-0034</t>
  </si>
  <si>
    <t>Электроды сварочные Э42А, диаметр 4 мм</t>
  </si>
  <si>
    <t>01.3.01.07-0008</t>
  </si>
  <si>
    <t>Спирт этиловый ректификованный технический, сорт I</t>
  </si>
  <si>
    <t>01.7.15.03-0042</t>
  </si>
  <si>
    <t>Болты с гайками и шайбами строительные</t>
  </si>
  <si>
    <t>999-9950</t>
  </si>
  <si>
    <t>Вспомогательные ненормируемые ресурсы (2% от Оплаты труда рабочих)</t>
  </si>
  <si>
    <t>руб.</t>
  </si>
  <si>
    <t>10.3.02.03-0011</t>
  </si>
  <si>
    <t>Припои оловянно-свинцовые бессурьмянистые марки: ПОС30</t>
  </si>
  <si>
    <t>01.7.06.05-0041</t>
  </si>
  <si>
    <t>Лента изоляционная прорезиненная односторонняя ширина 20 мм, толщина 0,25-0,35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</si>
  <si>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</si>
  <si>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</si>
  <si>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</si>
  <si>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</si>
  <si>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</si>
  <si>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</si>
  <si>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</si>
  <si>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</si>
  <si>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</si>
  <si>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</si>
  <si>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</si>
  <si>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</si>
  <si>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</si>
  <si>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</si>
  <si>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</si>
  <si>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</si>
  <si>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</si>
  <si>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</si>
  <si>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</si>
  <si>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</si>
  <si>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</si>
  <si>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</si>
  <si>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</si>
  <si>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</si>
  <si>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</si>
  <si>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</si>
  <si>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</si>
  <si>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</si>
  <si>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</si>
  <si>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</si>
  <si>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</si>
  <si>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</si>
  <si>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</si>
  <si>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</si>
  <si>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</si>
  <si>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</si>
  <si>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</si>
  <si>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</si>
  <si>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</si>
  <si>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</si>
  <si>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Ввод линейный (выключателя, трансформатора) на одну фазу (номинальный ток, 1000 А и выше) без устройства фундамента напряжение 110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</si>
  <si>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</si>
  <si>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</si>
  <si>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</si>
  <si>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</si>
  <si>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</si>
  <si>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</si>
  <si>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</si>
  <si>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</si>
  <si>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</si>
  <si>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</si>
  <si>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</si>
  <si>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</si>
  <si>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</si>
  <si>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</si>
  <si>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</si>
  <si>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БЦ.5.1.20</t>
  </si>
  <si>
    <t>к-т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</si>
  <si>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</si>
  <si>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</si>
  <si>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</si>
  <si>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</si>
  <si>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</si>
  <si>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</si>
  <si>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</si>
  <si>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</si>
  <si>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</si>
  <si>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</si>
  <si>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</si>
  <si>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</si>
  <si>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</si>
  <si>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</si>
  <si>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</si>
  <si>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</si>
  <si>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</si>
  <si>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</si>
  <si>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</si>
  <si>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</si>
  <si>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</si>
  <si>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</si>
  <si>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</si>
  <si>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</si>
  <si>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</si>
  <si>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</si>
  <si>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</si>
  <si>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</si>
  <si>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</si>
  <si>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</si>
  <si>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И10-10-3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</si>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</sst>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0.000"/>
    <numFmt numFmtId="172" formatCode="#,##0.0000"/>
    <numFmt numFmtId="173" formatCode="#,##0.00000"/>
  </numFmts>
  <fonts count="22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right" vertical="top" wrapText="1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168" fontId="11" fillId="2" borderId="0" xfId="0" applyNumberFormat="1" applyFont="1" applyFill="1"/>
    <xf numFmtId="0" fontId="0" fillId="0" borderId="1" xfId="0" applyBorder="1" applyAlignment="1">
      <alignment horizontal="center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69" fontId="12" fillId="2" borderId="0" xfId="0" applyNumberFormat="1" applyFont="1" applyFill="1"/>
    <xf numFmtId="0" fontId="9" fillId="0" borderId="0" xfId="0" applyFont="1" applyAlignment="1">
      <alignment horizontal="right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4" fillId="0" borderId="0" xfId="0" applyNumberFormat="1" applyFont="1"/>
    <xf numFmtId="0" fontId="15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2" fontId="0" fillId="0" borderId="0" xfId="0" applyNumberFormat="1"/>
    <xf numFmtId="171" fontId="2" fillId="0" borderId="1" xfId="0" applyNumberFormat="1" applyFont="1" applyBorder="1" applyAlignment="1">
      <alignment horizontal="center" vertical="top" wrapText="1"/>
    </xf>
    <xf numFmtId="0" fontId="9" fillId="0" borderId="0" xfId="0" applyFont="1" applyAlignment="1">
      <alignment horizontal="left" vertical="center" wrapText="1"/>
    </xf>
    <xf numFmtId="167" fontId="1" fillId="0" borderId="0" xfId="0" applyNumberFormat="1" applyFont="1"/>
    <xf numFmtId="0" fontId="17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4" fontId="9" fillId="0" borderId="0" xfId="0" applyNumberFormat="1" applyFont="1" applyAlignment="1">
      <alignment vertical="center" wrapText="1"/>
    </xf>
    <xf numFmtId="4" fontId="9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173" fontId="2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/>
    <xf numFmtId="0" fontId="2" fillId="0" borderId="12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13" fillId="0" borderId="0" xfId="0" applyFont="1" applyAlignment="1">
      <alignment vertical="center"/>
    </xf>
    <xf numFmtId="0" fontId="2" fillId="0" borderId="0" xfId="0" applyFont="1"/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center" vertical="center" wrapText="1"/>
    </xf>
    <xf numFmtId="4" fontId="18" fillId="2" borderId="2" xfId="0" applyNumberFormat="1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left" vertical="top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8" fillId="2" borderId="2" xfId="0" applyFont="1" applyFill="1" applyBorder="1" applyAlignment="1">
      <alignment horizontal="right" vertical="center" wrapText="1"/>
    </xf>
    <xf numFmtId="0" fontId="18" fillId="2" borderId="1" xfId="0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460376</xdr:colOff>
      <xdr:row>16</xdr:row>
      <xdr:rowOff>19610</xdr:rowOff>
    </xdr:from>
    <xdr:to>
      <xdr:col>2</xdr:col>
      <xdr:colOff>1363570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451" y="45535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129242</xdr:colOff>
      <xdr:row>41</xdr:row>
      <xdr:rowOff>62193</xdr:rowOff>
    </xdr:from>
    <xdr:to>
      <xdr:col>2</xdr:col>
      <xdr:colOff>1067734</xdr:colOff>
      <xdr:row>44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042" y="96252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165101</xdr:colOff>
      <xdr:row>39</xdr:row>
      <xdr:rowOff>10085</xdr:rowOff>
    </xdr:from>
    <xdr:to>
      <xdr:col>2</xdr:col>
      <xdr:colOff>1068295</xdr:colOff>
      <xdr:row>40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901" y="91921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967442</xdr:colOff>
      <xdr:row>43</xdr:row>
      <xdr:rowOff>81243</xdr:rowOff>
    </xdr:from>
    <xdr:to>
      <xdr:col>1</xdr:col>
      <xdr:colOff>1905934</xdr:colOff>
      <xdr:row>46</xdr:row>
      <xdr:rowOff>36793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667" y="119017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965201</xdr:colOff>
      <xdr:row>41</xdr:row>
      <xdr:rowOff>10085</xdr:rowOff>
    </xdr:from>
    <xdr:to>
      <xdr:col>1</xdr:col>
      <xdr:colOff>1868395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26" y="114496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1081742</xdr:colOff>
      <xdr:row>61</xdr:row>
      <xdr:rowOff>24093</xdr:rowOff>
    </xdr:from>
    <xdr:to>
      <xdr:col>2</xdr:col>
      <xdr:colOff>515284</xdr:colOff>
      <xdr:row>64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742" y="1488309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1089026</xdr:colOff>
      <xdr:row>58</xdr:row>
      <xdr:rowOff>152960</xdr:rowOff>
    </xdr:from>
    <xdr:to>
      <xdr:col>2</xdr:col>
      <xdr:colOff>487270</xdr:colOff>
      <xdr:row>60</xdr:row>
      <xdr:rowOff>127598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026" y="1444998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14942</xdr:colOff>
      <xdr:row>18</xdr:row>
      <xdr:rowOff>43143</xdr:rowOff>
    </xdr:from>
    <xdr:to>
      <xdr:col>2</xdr:col>
      <xdr:colOff>953434</xdr:colOff>
      <xdr:row>20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542" y="42531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984251</xdr:colOff>
      <xdr:row>16</xdr:row>
      <xdr:rowOff>19610</xdr:rowOff>
    </xdr:from>
    <xdr:to>
      <xdr:col>2</xdr:col>
      <xdr:colOff>896845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1" y="38486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967442</xdr:colOff>
      <xdr:row>13</xdr:row>
      <xdr:rowOff>62193</xdr:rowOff>
    </xdr:from>
    <xdr:to>
      <xdr:col>1</xdr:col>
      <xdr:colOff>1905934</xdr:colOff>
      <xdr:row>16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467" y="4405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993776</xdr:colOff>
      <xdr:row>11</xdr:row>
      <xdr:rowOff>10085</xdr:rowOff>
    </xdr:from>
    <xdr:to>
      <xdr:col>1</xdr:col>
      <xdr:colOff>1896970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1" y="39724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1217893</xdr:colOff>
      <xdr:row>26</xdr:row>
      <xdr:rowOff>68357</xdr:rowOff>
    </xdr:from>
    <xdr:to>
      <xdr:col>1</xdr:col>
      <xdr:colOff>2156385</xdr:colOff>
      <xdr:row>29</xdr:row>
      <xdr:rowOff>23907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3011" y="9212357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1025152</xdr:colOff>
      <xdr:row>23</xdr:row>
      <xdr:rowOff>179854</xdr:rowOff>
    </xdr:from>
    <xdr:to>
      <xdr:col>1</xdr:col>
      <xdr:colOff>1928346</xdr:colOff>
      <xdr:row>25</xdr:row>
      <xdr:rowOff>135442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270" y="8752354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16" zoomScale="60" zoomScaleNormal="85" workbookViewId="0">
      <selection activeCell="A26" sqref="A26:XFD30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50" t="s">
        <v>0</v>
      </c>
      <c r="C2" s="150"/>
      <c r="D2" s="150"/>
    </row>
    <row r="3" spans="2:4" ht="18.75" customHeight="1" x14ac:dyDescent="0.25">
      <c r="B3" s="151" t="s">
        <v>1</v>
      </c>
      <c r="C3" s="151"/>
      <c r="D3" s="151"/>
    </row>
    <row r="4" spans="2:4" ht="84" customHeight="1" x14ac:dyDescent="0.25">
      <c r="B4" s="152" t="s">
        <v>2</v>
      </c>
      <c r="C4" s="152"/>
      <c r="D4" s="152"/>
    </row>
    <row r="5" spans="2:4" ht="18.75" customHeight="1" x14ac:dyDescent="0.25">
      <c r="B5" s="82"/>
      <c r="C5" s="82"/>
      <c r="D5" s="82"/>
    </row>
    <row r="6" spans="2:4" ht="57" customHeight="1" x14ac:dyDescent="0.25">
      <c r="B6" s="153" t="s">
        <v>3</v>
      </c>
      <c r="C6" s="153"/>
      <c r="D6" s="153"/>
    </row>
    <row r="7" spans="2:4" ht="31.5" customHeight="1" x14ac:dyDescent="0.25">
      <c r="B7" s="149" t="s">
        <v>4</v>
      </c>
      <c r="C7" s="149"/>
      <c r="D7" s="149"/>
    </row>
    <row r="8" spans="2:4" ht="15.75" customHeight="1" x14ac:dyDescent="0.25">
      <c r="B8" s="149" t="s">
        <v>5</v>
      </c>
      <c r="C8" s="149"/>
      <c r="D8" s="149"/>
    </row>
    <row r="9" spans="2:4" ht="18.75" customHeight="1" x14ac:dyDescent="0.25">
      <c r="B9" s="36"/>
    </row>
    <row r="10" spans="2:4" ht="15.75" customHeight="1" x14ac:dyDescent="0.25">
      <c r="B10" s="37" t="s">
        <v>6</v>
      </c>
      <c r="C10" s="37" t="s">
        <v>7</v>
      </c>
      <c r="D10" s="37" t="s">
        <v>8</v>
      </c>
    </row>
    <row r="11" spans="2:4" ht="52.5" customHeight="1" x14ac:dyDescent="0.25">
      <c r="B11" s="37">
        <v>1</v>
      </c>
      <c r="C11" s="62" t="s">
        <v>9</v>
      </c>
      <c r="D11" s="128" t="s">
        <v>10</v>
      </c>
    </row>
    <row r="12" spans="2:4" ht="31.5" customHeight="1" x14ac:dyDescent="0.25">
      <c r="B12" s="37">
        <v>2</v>
      </c>
      <c r="C12" s="62" t="s">
        <v>11</v>
      </c>
      <c r="D12" s="128" t="s">
        <v>12</v>
      </c>
    </row>
    <row r="13" spans="2:4" ht="15.75" customHeight="1" x14ac:dyDescent="0.25">
      <c r="B13" s="37">
        <v>3</v>
      </c>
      <c r="C13" s="62" t="s">
        <v>13</v>
      </c>
      <c r="D13" s="128" t="s">
        <v>14</v>
      </c>
    </row>
    <row r="14" spans="2:4" ht="15.75" customHeight="1" x14ac:dyDescent="0.25">
      <c r="B14" s="37">
        <v>4</v>
      </c>
      <c r="C14" s="62" t="s">
        <v>15</v>
      </c>
      <c r="D14" s="128">
        <v>1</v>
      </c>
    </row>
    <row r="15" spans="2:4" ht="99.75" customHeight="1" x14ac:dyDescent="0.25">
      <c r="B15" s="37">
        <v>5</v>
      </c>
      <c r="C15" s="38" t="s">
        <v>16</v>
      </c>
      <c r="D15" s="128" t="s">
        <v>17</v>
      </c>
    </row>
    <row r="16" spans="2:4" ht="78.75" customHeight="1" x14ac:dyDescent="0.25">
      <c r="B16" s="37">
        <v>6</v>
      </c>
      <c r="C16" s="38" t="s">
        <v>18</v>
      </c>
      <c r="D16" s="143">
        <f>SUM(D17:D20)</f>
        <v>441.27022084160001</v>
      </c>
    </row>
    <row r="17" spans="2:7" ht="15.75" customHeight="1" x14ac:dyDescent="0.25">
      <c r="B17" s="83" t="s">
        <v>19</v>
      </c>
      <c r="C17" s="62" t="s">
        <v>20</v>
      </c>
      <c r="D17" s="144">
        <v>6.12</v>
      </c>
    </row>
    <row r="18" spans="2:7" ht="15.75" customHeight="1" x14ac:dyDescent="0.25">
      <c r="B18" s="83" t="s">
        <v>21</v>
      </c>
      <c r="C18" s="62" t="s">
        <v>22</v>
      </c>
      <c r="D18" s="144">
        <v>434.84</v>
      </c>
    </row>
    <row r="19" spans="2:7" ht="15.75" customHeight="1" x14ac:dyDescent="0.25">
      <c r="B19" s="83" t="s">
        <v>23</v>
      </c>
      <c r="C19" s="62" t="s">
        <v>24</v>
      </c>
      <c r="D19" s="145">
        <v>0</v>
      </c>
    </row>
    <row r="20" spans="2:7" ht="15.75" customHeight="1" x14ac:dyDescent="0.25">
      <c r="B20" s="83" t="s">
        <v>25</v>
      </c>
      <c r="C20" s="62" t="s">
        <v>26</v>
      </c>
      <c r="D20" s="145">
        <f>D17*3.9%*0.8+(D17+D17*3.9%*0.8)*2.1%*0.9</f>
        <v>0.31022084160000002</v>
      </c>
    </row>
    <row r="21" spans="2:7" ht="15.75" customHeight="1" x14ac:dyDescent="0.25">
      <c r="B21" s="37">
        <v>7</v>
      </c>
      <c r="C21" s="62" t="s">
        <v>27</v>
      </c>
      <c r="D21" s="128" t="s">
        <v>28</v>
      </c>
      <c r="G21" s="89"/>
    </row>
    <row r="22" spans="2:7" ht="110.25" customHeight="1" x14ac:dyDescent="0.25">
      <c r="B22" s="37">
        <v>8</v>
      </c>
      <c r="C22" s="38" t="s">
        <v>29</v>
      </c>
      <c r="D22" s="143">
        <f>D16</f>
        <v>441.27022084160001</v>
      </c>
    </row>
    <row r="23" spans="2:7" ht="47.25" customHeight="1" x14ac:dyDescent="0.25">
      <c r="B23" s="37">
        <v>9</v>
      </c>
      <c r="C23" s="38" t="s">
        <v>30</v>
      </c>
      <c r="D23" s="143">
        <f>D22</f>
        <v>441.27022084160001</v>
      </c>
      <c r="G23" s="89"/>
    </row>
    <row r="24" spans="2:7" ht="110.25" hidden="1" customHeight="1" x14ac:dyDescent="0.25">
      <c r="B24" s="37">
        <v>10</v>
      </c>
      <c r="C24" s="62" t="s">
        <v>31</v>
      </c>
      <c r="D24" s="62" t="s">
        <v>32</v>
      </c>
    </row>
    <row r="25" spans="2:7" ht="37.5" customHeight="1" x14ac:dyDescent="0.25">
      <c r="B25" s="84"/>
      <c r="C25" s="85"/>
      <c r="D25" s="85"/>
    </row>
    <row r="26" spans="2:7" s="129" customFormat="1" x14ac:dyDescent="0.25">
      <c r="B26" s="132" t="s">
        <v>285</v>
      </c>
      <c r="C26" s="130"/>
    </row>
    <row r="27" spans="2:7" s="129" customFormat="1" x14ac:dyDescent="0.25">
      <c r="B27" s="131" t="s">
        <v>33</v>
      </c>
      <c r="C27" s="130"/>
    </row>
    <row r="28" spans="2:7" s="129" customFormat="1" x14ac:dyDescent="0.25">
      <c r="B28" s="132"/>
      <c r="C28" s="130"/>
    </row>
    <row r="29" spans="2:7" s="129" customFormat="1" x14ac:dyDescent="0.25">
      <c r="B29" s="132" t="s">
        <v>286</v>
      </c>
      <c r="C29" s="130"/>
    </row>
    <row r="30" spans="2:7" s="129" customFormat="1" x14ac:dyDescent="0.25">
      <c r="B30" s="131" t="s">
        <v>34</v>
      </c>
      <c r="C30" s="130"/>
    </row>
    <row r="31" spans="2:7" ht="15.75" customHeight="1" x14ac:dyDescent="0.25">
      <c r="B31" s="85"/>
      <c r="C31" s="85"/>
      <c r="D31" s="85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89" t="s">
        <v>265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</row>
    <row r="2" spans="1:15" ht="29.25" customHeight="1" x14ac:dyDescent="0.25">
      <c r="A2" s="190" t="s">
        <v>266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</row>
    <row r="3" spans="1:15" ht="30.75" customHeight="1" x14ac:dyDescent="0.25">
      <c r="A3" s="65" t="s">
        <v>267</v>
      </c>
      <c r="B3" s="66">
        <v>2007</v>
      </c>
      <c r="C3" s="66">
        <v>2008</v>
      </c>
      <c r="D3" s="66">
        <v>2009</v>
      </c>
      <c r="E3" s="66">
        <v>2010</v>
      </c>
      <c r="F3" s="66">
        <v>2011</v>
      </c>
      <c r="G3" s="67">
        <v>2012</v>
      </c>
      <c r="H3" s="67">
        <v>2013</v>
      </c>
      <c r="I3" s="67">
        <v>2014</v>
      </c>
      <c r="J3" s="67">
        <v>2015</v>
      </c>
      <c r="K3" s="67">
        <v>2016</v>
      </c>
      <c r="L3" s="67">
        <v>2017</v>
      </c>
      <c r="M3" s="67">
        <v>2018</v>
      </c>
      <c r="N3" s="67">
        <v>2019</v>
      </c>
      <c r="O3" s="67">
        <v>2020</v>
      </c>
    </row>
    <row r="4" spans="1:15" x14ac:dyDescent="0.25">
      <c r="A4" s="68" t="s">
        <v>268</v>
      </c>
      <c r="B4" s="69">
        <f t="shared" ref="B4:O4" si="0">B15^(1/12)</f>
        <v>1.0136015752351999</v>
      </c>
      <c r="C4" s="70">
        <f t="shared" si="0"/>
        <v>1.0148854522991999</v>
      </c>
      <c r="D4" s="70">
        <f t="shared" si="0"/>
        <v>1.0040741237835999</v>
      </c>
      <c r="E4" s="70">
        <f t="shared" si="0"/>
        <v>1.0064340301100001</v>
      </c>
      <c r="F4" s="70">
        <f t="shared" si="0"/>
        <v>1.0070531864112999</v>
      </c>
      <c r="G4" s="70">
        <f t="shared" si="0"/>
        <v>1.0054973670825</v>
      </c>
      <c r="H4" s="70">
        <f t="shared" si="0"/>
        <v>1.0048675505653</v>
      </c>
      <c r="I4" s="70">
        <f t="shared" si="0"/>
        <v>1.0039944005553001</v>
      </c>
      <c r="J4" s="70">
        <f t="shared" si="0"/>
        <v>1.0088859305371001</v>
      </c>
      <c r="K4" s="70">
        <f t="shared" si="0"/>
        <v>1.0051042407585</v>
      </c>
      <c r="L4" s="70">
        <f t="shared" si="0"/>
        <v>1.0035947364110001</v>
      </c>
      <c r="M4" s="70">
        <f t="shared" si="0"/>
        <v>1.0037548121811</v>
      </c>
      <c r="N4" s="70">
        <f t="shared" si="0"/>
        <v>1.0035947364110001</v>
      </c>
      <c r="O4" s="70">
        <f t="shared" si="0"/>
        <v>1.00343437929</v>
      </c>
    </row>
    <row r="5" spans="1:15" x14ac:dyDescent="0.25">
      <c r="A5" s="71" t="s">
        <v>269</v>
      </c>
      <c r="B5" s="69">
        <f t="shared" ref="B5:O5" si="1">B4*B4</f>
        <v>1.0273881533192999</v>
      </c>
      <c r="C5" s="70">
        <f t="shared" si="1"/>
        <v>1.0299924812886001</v>
      </c>
      <c r="D5" s="70">
        <f t="shared" si="1"/>
        <v>1.0081648460518999</v>
      </c>
      <c r="E5" s="70">
        <f t="shared" si="1"/>
        <v>1.0129094569635</v>
      </c>
      <c r="F5" s="70">
        <f t="shared" si="1"/>
        <v>1.0141561202611999</v>
      </c>
      <c r="G5" s="70">
        <f t="shared" si="1"/>
        <v>1.0110249552099</v>
      </c>
      <c r="H5" s="70">
        <f t="shared" si="1"/>
        <v>1.0097587941791999</v>
      </c>
      <c r="I5" s="70">
        <f t="shared" si="1"/>
        <v>1.0080047563464001</v>
      </c>
      <c r="J5" s="70">
        <f t="shared" si="1"/>
        <v>1.0178508208357999</v>
      </c>
      <c r="K5" s="70">
        <f t="shared" si="1"/>
        <v>1.0102345347906001</v>
      </c>
      <c r="L5" s="70">
        <f t="shared" si="1"/>
        <v>1.0072023949519999</v>
      </c>
      <c r="M5" s="70">
        <f t="shared" si="1"/>
        <v>1.0075237229767999</v>
      </c>
      <c r="N5" s="70">
        <f t="shared" si="1"/>
        <v>1.0072023949519999</v>
      </c>
      <c r="O5" s="70">
        <f t="shared" si="1"/>
        <v>1.0068805535412</v>
      </c>
    </row>
    <row r="6" spans="1:15" ht="15.75" customHeight="1" x14ac:dyDescent="0.25">
      <c r="A6" s="72" t="s">
        <v>270</v>
      </c>
      <c r="B6" s="73">
        <f t="shared" ref="B6:O6" si="2">B4*B4*B4</f>
        <v>1.0413622505824001</v>
      </c>
      <c r="C6" s="74">
        <f t="shared" si="2"/>
        <v>1.0453243852373</v>
      </c>
      <c r="D6" s="74">
        <f t="shared" si="2"/>
        <v>1.0122722344290001</v>
      </c>
      <c r="E6" s="74">
        <f t="shared" si="2"/>
        <v>1.0194265469082999</v>
      </c>
      <c r="F6" s="74">
        <f t="shared" si="2"/>
        <v>1.0213091524275999</v>
      </c>
      <c r="G6" s="74">
        <f t="shared" si="2"/>
        <v>1.0165829305183001</v>
      </c>
      <c r="H6" s="74">
        <f t="shared" si="2"/>
        <v>1.0146738461686999</v>
      </c>
      <c r="I6" s="74">
        <f t="shared" si="2"/>
        <v>1.0120311311049</v>
      </c>
      <c r="J6" s="74">
        <f t="shared" si="2"/>
        <v>1.0268953725269001</v>
      </c>
      <c r="K6" s="74">
        <f t="shared" si="2"/>
        <v>1.0153910150787</v>
      </c>
      <c r="L6" s="74">
        <f t="shared" si="2"/>
        <v>1.0108230220743999</v>
      </c>
      <c r="M6" s="74">
        <f t="shared" si="2"/>
        <v>1.0113067853246001</v>
      </c>
      <c r="N6" s="74">
        <f t="shared" si="2"/>
        <v>1.0108230220743999</v>
      </c>
      <c r="O6" s="74">
        <f t="shared" si="2"/>
        <v>1.0103385632618</v>
      </c>
    </row>
    <row r="7" spans="1:15" x14ac:dyDescent="0.25">
      <c r="A7" s="68" t="s">
        <v>271</v>
      </c>
      <c r="B7" s="75">
        <f t="shared" ref="B7:O7" si="3">B4*B4*B4*B4</f>
        <v>1.0555264175807999</v>
      </c>
      <c r="C7" s="76">
        <f t="shared" si="3"/>
        <v>1.0608845115109999</v>
      </c>
      <c r="D7" s="76">
        <f t="shared" si="3"/>
        <v>1.0163963568148999</v>
      </c>
      <c r="E7" s="76">
        <f t="shared" si="3"/>
        <v>1.0259855680059999</v>
      </c>
      <c r="F7" s="76">
        <f t="shared" si="3"/>
        <v>1.0285126362632999</v>
      </c>
      <c r="G7" s="76">
        <f t="shared" si="3"/>
        <v>1.0221714600572001</v>
      </c>
      <c r="H7" s="76">
        <f t="shared" si="3"/>
        <v>1.0196128224222001</v>
      </c>
      <c r="I7" s="76">
        <f t="shared" si="3"/>
        <v>1.0160735888170001</v>
      </c>
      <c r="J7" s="76">
        <f t="shared" si="3"/>
        <v>1.0360202934761</v>
      </c>
      <c r="K7" s="76">
        <f t="shared" si="3"/>
        <v>1.0205738152835999</v>
      </c>
      <c r="L7" s="76">
        <f t="shared" si="3"/>
        <v>1.0144566643970001</v>
      </c>
      <c r="M7" s="76">
        <f t="shared" si="3"/>
        <v>1.015104052361</v>
      </c>
      <c r="N7" s="76">
        <f t="shared" si="3"/>
        <v>1.0144566643970001</v>
      </c>
      <c r="O7" s="76">
        <f t="shared" si="3"/>
        <v>1.0138084490993999</v>
      </c>
    </row>
    <row r="8" spans="1:15" x14ac:dyDescent="0.25">
      <c r="A8" s="71" t="s">
        <v>272</v>
      </c>
      <c r="B8" s="69">
        <f t="shared" ref="B8:O8" si="4">B4*B4*B4*B4*B4</f>
        <v>1.0698832395622999</v>
      </c>
      <c r="C8" s="70">
        <f t="shared" si="4"/>
        <v>1.0766762573021</v>
      </c>
      <c r="D8" s="70">
        <f t="shared" si="4"/>
        <v>1.0205372813858</v>
      </c>
      <c r="E8" s="70">
        <f t="shared" si="4"/>
        <v>1.0325867900429999</v>
      </c>
      <c r="F8" s="70">
        <f t="shared" si="4"/>
        <v>1.0357669276132999</v>
      </c>
      <c r="G8" s="70">
        <f t="shared" si="4"/>
        <v>1.0277907117944001</v>
      </c>
      <c r="H8" s="70">
        <f t="shared" si="4"/>
        <v>1.0245758393924</v>
      </c>
      <c r="I8" s="70">
        <f t="shared" si="4"/>
        <v>1.0201321937243999</v>
      </c>
      <c r="J8" s="70">
        <f t="shared" si="4"/>
        <v>1.0452262978389</v>
      </c>
      <c r="K8" s="70">
        <f t="shared" si="4"/>
        <v>1.0257830697485999</v>
      </c>
      <c r="L8" s="70">
        <f t="shared" si="4"/>
        <v>1.0181033687059</v>
      </c>
      <c r="M8" s="70">
        <f t="shared" si="4"/>
        <v>1.018915577422</v>
      </c>
      <c r="N8" s="70">
        <f t="shared" si="4"/>
        <v>1.0181033687059</v>
      </c>
      <c r="O8" s="70">
        <f t="shared" si="4"/>
        <v>1.0172902518411</v>
      </c>
    </row>
    <row r="9" spans="1:15" ht="15.75" customHeight="1" x14ac:dyDescent="0.25">
      <c r="A9" s="72" t="s">
        <v>273</v>
      </c>
      <c r="B9" s="73">
        <f t="shared" ref="B9:O9" si="5">B4*B4*B4*B4*B4*B4</f>
        <v>1.0844353369380999</v>
      </c>
      <c r="C9" s="74">
        <f t="shared" si="5"/>
        <v>1.0927030703717999</v>
      </c>
      <c r="D9" s="74">
        <f t="shared" si="5"/>
        <v>1.0246950765959999</v>
      </c>
      <c r="E9" s="74">
        <f t="shared" si="5"/>
        <v>1.0392304845413001</v>
      </c>
      <c r="F9" s="74">
        <f t="shared" si="5"/>
        <v>1.0430723848323999</v>
      </c>
      <c r="G9" s="74">
        <f t="shared" si="5"/>
        <v>1.0334408546211</v>
      </c>
      <c r="H9" s="74">
        <f t="shared" si="5"/>
        <v>1.0295630140987</v>
      </c>
      <c r="I9" s="74">
        <f t="shared" si="5"/>
        <v>1.0242070103255001</v>
      </c>
      <c r="J9" s="74">
        <f t="shared" si="5"/>
        <v>1.0545141061170999</v>
      </c>
      <c r="K9" s="74">
        <f t="shared" si="5"/>
        <v>1.0310189135026</v>
      </c>
      <c r="L9" s="74">
        <f t="shared" si="5"/>
        <v>1.0217631819555999</v>
      </c>
      <c r="M9" s="74">
        <f t="shared" si="5"/>
        <v>1.0227414140436</v>
      </c>
      <c r="N9" s="74">
        <f t="shared" si="5"/>
        <v>1.0217631819555999</v>
      </c>
      <c r="O9" s="74">
        <f t="shared" si="5"/>
        <v>1.020784012414</v>
      </c>
    </row>
    <row r="10" spans="1:15" x14ac:dyDescent="0.25">
      <c r="A10" s="68" t="s">
        <v>274</v>
      </c>
      <c r="B10" s="75">
        <f t="shared" ref="B10:O10" si="6">B4*B4*B4*B4*B4*B4*B4</f>
        <v>1.0991853657612001</v>
      </c>
      <c r="C10" s="76">
        <f t="shared" si="6"/>
        <v>1.1089684498029999</v>
      </c>
      <c r="D10" s="76">
        <f t="shared" si="6"/>
        <v>1.0288698111785</v>
      </c>
      <c r="E10" s="76">
        <f t="shared" si="6"/>
        <v>1.0459169247700999</v>
      </c>
      <c r="F10" s="76">
        <f t="shared" si="6"/>
        <v>1.0504293688032</v>
      </c>
      <c r="G10" s="76">
        <f t="shared" si="6"/>
        <v>1.039122058357</v>
      </c>
      <c r="H10" s="76">
        <f t="shared" si="6"/>
        <v>1.0345744641300001</v>
      </c>
      <c r="I10" s="76">
        <f t="shared" si="6"/>
        <v>1.0282981033764</v>
      </c>
      <c r="J10" s="76">
        <f t="shared" si="6"/>
        <v>1.0638844452145</v>
      </c>
      <c r="K10" s="76">
        <f t="shared" si="6"/>
        <v>1.0362814822636</v>
      </c>
      <c r="L10" s="76">
        <f t="shared" si="6"/>
        <v>1.0254361512692001</v>
      </c>
      <c r="M10" s="76">
        <f t="shared" si="6"/>
        <v>1.0265816159633001</v>
      </c>
      <c r="N10" s="76">
        <f t="shared" si="6"/>
        <v>1.0254361512692001</v>
      </c>
      <c r="O10" s="76">
        <f t="shared" si="6"/>
        <v>1.0242897718857999</v>
      </c>
    </row>
    <row r="11" spans="1:15" x14ac:dyDescent="0.25">
      <c r="A11" s="71" t="s">
        <v>275</v>
      </c>
      <c r="B11" s="69">
        <f t="shared" ref="B11:O11" si="7">B4*B4*B4*B4*B4*B4*B4*B4</f>
        <v>1.1141360182110001</v>
      </c>
      <c r="C11" s="70">
        <f t="shared" si="7"/>
        <v>1.1254759467638999</v>
      </c>
      <c r="D11" s="70">
        <f t="shared" si="7"/>
        <v>1.0330615541465</v>
      </c>
      <c r="E11" s="70">
        <f t="shared" si="7"/>
        <v>1.0526463857566</v>
      </c>
      <c r="F11" s="70">
        <f t="shared" si="7"/>
        <v>1.0578382429533</v>
      </c>
      <c r="G11" s="70">
        <f t="shared" si="7"/>
        <v>1.0448344937553999</v>
      </c>
      <c r="H11" s="70">
        <f t="shared" si="7"/>
        <v>1.0396103076478</v>
      </c>
      <c r="I11" s="70">
        <f t="shared" si="7"/>
        <v>1.0324055378915</v>
      </c>
      <c r="J11" s="70">
        <f t="shared" si="7"/>
        <v>1.0733380484941999</v>
      </c>
      <c r="K11" s="70">
        <f t="shared" si="7"/>
        <v>1.0415709124426</v>
      </c>
      <c r="L11" s="70">
        <f t="shared" si="7"/>
        <v>1.0291223239394001</v>
      </c>
      <c r="M11" s="70">
        <f t="shared" si="7"/>
        <v>1.0304362371197999</v>
      </c>
      <c r="N11" s="70">
        <f t="shared" si="7"/>
        <v>1.0291223239394001</v>
      </c>
      <c r="O11" s="70">
        <f t="shared" si="7"/>
        <v>1.0278075714654</v>
      </c>
    </row>
    <row r="12" spans="1:15" ht="15.75" customHeight="1" x14ac:dyDescent="0.25">
      <c r="A12" s="72" t="s">
        <v>276</v>
      </c>
      <c r="B12" s="73">
        <f t="shared" ref="B12:O12" si="8">B4*B4*B4*B4*B4*B4*B4*B4*B4</f>
        <v>1.1292900230848999</v>
      </c>
      <c r="C12" s="74">
        <f t="shared" si="8"/>
        <v>1.1422291652834</v>
      </c>
      <c r="D12" s="74">
        <f t="shared" si="8"/>
        <v>1.0372703747942</v>
      </c>
      <c r="E12" s="74">
        <f t="shared" si="8"/>
        <v>1.0594191442978</v>
      </c>
      <c r="F12" s="74">
        <f t="shared" si="8"/>
        <v>1.0652993732739</v>
      </c>
      <c r="G12" s="74">
        <f t="shared" si="8"/>
        <v>1.050578332508</v>
      </c>
      <c r="H12" s="74">
        <f t="shared" si="8"/>
        <v>1.0446706633884999</v>
      </c>
      <c r="I12" s="74">
        <f t="shared" si="8"/>
        <v>1.0365293791454</v>
      </c>
      <c r="J12" s="74">
        <f t="shared" si="8"/>
        <v>1.082875655836</v>
      </c>
      <c r="K12" s="74">
        <f t="shared" si="8"/>
        <v>1.0468873411466999</v>
      </c>
      <c r="L12" s="74">
        <f t="shared" si="8"/>
        <v>1.0328217474287</v>
      </c>
      <c r="M12" s="74">
        <f t="shared" si="8"/>
        <v>1.0343053316549</v>
      </c>
      <c r="N12" s="74">
        <f t="shared" si="8"/>
        <v>1.0328217474287</v>
      </c>
      <c r="O12" s="74">
        <f t="shared" si="8"/>
        <v>1.0313374525029999</v>
      </c>
    </row>
    <row r="13" spans="1:15" x14ac:dyDescent="0.25">
      <c r="A13" s="68" t="s">
        <v>277</v>
      </c>
      <c r="B13" s="75">
        <f t="shared" ref="B13:O13" si="9">B4*B4*B4*B4*B4*B4*B4*B4*B4*B4</f>
        <v>1.1446501462962999</v>
      </c>
      <c r="C13" s="76">
        <f t="shared" si="9"/>
        <v>1.159231763038</v>
      </c>
      <c r="D13" s="76">
        <f t="shared" si="9"/>
        <v>1.0414963426982999</v>
      </c>
      <c r="E13" s="76">
        <f t="shared" si="9"/>
        <v>1.0662354789713</v>
      </c>
      <c r="F13" s="76">
        <f t="shared" si="9"/>
        <v>1.0728131283374001</v>
      </c>
      <c r="G13" s="76">
        <f t="shared" si="9"/>
        <v>1.0563537472508</v>
      </c>
      <c r="H13" s="76">
        <f t="shared" si="9"/>
        <v>1.0497556506667001</v>
      </c>
      <c r="I13" s="76">
        <f t="shared" si="9"/>
        <v>1.0406696926729999</v>
      </c>
      <c r="J13" s="76">
        <f t="shared" si="9"/>
        <v>1.0924980136941</v>
      </c>
      <c r="K13" s="76">
        <f t="shared" si="9"/>
        <v>1.0522309061829</v>
      </c>
      <c r="L13" s="76">
        <f t="shared" si="9"/>
        <v>1.0365344693703</v>
      </c>
      <c r="M13" s="76">
        <f t="shared" si="9"/>
        <v>1.0381889539132001</v>
      </c>
      <c r="N13" s="76">
        <f t="shared" si="9"/>
        <v>1.0365344693703</v>
      </c>
      <c r="O13" s="76">
        <f t="shared" si="9"/>
        <v>1.0348794564909001</v>
      </c>
    </row>
    <row r="14" spans="1:15" x14ac:dyDescent="0.25">
      <c r="A14" s="71" t="s">
        <v>278</v>
      </c>
      <c r="B14" s="69">
        <f t="shared" ref="B14:O14" si="10">B4*B4*B4*B4*B4*B4*B4*B4*B4*B4*B4</f>
        <v>1.1602191913791</v>
      </c>
      <c r="C14" s="70">
        <f t="shared" si="10"/>
        <v>1.1764874521504001</v>
      </c>
      <c r="D14" s="70">
        <f t="shared" si="10"/>
        <v>1.0457395277185999</v>
      </c>
      <c r="E14" s="70">
        <f t="shared" si="10"/>
        <v>1.0730956701473999</v>
      </c>
      <c r="F14" s="70">
        <f t="shared" si="10"/>
        <v>1.0803798793160999</v>
      </c>
      <c r="G14" s="70">
        <f t="shared" si="10"/>
        <v>1.0621609115684001</v>
      </c>
      <c r="H14" s="70">
        <f t="shared" si="10"/>
        <v>1.0548653893776001</v>
      </c>
      <c r="I14" s="70">
        <f t="shared" si="10"/>
        <v>1.0448265442714</v>
      </c>
      <c r="J14" s="70">
        <f t="shared" si="10"/>
        <v>1.1022058751557</v>
      </c>
      <c r="K14" s="70">
        <f t="shared" si="10"/>
        <v>1.0576017460614999</v>
      </c>
      <c r="L14" s="70">
        <f t="shared" si="10"/>
        <v>1.0402605375686</v>
      </c>
      <c r="M14" s="70">
        <f t="shared" si="10"/>
        <v>1.0420871584436999</v>
      </c>
      <c r="N14" s="70">
        <f t="shared" si="10"/>
        <v>1.0402605375686</v>
      </c>
      <c r="O14" s="70">
        <f t="shared" si="10"/>
        <v>1.0384336250640001</v>
      </c>
    </row>
    <row r="15" spans="1:15" ht="15.75" customHeight="1" x14ac:dyDescent="0.25">
      <c r="A15" s="77" t="s">
        <v>279</v>
      </c>
      <c r="B15" s="78">
        <f>117.6/100</f>
        <v>1.1759999999999999</v>
      </c>
      <c r="C15" s="79">
        <v>1.194</v>
      </c>
      <c r="D15" s="79">
        <v>1.05</v>
      </c>
      <c r="E15" s="79">
        <f>1.08</f>
        <v>1.08</v>
      </c>
      <c r="F15" s="79">
        <v>1.0880000000000001</v>
      </c>
      <c r="G15" s="79">
        <v>1.0680000000000001</v>
      </c>
      <c r="H15" s="79">
        <v>1.06</v>
      </c>
      <c r="I15" s="79">
        <v>1.0489999999999999</v>
      </c>
      <c r="J15" s="79">
        <v>1.1120000000000001</v>
      </c>
      <c r="K15" s="79">
        <v>1.0629999999999999</v>
      </c>
      <c r="L15" s="79">
        <v>1.044</v>
      </c>
      <c r="M15" s="79">
        <v>1.046</v>
      </c>
      <c r="N15" s="79">
        <v>1.044</v>
      </c>
      <c r="O15" s="79">
        <v>1.042</v>
      </c>
    </row>
    <row r="16" spans="1:15" ht="29.25" customHeight="1" x14ac:dyDescent="0.25">
      <c r="A16" s="191" t="s">
        <v>280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</row>
    <row r="18" spans="13:13" x14ac:dyDescent="0.25">
      <c r="M18" s="80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8" t="s">
        <v>281</v>
      </c>
      <c r="B2" s="188"/>
      <c r="C2" s="188"/>
      <c r="D2" s="188"/>
      <c r="E2" s="188"/>
      <c r="F2" s="188"/>
    </row>
    <row r="4" spans="1:7" ht="18" customHeight="1" x14ac:dyDescent="0.25">
      <c r="A4" s="20" t="s">
        <v>229</v>
      </c>
    </row>
    <row r="5" spans="1:7" x14ac:dyDescent="0.25">
      <c r="A5" s="21" t="s">
        <v>159</v>
      </c>
      <c r="B5" s="21" t="s">
        <v>230</v>
      </c>
      <c r="C5" s="21" t="s">
        <v>231</v>
      </c>
      <c r="D5" s="21" t="s">
        <v>232</v>
      </c>
      <c r="E5" s="21" t="s">
        <v>233</v>
      </c>
      <c r="F5" s="21" t="s">
        <v>234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235</v>
      </c>
      <c r="B7" s="24" t="s">
        <v>236</v>
      </c>
      <c r="C7" s="23" t="s">
        <v>237</v>
      </c>
      <c r="D7" s="23" t="s">
        <v>238</v>
      </c>
      <c r="E7" s="25">
        <v>43361</v>
      </c>
      <c r="F7" s="24" t="s">
        <v>282</v>
      </c>
    </row>
    <row r="8" spans="1:7" ht="30" customHeight="1" x14ac:dyDescent="0.25">
      <c r="A8" s="22" t="s">
        <v>240</v>
      </c>
      <c r="B8" s="24" t="s">
        <v>241</v>
      </c>
      <c r="C8" s="23" t="s">
        <v>242</v>
      </c>
      <c r="D8" s="23" t="s">
        <v>243</v>
      </c>
      <c r="E8" s="25">
        <f>1973/12</f>
        <v>164.41666666667001</v>
      </c>
      <c r="F8" s="24" t="s">
        <v>244</v>
      </c>
      <c r="G8" s="26"/>
    </row>
    <row r="9" spans="1:7" x14ac:dyDescent="0.25">
      <c r="A9" s="22" t="s">
        <v>245</v>
      </c>
      <c r="B9" s="24" t="s">
        <v>246</v>
      </c>
      <c r="C9" s="23" t="s">
        <v>247</v>
      </c>
      <c r="D9" s="23" t="s">
        <v>238</v>
      </c>
      <c r="E9" s="25">
        <v>1</v>
      </c>
      <c r="F9" s="24"/>
      <c r="G9" s="27"/>
    </row>
    <row r="10" spans="1:7" x14ac:dyDescent="0.25">
      <c r="A10" s="22" t="s">
        <v>248</v>
      </c>
      <c r="B10" s="24" t="s">
        <v>249</v>
      </c>
      <c r="C10" s="23"/>
      <c r="D10" s="23"/>
      <c r="E10" s="28">
        <v>1</v>
      </c>
      <c r="F10" s="24" t="s">
        <v>250</v>
      </c>
      <c r="G10" s="27"/>
    </row>
    <row r="11" spans="1:7" ht="75" customHeight="1" x14ac:dyDescent="0.25">
      <c r="A11" s="22" t="s">
        <v>251</v>
      </c>
      <c r="B11" s="24" t="s">
        <v>252</v>
      </c>
      <c r="C11" s="23" t="s">
        <v>253</v>
      </c>
      <c r="D11" s="23" t="s">
        <v>238</v>
      </c>
      <c r="E11" s="29">
        <v>2.15</v>
      </c>
      <c r="F11" s="24" t="s">
        <v>283</v>
      </c>
    </row>
    <row r="12" spans="1:7" ht="75" customHeight="1" x14ac:dyDescent="0.25">
      <c r="A12" s="22" t="s">
        <v>255</v>
      </c>
      <c r="B12" s="30" t="s">
        <v>256</v>
      </c>
      <c r="C12" s="23" t="s">
        <v>257</v>
      </c>
      <c r="D12" s="23" t="s">
        <v>238</v>
      </c>
      <c r="E12" s="31">
        <v>1.139</v>
      </c>
      <c r="F12" s="32" t="s">
        <v>258</v>
      </c>
      <c r="G12" s="27" t="s">
        <v>259</v>
      </c>
    </row>
    <row r="13" spans="1:7" ht="60" customHeight="1" x14ac:dyDescent="0.25">
      <c r="A13" s="22" t="s">
        <v>260</v>
      </c>
      <c r="B13" s="33" t="s">
        <v>284</v>
      </c>
      <c r="C13" s="23" t="s">
        <v>262</v>
      </c>
      <c r="D13" s="23" t="s">
        <v>263</v>
      </c>
      <c r="E13" s="34">
        <f>((E7*E9/E8)*E11)*E12</f>
        <v>645.82616229093003</v>
      </c>
      <c r="F13" s="24" t="s">
        <v>264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2"/>
  <sheetViews>
    <sheetView view="pageBreakPreview" topLeftCell="A4" workbookViewId="0">
      <selection activeCell="A26" sqref="A26:XFD30"/>
    </sheetView>
  </sheetViews>
  <sheetFormatPr defaultColWidth="9.140625" defaultRowHeight="15" x14ac:dyDescent="0.25"/>
  <cols>
    <col min="1" max="1" width="5.5703125" style="129" customWidth="1"/>
    <col min="2" max="2" width="9.140625" style="129"/>
    <col min="3" max="3" width="35.28515625" style="129" customWidth="1"/>
    <col min="4" max="4" width="13.85546875" style="129" customWidth="1"/>
    <col min="5" max="5" width="17.42578125" style="129" customWidth="1"/>
    <col min="6" max="6" width="12.7109375" style="129" customWidth="1"/>
    <col min="7" max="7" width="14.85546875" style="129" customWidth="1"/>
    <col min="8" max="8" width="16.7109375" style="129" customWidth="1"/>
    <col min="9" max="10" width="13" style="129" customWidth="1"/>
    <col min="11" max="11" width="18" style="129" customWidth="1"/>
    <col min="12" max="12" width="9.140625" style="129"/>
  </cols>
  <sheetData>
    <row r="3" spans="2:11" ht="15.75" customHeight="1" x14ac:dyDescent="0.25">
      <c r="C3" s="134"/>
      <c r="D3" s="134"/>
      <c r="E3" s="134"/>
      <c r="F3" s="134"/>
      <c r="G3" s="134"/>
      <c r="H3" s="134"/>
      <c r="I3" s="134"/>
      <c r="J3" s="136" t="s">
        <v>35</v>
      </c>
      <c r="K3" s="134"/>
    </row>
    <row r="4" spans="2:11" ht="15.75" customHeight="1" x14ac:dyDescent="0.25">
      <c r="B4" s="156" t="s">
        <v>36</v>
      </c>
      <c r="C4" s="156"/>
      <c r="D4" s="156"/>
      <c r="E4" s="156"/>
      <c r="F4" s="156"/>
      <c r="G4" s="156"/>
      <c r="H4" s="156"/>
      <c r="I4" s="156"/>
      <c r="J4" s="156"/>
      <c r="K4" s="156"/>
    </row>
    <row r="5" spans="2:11" ht="15.75" customHeight="1" x14ac:dyDescent="0.25">
      <c r="B5" s="135"/>
      <c r="C5" s="135"/>
      <c r="D5" s="135"/>
      <c r="E5" s="135"/>
      <c r="F5" s="135"/>
      <c r="G5" s="135"/>
      <c r="H5" s="135"/>
      <c r="I5" s="135"/>
      <c r="J5" s="135"/>
      <c r="K5" s="135"/>
    </row>
    <row r="6" spans="2:11" ht="39.75" customHeight="1" x14ac:dyDescent="0.25">
      <c r="B6" s="153" t="str">
        <f>'Прил.1 Сравнит табл'!B6</f>
        <v>Наименование разрабатываемого показателя УНЦ - Ввод линейный (выключателя, трансформатора) на одну фазу (номинальный ток, 1000 А и выше) без устройства фундамента напряжение 110 кВ</v>
      </c>
      <c r="C6" s="153"/>
      <c r="D6" s="153"/>
      <c r="E6" s="153"/>
      <c r="F6" s="153"/>
      <c r="G6" s="153"/>
      <c r="H6" s="153"/>
      <c r="I6" s="153"/>
      <c r="J6" s="153"/>
      <c r="K6" s="134"/>
    </row>
    <row r="7" spans="2:11" ht="15.75" customHeight="1" x14ac:dyDescent="0.25">
      <c r="B7" s="134" t="e">
        <f>#REF!</f>
        <v>#REF!</v>
      </c>
      <c r="C7" s="134"/>
      <c r="D7" s="134"/>
      <c r="E7" s="134"/>
      <c r="F7" s="134"/>
      <c r="G7" s="134"/>
      <c r="H7" s="134"/>
      <c r="I7" s="134"/>
      <c r="J7" s="134"/>
      <c r="K7" s="134"/>
    </row>
    <row r="8" spans="2:11" ht="18.75" customHeight="1" x14ac:dyDescent="0.25">
      <c r="B8" s="133"/>
    </row>
    <row r="9" spans="2:11" ht="15.75" customHeight="1" x14ac:dyDescent="0.25">
      <c r="B9" s="157" t="s">
        <v>6</v>
      </c>
      <c r="C9" s="157" t="s">
        <v>37</v>
      </c>
      <c r="D9" s="157" t="s">
        <v>38</v>
      </c>
      <c r="E9" s="157"/>
      <c r="F9" s="157"/>
      <c r="G9" s="157"/>
      <c r="H9" s="157"/>
      <c r="I9" s="157"/>
      <c r="J9" s="157"/>
    </row>
    <row r="10" spans="2:11" ht="15.75" customHeight="1" x14ac:dyDescent="0.25">
      <c r="B10" s="157"/>
      <c r="C10" s="157"/>
      <c r="D10" s="157" t="s">
        <v>39</v>
      </c>
      <c r="E10" s="157" t="s">
        <v>40</v>
      </c>
      <c r="F10" s="157" t="s">
        <v>41</v>
      </c>
      <c r="G10" s="157"/>
      <c r="H10" s="157"/>
      <c r="I10" s="157"/>
      <c r="J10" s="157"/>
    </row>
    <row r="11" spans="2:11" ht="31.5" customHeight="1" x14ac:dyDescent="0.25">
      <c r="B11" s="157"/>
      <c r="C11" s="157"/>
      <c r="D11" s="157"/>
      <c r="E11" s="157"/>
      <c r="F11" s="138" t="s">
        <v>42</v>
      </c>
      <c r="G11" s="138" t="s">
        <v>43</v>
      </c>
      <c r="H11" s="138" t="s">
        <v>44</v>
      </c>
      <c r="I11" s="138" t="s">
        <v>45</v>
      </c>
      <c r="J11" s="138" t="s">
        <v>46</v>
      </c>
    </row>
    <row r="12" spans="2:11" ht="81.75" customHeight="1" x14ac:dyDescent="0.25">
      <c r="B12" s="139">
        <v>1</v>
      </c>
      <c r="C12" s="138" t="s">
        <v>17</v>
      </c>
      <c r="D12" s="139" t="s">
        <v>47</v>
      </c>
      <c r="E12" s="139" t="s">
        <v>48</v>
      </c>
      <c r="F12" s="140"/>
      <c r="G12" s="140">
        <f>903.73/1000*6.77</f>
        <v>6.1182521000000003</v>
      </c>
      <c r="H12" s="140">
        <f>101597.44/1000*4.28</f>
        <v>434.83704319999998</v>
      </c>
      <c r="I12" s="140"/>
      <c r="J12" s="140">
        <f>SUM(F12:I12)</f>
        <v>440.95529529999999</v>
      </c>
    </row>
    <row r="13" spans="2:11" ht="15" customHeight="1" x14ac:dyDescent="0.25">
      <c r="B13" s="154" t="s">
        <v>49</v>
      </c>
      <c r="C13" s="154"/>
      <c r="D13" s="154"/>
      <c r="E13" s="154"/>
      <c r="F13" s="141"/>
      <c r="G13" s="141">
        <f>SUM(G12)</f>
        <v>6.1182521000000003</v>
      </c>
      <c r="H13" s="141">
        <f>SUM(H12)</f>
        <v>434.83704319999998</v>
      </c>
      <c r="I13" s="141"/>
      <c r="J13" s="141">
        <f>SUM(J12)</f>
        <v>440.95529529999999</v>
      </c>
    </row>
    <row r="14" spans="2:11" ht="15.75" customHeight="1" x14ac:dyDescent="0.25">
      <c r="B14" s="155" t="s">
        <v>50</v>
      </c>
      <c r="C14" s="155"/>
      <c r="D14" s="155"/>
      <c r="E14" s="155"/>
      <c r="F14" s="142"/>
      <c r="G14" s="142">
        <f>G13</f>
        <v>6.1182521000000003</v>
      </c>
      <c r="H14" s="142">
        <f>H13</f>
        <v>434.83704319999998</v>
      </c>
      <c r="I14" s="142"/>
      <c r="J14" s="142">
        <f>J13</f>
        <v>440.95529529999999</v>
      </c>
    </row>
    <row r="18" spans="2:3" s="129" customFormat="1" x14ac:dyDescent="0.25">
      <c r="B18" s="132" t="s">
        <v>285</v>
      </c>
      <c r="C18" s="130"/>
    </row>
    <row r="19" spans="2:3" s="129" customFormat="1" x14ac:dyDescent="0.25">
      <c r="B19" s="131" t="s">
        <v>33</v>
      </c>
      <c r="C19" s="130"/>
    </row>
    <row r="20" spans="2:3" s="129" customFormat="1" x14ac:dyDescent="0.25">
      <c r="B20" s="132"/>
      <c r="C20" s="130"/>
    </row>
    <row r="21" spans="2:3" s="129" customFormat="1" x14ac:dyDescent="0.25">
      <c r="B21" s="132" t="s">
        <v>286</v>
      </c>
      <c r="C21" s="130"/>
    </row>
    <row r="22" spans="2:3" s="129" customFormat="1" x14ac:dyDescent="0.25">
      <c r="B22" s="131" t="s">
        <v>34</v>
      </c>
      <c r="C22" s="130"/>
    </row>
  </sheetData>
  <mergeCells count="10">
    <mergeCell ref="B13:E13"/>
    <mergeCell ref="B14:E14"/>
    <mergeCell ref="B4:K4"/>
    <mergeCell ref="B6:J6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view="pageBreakPreview" topLeftCell="A62" workbookViewId="0">
      <selection activeCell="D83" sqref="D8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1" spans="1:12" ht="15.75" customHeight="1" x14ac:dyDescent="0.25">
      <c r="A1" s="150" t="s">
        <v>51</v>
      </c>
      <c r="B1" s="150"/>
      <c r="C1" s="150"/>
      <c r="D1" s="150"/>
      <c r="E1" s="150"/>
      <c r="F1" s="150"/>
      <c r="G1" s="150"/>
      <c r="H1" s="150"/>
    </row>
    <row r="2" spans="1:12" ht="18.75" customHeight="1" x14ac:dyDescent="0.25">
      <c r="A2" s="151" t="s">
        <v>52</v>
      </c>
      <c r="B2" s="151"/>
      <c r="C2" s="151"/>
      <c r="D2" s="151"/>
      <c r="E2" s="151"/>
      <c r="F2" s="151"/>
      <c r="G2" s="151"/>
      <c r="H2" s="151"/>
    </row>
    <row r="3" spans="1:12" x14ac:dyDescent="0.25">
      <c r="B3" s="87"/>
    </row>
    <row r="4" spans="1:12" ht="18.75" customHeight="1" x14ac:dyDescent="0.25">
      <c r="A4" s="88"/>
      <c r="B4" s="88"/>
      <c r="C4" s="161" t="s">
        <v>53</v>
      </c>
      <c r="D4" s="161"/>
      <c r="E4" s="161"/>
      <c r="F4" s="161"/>
      <c r="G4" s="161"/>
      <c r="H4" s="161"/>
    </row>
    <row r="5" spans="1:12" ht="18.75" customHeight="1" x14ac:dyDescent="0.25">
      <c r="A5" s="36"/>
    </row>
    <row r="6" spans="1:12" ht="32.25" customHeight="1" x14ac:dyDescent="0.25">
      <c r="A6" s="163" t="str">
        <f>'Прил.1 Сравнит табл'!B6</f>
        <v>Наименование разрабатываемого показателя УНЦ - Ввод линейный (выключателя, трансформатора) на одну фазу (номинальный ток, 1000 А и выше) без устройства фундамента напряжение 110 кВ</v>
      </c>
      <c r="B6" s="163"/>
      <c r="C6" s="163"/>
      <c r="D6" s="163"/>
      <c r="E6" s="163"/>
      <c r="F6" s="163"/>
      <c r="G6" s="163"/>
      <c r="H6" s="163"/>
    </row>
    <row r="7" spans="1:12" ht="42" hidden="1" customHeight="1" x14ac:dyDescent="0.25">
      <c r="A7" s="91"/>
      <c r="B7" s="91"/>
      <c r="C7" s="91"/>
      <c r="D7" s="84"/>
      <c r="E7" s="94"/>
      <c r="F7" s="94"/>
      <c r="G7" s="94"/>
      <c r="H7" s="94"/>
    </row>
    <row r="8" spans="1:12" ht="15.75" customHeight="1" x14ac:dyDescent="0.25">
      <c r="A8" s="39"/>
      <c r="B8" s="39"/>
      <c r="C8" s="39"/>
      <c r="D8" s="39"/>
      <c r="E8" s="39"/>
      <c r="F8" s="39"/>
      <c r="G8" s="39"/>
      <c r="H8" s="59"/>
    </row>
    <row r="9" spans="1:12" ht="38.25" customHeight="1" x14ac:dyDescent="0.25">
      <c r="A9" s="162" t="s">
        <v>54</v>
      </c>
      <c r="B9" s="162" t="s">
        <v>55</v>
      </c>
      <c r="C9" s="162" t="s">
        <v>56</v>
      </c>
      <c r="D9" s="162" t="s">
        <v>57</v>
      </c>
      <c r="E9" s="162" t="s">
        <v>58</v>
      </c>
      <c r="F9" s="162" t="s">
        <v>59</v>
      </c>
      <c r="G9" s="162" t="s">
        <v>60</v>
      </c>
      <c r="H9" s="162"/>
    </row>
    <row r="10" spans="1:12" ht="40.5" customHeight="1" x14ac:dyDescent="0.25">
      <c r="A10" s="162"/>
      <c r="B10" s="162"/>
      <c r="C10" s="162"/>
      <c r="D10" s="162"/>
      <c r="E10" s="162"/>
      <c r="F10" s="162"/>
      <c r="G10" s="37" t="s">
        <v>61</v>
      </c>
      <c r="H10" s="37" t="s">
        <v>62</v>
      </c>
    </row>
    <row r="11" spans="1:12" ht="15.75" customHeight="1" x14ac:dyDescent="0.25">
      <c r="A11" s="37">
        <v>1</v>
      </c>
      <c r="B11" s="50"/>
      <c r="C11" s="37">
        <v>2</v>
      </c>
      <c r="D11" s="37" t="s">
        <v>63</v>
      </c>
      <c r="E11" s="37">
        <v>4</v>
      </c>
      <c r="F11" s="37">
        <v>5</v>
      </c>
      <c r="G11" s="50">
        <v>6</v>
      </c>
      <c r="H11" s="50">
        <v>7</v>
      </c>
    </row>
    <row r="12" spans="1:12" ht="15" customHeight="1" x14ac:dyDescent="0.25">
      <c r="A12" s="159" t="s">
        <v>64</v>
      </c>
      <c r="B12" s="160"/>
      <c r="C12" s="160"/>
      <c r="D12" s="160"/>
      <c r="E12" s="160"/>
      <c r="F12" s="51">
        <f>SUM(F13:F13)</f>
        <v>92.616424116424</v>
      </c>
      <c r="G12" s="52"/>
      <c r="H12" s="51">
        <f>SUM(H13:H13)</f>
        <v>890.97</v>
      </c>
      <c r="J12" s="63"/>
      <c r="K12" s="18"/>
    </row>
    <row r="13" spans="1:12" x14ac:dyDescent="0.25">
      <c r="A13" s="43">
        <v>1</v>
      </c>
      <c r="B13" s="60"/>
      <c r="C13" s="43" t="s">
        <v>65</v>
      </c>
      <c r="D13" s="44" t="s">
        <v>66</v>
      </c>
      <c r="E13" s="45" t="s">
        <v>67</v>
      </c>
      <c r="F13" s="90">
        <v>92.616424116424</v>
      </c>
      <c r="G13" s="46">
        <v>9.6199999999999992</v>
      </c>
      <c r="H13" s="46">
        <f>ROUND(F13*G13,2)</f>
        <v>890.97</v>
      </c>
    </row>
    <row r="14" spans="1:12" ht="15" customHeight="1" x14ac:dyDescent="0.25">
      <c r="A14" s="158" t="s">
        <v>68</v>
      </c>
      <c r="B14" s="158"/>
      <c r="C14" s="158"/>
      <c r="D14" s="158"/>
      <c r="E14" s="158"/>
      <c r="F14" s="52"/>
      <c r="G14" s="52"/>
      <c r="H14" s="51">
        <f>H15</f>
        <v>244.36799999999999</v>
      </c>
    </row>
    <row r="15" spans="1:12" x14ac:dyDescent="0.25">
      <c r="A15" s="47">
        <v>2</v>
      </c>
      <c r="B15" s="60"/>
      <c r="C15" s="43">
        <v>2</v>
      </c>
      <c r="D15" s="44" t="s">
        <v>68</v>
      </c>
      <c r="E15" s="45" t="s">
        <v>69</v>
      </c>
      <c r="F15" s="45">
        <f>'Прил.5 Расчет СМР и ОБ'!E16</f>
        <v>18.584399999999999</v>
      </c>
      <c r="G15" s="46"/>
      <c r="H15" s="40">
        <f>'Прил.5 Расчет СМР и ОБ'!G16</f>
        <v>244.36799999999999</v>
      </c>
      <c r="L15" s="42"/>
    </row>
    <row r="16" spans="1:12" ht="15" customHeight="1" x14ac:dyDescent="0.25">
      <c r="A16" s="158" t="s">
        <v>70</v>
      </c>
      <c r="B16" s="158"/>
      <c r="C16" s="158"/>
      <c r="D16" s="158"/>
      <c r="E16" s="158"/>
      <c r="F16" s="52"/>
      <c r="G16" s="52"/>
      <c r="H16" s="51">
        <f>SUM(H17:H21)</f>
        <v>1797.59</v>
      </c>
      <c r="K16" s="18"/>
    </row>
    <row r="17" spans="1:11" ht="25.5" customHeight="1" x14ac:dyDescent="0.25">
      <c r="A17" s="43">
        <f>A15+1</f>
        <v>3</v>
      </c>
      <c r="B17" s="60"/>
      <c r="C17" s="56" t="s">
        <v>71</v>
      </c>
      <c r="D17" s="44" t="s">
        <v>72</v>
      </c>
      <c r="E17" s="45" t="s">
        <v>73</v>
      </c>
      <c r="F17" s="45">
        <v>11.4</v>
      </c>
      <c r="G17" s="48">
        <v>131.44</v>
      </c>
      <c r="H17" s="46">
        <f>ROUND(F17*G17,2)</f>
        <v>1498.42</v>
      </c>
    </row>
    <row r="18" spans="1:11" x14ac:dyDescent="0.25">
      <c r="A18" s="43">
        <f>A17+1</f>
        <v>4</v>
      </c>
      <c r="B18" s="60"/>
      <c r="C18" s="56" t="s">
        <v>74</v>
      </c>
      <c r="D18" s="44" t="s">
        <v>75</v>
      </c>
      <c r="E18" s="45" t="s">
        <v>73</v>
      </c>
      <c r="F18" s="49">
        <v>5.7</v>
      </c>
      <c r="G18" s="48">
        <v>29.6</v>
      </c>
      <c r="H18" s="46">
        <f>ROUND(F18*G18,2)</f>
        <v>168.72</v>
      </c>
    </row>
    <row r="19" spans="1:11" x14ac:dyDescent="0.25">
      <c r="A19" s="43">
        <f>A18+1</f>
        <v>5</v>
      </c>
      <c r="B19" s="60"/>
      <c r="C19" s="56" t="s">
        <v>76</v>
      </c>
      <c r="D19" s="44" t="s">
        <v>77</v>
      </c>
      <c r="E19" s="45" t="s">
        <v>73</v>
      </c>
      <c r="F19" s="45">
        <v>0.56000000000000005</v>
      </c>
      <c r="G19" s="48">
        <v>111.99</v>
      </c>
      <c r="H19" s="46">
        <f>ROUND(F19*G19,2)</f>
        <v>62.71</v>
      </c>
    </row>
    <row r="20" spans="1:11" x14ac:dyDescent="0.25">
      <c r="A20" s="43">
        <f>A19+1</f>
        <v>6</v>
      </c>
      <c r="B20" s="60"/>
      <c r="C20" s="56" t="s">
        <v>78</v>
      </c>
      <c r="D20" s="44" t="s">
        <v>79</v>
      </c>
      <c r="E20" s="45" t="s">
        <v>73</v>
      </c>
      <c r="F20" s="45">
        <v>0.56000000000000005</v>
      </c>
      <c r="G20" s="48">
        <v>65.709999999999994</v>
      </c>
      <c r="H20" s="46">
        <f>ROUND(F20*G20,2)</f>
        <v>36.799999999999997</v>
      </c>
    </row>
    <row r="21" spans="1:11" ht="25.5" customHeight="1" x14ac:dyDescent="0.25">
      <c r="A21" s="43">
        <f>A20+1</f>
        <v>7</v>
      </c>
      <c r="B21" s="60"/>
      <c r="C21" s="56" t="s">
        <v>80</v>
      </c>
      <c r="D21" s="44" t="s">
        <v>81</v>
      </c>
      <c r="E21" s="45" t="s">
        <v>73</v>
      </c>
      <c r="F21" s="45">
        <v>3.82</v>
      </c>
      <c r="G21" s="48">
        <v>8.1</v>
      </c>
      <c r="H21" s="46">
        <f>ROUND(F21*G21,2)</f>
        <v>30.94</v>
      </c>
    </row>
    <row r="22" spans="1:11" ht="15" customHeight="1" x14ac:dyDescent="0.25">
      <c r="A22" s="158" t="s">
        <v>44</v>
      </c>
      <c r="B22" s="158"/>
      <c r="C22" s="158"/>
      <c r="D22" s="158"/>
      <c r="E22" s="158"/>
      <c r="F22" s="52"/>
      <c r="G22" s="52"/>
      <c r="H22" s="51">
        <f>SUM(H23:H23)</f>
        <v>101597.44</v>
      </c>
    </row>
    <row r="23" spans="1:11" x14ac:dyDescent="0.25">
      <c r="A23" s="47">
        <f>A21+1</f>
        <v>8</v>
      </c>
      <c r="B23" s="5"/>
      <c r="C23" s="147" t="s">
        <v>82</v>
      </c>
      <c r="D23" s="148" t="str">
        <f>'Прил.5 Расчет СМР и ОБ'!C29</f>
        <v>Ввод трансформатора 110 кВ</v>
      </c>
      <c r="E23" s="147" t="str">
        <f>'Прил.5 Расчет СМР и ОБ'!D29</f>
        <v>к-т</v>
      </c>
      <c r="F23" s="147">
        <f>'Прил.5 Расчет СМР и ОБ'!E29</f>
        <v>1</v>
      </c>
      <c r="G23" s="46">
        <v>101597.44</v>
      </c>
      <c r="H23" s="46">
        <f>ROUND(F23*G23,2)</f>
        <v>101597.44</v>
      </c>
    </row>
    <row r="24" spans="1:11" ht="15" customHeight="1" x14ac:dyDescent="0.25">
      <c r="A24" s="158" t="s">
        <v>83</v>
      </c>
      <c r="B24" s="158"/>
      <c r="C24" s="158"/>
      <c r="D24" s="158"/>
      <c r="E24" s="158"/>
      <c r="F24" s="52"/>
      <c r="G24" s="52"/>
      <c r="H24" s="51">
        <f>SUM(H25:H38)</f>
        <v>903.73</v>
      </c>
      <c r="K24" s="18"/>
    </row>
    <row r="25" spans="1:11" x14ac:dyDescent="0.25">
      <c r="A25" s="47">
        <f>A23+1</f>
        <v>9</v>
      </c>
      <c r="B25" s="60"/>
      <c r="C25" s="43" t="s">
        <v>84</v>
      </c>
      <c r="D25" s="44" t="s">
        <v>85</v>
      </c>
      <c r="E25" s="45" t="s">
        <v>86</v>
      </c>
      <c r="F25" s="45">
        <v>4.4999999999999997E-3</v>
      </c>
      <c r="G25" s="46">
        <v>53400</v>
      </c>
      <c r="H25" s="46">
        <f t="shared" ref="H25:H38" si="0">ROUND(F25*G25,2)</f>
        <v>240.3</v>
      </c>
    </row>
    <row r="26" spans="1:11" ht="25.5" customHeight="1" x14ac:dyDescent="0.25">
      <c r="A26" s="47">
        <f t="shared" ref="A26:A38" si="1">A25+1</f>
        <v>10</v>
      </c>
      <c r="B26" s="60"/>
      <c r="C26" s="56" t="s">
        <v>87</v>
      </c>
      <c r="D26" s="44" t="s">
        <v>88</v>
      </c>
      <c r="E26" s="45" t="s">
        <v>86</v>
      </c>
      <c r="F26" s="45">
        <v>4.7099999999999998E-3</v>
      </c>
      <c r="G26" s="46">
        <v>32007.25</v>
      </c>
      <c r="H26" s="46">
        <f t="shared" si="0"/>
        <v>150.75</v>
      </c>
    </row>
    <row r="27" spans="1:11" x14ac:dyDescent="0.25">
      <c r="A27" s="47">
        <f t="shared" si="1"/>
        <v>11</v>
      </c>
      <c r="B27" s="60"/>
      <c r="C27" s="56" t="s">
        <v>89</v>
      </c>
      <c r="D27" s="44" t="s">
        <v>90</v>
      </c>
      <c r="E27" s="45" t="s">
        <v>91</v>
      </c>
      <c r="F27" s="45">
        <v>0.8</v>
      </c>
      <c r="G27" s="46">
        <v>108.4</v>
      </c>
      <c r="H27" s="46">
        <f t="shared" si="0"/>
        <v>86.72</v>
      </c>
    </row>
    <row r="28" spans="1:11" x14ac:dyDescent="0.25">
      <c r="A28" s="47">
        <f t="shared" si="1"/>
        <v>12</v>
      </c>
      <c r="B28" s="60"/>
      <c r="C28" s="56" t="s">
        <v>92</v>
      </c>
      <c r="D28" s="44" t="s">
        <v>93</v>
      </c>
      <c r="E28" s="45" t="s">
        <v>94</v>
      </c>
      <c r="F28" s="45">
        <v>2.86</v>
      </c>
      <c r="G28" s="46">
        <v>28.6</v>
      </c>
      <c r="H28" s="46">
        <f t="shared" si="0"/>
        <v>81.8</v>
      </c>
    </row>
    <row r="29" spans="1:11" x14ac:dyDescent="0.25">
      <c r="A29" s="47">
        <f t="shared" si="1"/>
        <v>13</v>
      </c>
      <c r="B29" s="60"/>
      <c r="C29" s="56" t="s">
        <v>95</v>
      </c>
      <c r="D29" s="44" t="s">
        <v>96</v>
      </c>
      <c r="E29" s="45" t="s">
        <v>97</v>
      </c>
      <c r="F29" s="45">
        <v>0.01</v>
      </c>
      <c r="G29" s="46">
        <v>6505</v>
      </c>
      <c r="H29" s="46">
        <f t="shared" si="0"/>
        <v>65.05</v>
      </c>
    </row>
    <row r="30" spans="1:11" x14ac:dyDescent="0.25">
      <c r="A30" s="47">
        <f t="shared" si="1"/>
        <v>14</v>
      </c>
      <c r="B30" s="60"/>
      <c r="C30" s="56" t="s">
        <v>98</v>
      </c>
      <c r="D30" s="44" t="s">
        <v>99</v>
      </c>
      <c r="E30" s="45" t="s">
        <v>100</v>
      </c>
      <c r="F30" s="45">
        <v>0.8</v>
      </c>
      <c r="G30" s="46">
        <v>73.650000000000006</v>
      </c>
      <c r="H30" s="46">
        <f t="shared" si="0"/>
        <v>58.92</v>
      </c>
    </row>
    <row r="31" spans="1:11" ht="25.5" customHeight="1" x14ac:dyDescent="0.25">
      <c r="A31" s="47">
        <f t="shared" si="1"/>
        <v>15</v>
      </c>
      <c r="B31" s="60"/>
      <c r="C31" s="56" t="s">
        <v>101</v>
      </c>
      <c r="D31" s="44" t="s">
        <v>102</v>
      </c>
      <c r="E31" s="45" t="s">
        <v>86</v>
      </c>
      <c r="F31" s="45">
        <v>0.01</v>
      </c>
      <c r="G31" s="46">
        <v>5000</v>
      </c>
      <c r="H31" s="46">
        <f t="shared" si="0"/>
        <v>50</v>
      </c>
    </row>
    <row r="32" spans="1:11" x14ac:dyDescent="0.25">
      <c r="A32" s="47">
        <f t="shared" si="1"/>
        <v>16</v>
      </c>
      <c r="B32" s="60"/>
      <c r="C32" s="56" t="s">
        <v>103</v>
      </c>
      <c r="D32" s="44" t="s">
        <v>104</v>
      </c>
      <c r="E32" s="45" t="s">
        <v>94</v>
      </c>
      <c r="F32" s="45">
        <v>1</v>
      </c>
      <c r="G32" s="46">
        <v>50</v>
      </c>
      <c r="H32" s="46">
        <f t="shared" si="0"/>
        <v>50</v>
      </c>
    </row>
    <row r="33" spans="1:11" x14ac:dyDescent="0.25">
      <c r="A33" s="47">
        <f t="shared" si="1"/>
        <v>17</v>
      </c>
      <c r="B33" s="60"/>
      <c r="C33" s="56" t="s">
        <v>105</v>
      </c>
      <c r="D33" s="44" t="s">
        <v>106</v>
      </c>
      <c r="E33" s="45" t="s">
        <v>94</v>
      </c>
      <c r="F33" s="45">
        <v>3.26</v>
      </c>
      <c r="G33" s="46">
        <v>10.57</v>
      </c>
      <c r="H33" s="46">
        <f t="shared" si="0"/>
        <v>34.46</v>
      </c>
    </row>
    <row r="34" spans="1:11" x14ac:dyDescent="0.25">
      <c r="A34" s="47">
        <f t="shared" si="1"/>
        <v>18</v>
      </c>
      <c r="B34" s="60"/>
      <c r="C34" s="56" t="s">
        <v>107</v>
      </c>
      <c r="D34" s="44" t="s">
        <v>108</v>
      </c>
      <c r="E34" s="45" t="s">
        <v>86</v>
      </c>
      <c r="F34" s="45">
        <v>8.0000000000000004E-4</v>
      </c>
      <c r="G34" s="46">
        <v>38890</v>
      </c>
      <c r="H34" s="46">
        <f t="shared" si="0"/>
        <v>31.11</v>
      </c>
    </row>
    <row r="35" spans="1:11" x14ac:dyDescent="0.25">
      <c r="A35" s="47">
        <f t="shared" si="1"/>
        <v>19</v>
      </c>
      <c r="B35" s="60"/>
      <c r="C35" s="56" t="s">
        <v>109</v>
      </c>
      <c r="D35" s="44" t="s">
        <v>110</v>
      </c>
      <c r="E35" s="45" t="s">
        <v>94</v>
      </c>
      <c r="F35" s="45">
        <v>3.02</v>
      </c>
      <c r="G35" s="46">
        <v>9.0399999999999991</v>
      </c>
      <c r="H35" s="46">
        <f t="shared" si="0"/>
        <v>27.3</v>
      </c>
    </row>
    <row r="36" spans="1:11" ht="25.5" customHeight="1" x14ac:dyDescent="0.25">
      <c r="A36" s="47">
        <f t="shared" si="1"/>
        <v>20</v>
      </c>
      <c r="B36" s="60"/>
      <c r="C36" s="56" t="s">
        <v>111</v>
      </c>
      <c r="D36" s="44" t="s">
        <v>112</v>
      </c>
      <c r="E36" s="45" t="s">
        <v>113</v>
      </c>
      <c r="F36" s="45">
        <v>17.47</v>
      </c>
      <c r="G36" s="46">
        <v>1</v>
      </c>
      <c r="H36" s="46">
        <f t="shared" si="0"/>
        <v>17.47</v>
      </c>
    </row>
    <row r="37" spans="1:11" ht="25.5" customHeight="1" x14ac:dyDescent="0.25">
      <c r="A37" s="47">
        <f t="shared" si="1"/>
        <v>21</v>
      </c>
      <c r="B37" s="60"/>
      <c r="C37" s="56" t="s">
        <v>114</v>
      </c>
      <c r="D37" s="44" t="s">
        <v>115</v>
      </c>
      <c r="E37" s="45" t="s">
        <v>94</v>
      </c>
      <c r="F37" s="45">
        <v>0.1</v>
      </c>
      <c r="G37" s="46">
        <v>68.05</v>
      </c>
      <c r="H37" s="46">
        <f t="shared" si="0"/>
        <v>6.81</v>
      </c>
    </row>
    <row r="38" spans="1:11" ht="25.5" customHeight="1" x14ac:dyDescent="0.25">
      <c r="A38" s="47">
        <f t="shared" si="1"/>
        <v>22</v>
      </c>
      <c r="B38" s="60"/>
      <c r="C38" s="56" t="s">
        <v>116</v>
      </c>
      <c r="D38" s="44" t="s">
        <v>117</v>
      </c>
      <c r="E38" s="45" t="s">
        <v>94</v>
      </c>
      <c r="F38" s="45">
        <v>0.1</v>
      </c>
      <c r="G38" s="46">
        <v>30.4</v>
      </c>
      <c r="H38" s="46">
        <f t="shared" si="0"/>
        <v>3.04</v>
      </c>
    </row>
    <row r="39" spans="1:11" x14ac:dyDescent="0.25">
      <c r="K39" s="86"/>
    </row>
    <row r="41" spans="1:11" s="129" customFormat="1" x14ac:dyDescent="0.25">
      <c r="B41" s="132" t="s">
        <v>285</v>
      </c>
      <c r="C41" s="130"/>
    </row>
    <row r="42" spans="1:11" s="129" customFormat="1" x14ac:dyDescent="0.25">
      <c r="B42" s="131" t="s">
        <v>33</v>
      </c>
      <c r="C42" s="130"/>
    </row>
    <row r="43" spans="1:11" s="129" customFormat="1" x14ac:dyDescent="0.25">
      <c r="B43" s="132"/>
      <c r="C43" s="130"/>
    </row>
    <row r="44" spans="1:11" s="129" customFormat="1" x14ac:dyDescent="0.25">
      <c r="B44" s="132" t="s">
        <v>286</v>
      </c>
      <c r="C44" s="130"/>
    </row>
    <row r="45" spans="1:11" s="129" customFormat="1" x14ac:dyDescent="0.25">
      <c r="B45" s="131" t="s">
        <v>34</v>
      </c>
      <c r="C45" s="130"/>
    </row>
  </sheetData>
  <mergeCells count="16">
    <mergeCell ref="A1:H1"/>
    <mergeCell ref="A2:H2"/>
    <mergeCell ref="E9:E10"/>
    <mergeCell ref="F9:F10"/>
    <mergeCell ref="A9:A10"/>
    <mergeCell ref="B9:B10"/>
    <mergeCell ref="C9:C10"/>
    <mergeCell ref="D9:D10"/>
    <mergeCell ref="A6:H6"/>
    <mergeCell ref="A22:E22"/>
    <mergeCell ref="A24:E24"/>
    <mergeCell ref="A12:E12"/>
    <mergeCell ref="C4:H4"/>
    <mergeCell ref="G9:H9"/>
    <mergeCell ref="A14:E14"/>
    <mergeCell ref="A16:E16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15" t="s">
        <v>118</v>
      </c>
    </row>
    <row r="2" spans="2:5" hidden="1" x14ac:dyDescent="0.25">
      <c r="B2" s="6"/>
      <c r="C2" s="6"/>
      <c r="D2" s="6"/>
      <c r="E2" s="6"/>
    </row>
    <row r="3" spans="2:5" hidden="1" x14ac:dyDescent="0.25">
      <c r="B3" s="6"/>
      <c r="C3" s="6"/>
      <c r="D3" s="6"/>
      <c r="E3" s="6"/>
    </row>
    <row r="4" spans="2:5" x14ac:dyDescent="0.25">
      <c r="B4" s="164" t="s">
        <v>119</v>
      </c>
      <c r="C4" s="164"/>
      <c r="D4" s="164"/>
      <c r="E4" s="164"/>
    </row>
    <row r="5" spans="2:5" ht="8.25" customHeight="1" x14ac:dyDescent="0.25">
      <c r="B5" s="16"/>
      <c r="C5" s="6"/>
      <c r="D5" s="6"/>
      <c r="E5" s="6"/>
    </row>
    <row r="6" spans="2:5" ht="92.25" customHeight="1" x14ac:dyDescent="0.25">
      <c r="B6" s="163" t="str">
        <f>'Прил.1 Сравнит табл'!B6</f>
        <v>Наименование разрабатываемого показателя УНЦ - Ввод линейный (выключателя, трансформатора) на одну фазу (номинальный ток, 1000 А и выше) без устройства фундамента напряжение 110 кВ</v>
      </c>
      <c r="C6" s="163"/>
      <c r="D6" s="163"/>
      <c r="E6" s="163"/>
    </row>
    <row r="7" spans="2:5" ht="15.75" customHeight="1" x14ac:dyDescent="0.25">
      <c r="B7" s="91" t="str">
        <f>'Прил.1 Сравнит табл'!B8</f>
        <v>Единица измерения  — 1 ед.</v>
      </c>
      <c r="C7" s="91"/>
      <c r="D7" s="91"/>
      <c r="E7" s="91"/>
    </row>
    <row r="8" spans="2:5" ht="15.75" hidden="1" customHeight="1" x14ac:dyDescent="0.25">
      <c r="B8" s="91"/>
      <c r="C8" s="91"/>
      <c r="D8" s="91"/>
      <c r="E8" s="91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120</v>
      </c>
      <c r="C10" s="2" t="s">
        <v>121</v>
      </c>
      <c r="D10" s="2" t="s">
        <v>122</v>
      </c>
      <c r="E10" s="2" t="s">
        <v>123</v>
      </c>
    </row>
    <row r="11" spans="2:5" x14ac:dyDescent="0.25">
      <c r="B11" s="7" t="s">
        <v>124</v>
      </c>
      <c r="C11" s="98">
        <f>'Прил.5 Расчет СМР и ОБ'!J14</f>
        <v>41158.620000000003</v>
      </c>
      <c r="D11" s="99">
        <f t="shared" ref="D11:D18" si="0">C11/$C$24</f>
        <v>0.27140501910383003</v>
      </c>
      <c r="E11" s="99">
        <f t="shared" ref="E11:E18" si="1">C11/$C$40</f>
        <v>4.4975786512845999E-2</v>
      </c>
    </row>
    <row r="12" spans="2:5" x14ac:dyDescent="0.25">
      <c r="B12" s="7" t="s">
        <v>125</v>
      </c>
      <c r="C12" s="98">
        <f>'Прил.5 Расчет СМР и ОБ'!J21</f>
        <v>22456.35</v>
      </c>
      <c r="D12" s="99">
        <f t="shared" si="0"/>
        <v>0.14807994293182</v>
      </c>
      <c r="E12" s="99">
        <f t="shared" si="1"/>
        <v>2.4539015240495E-2</v>
      </c>
    </row>
    <row r="13" spans="2:5" x14ac:dyDescent="0.25">
      <c r="B13" s="7" t="s">
        <v>126</v>
      </c>
      <c r="C13" s="98">
        <f>'Прил.5 Расчет СМР и ОБ'!J25</f>
        <v>1757.23</v>
      </c>
      <c r="D13" s="99">
        <f t="shared" si="0"/>
        <v>1.1587391455783001E-2</v>
      </c>
      <c r="E13" s="99">
        <f t="shared" si="1"/>
        <v>1.9202004667301E-3</v>
      </c>
    </row>
    <row r="14" spans="2:5" x14ac:dyDescent="0.25">
      <c r="B14" s="7" t="s">
        <v>127</v>
      </c>
      <c r="C14" s="98">
        <f>C13+C12</f>
        <v>24213.58</v>
      </c>
      <c r="D14" s="99">
        <f t="shared" si="0"/>
        <v>0.1596673343876</v>
      </c>
      <c r="E14" s="99">
        <f t="shared" si="1"/>
        <v>2.6459215707224999E-2</v>
      </c>
    </row>
    <row r="15" spans="2:5" x14ac:dyDescent="0.25">
      <c r="B15" s="7" t="s">
        <v>128</v>
      </c>
      <c r="C15" s="98">
        <f>'Прил.5 Расчет СМР и ОБ'!J16</f>
        <v>10823</v>
      </c>
      <c r="D15" s="99">
        <f t="shared" si="0"/>
        <v>7.1368197518790005E-2</v>
      </c>
      <c r="E15" s="99">
        <f t="shared" si="1"/>
        <v>1.1826755547890999E-2</v>
      </c>
    </row>
    <row r="16" spans="2:5" x14ac:dyDescent="0.25">
      <c r="B16" s="7" t="s">
        <v>129</v>
      </c>
      <c r="C16" s="98">
        <f>'Прил.5 Расчет СМР и ОБ'!J44</f>
        <v>6299.65</v>
      </c>
      <c r="D16" s="99">
        <f t="shared" si="0"/>
        <v>4.1540669453870999E-2</v>
      </c>
      <c r="E16" s="99">
        <f t="shared" si="1"/>
        <v>6.8838973101053996E-3</v>
      </c>
    </row>
    <row r="17" spans="2:7" x14ac:dyDescent="0.25">
      <c r="B17" s="7" t="s">
        <v>130</v>
      </c>
      <c r="C17" s="98">
        <f>'Прил.5 Расчет СМР и ОБ'!J51</f>
        <v>966.27</v>
      </c>
      <c r="D17" s="99">
        <f t="shared" si="0"/>
        <v>6.3717036141994997E-3</v>
      </c>
      <c r="E17" s="99">
        <f t="shared" si="1"/>
        <v>1.0558846053090999E-3</v>
      </c>
      <c r="G17" s="17"/>
    </row>
    <row r="18" spans="2:7" x14ac:dyDescent="0.25">
      <c r="B18" s="7" t="s">
        <v>131</v>
      </c>
      <c r="C18" s="98">
        <f>C17+C16</f>
        <v>7265.92</v>
      </c>
      <c r="D18" s="99">
        <f t="shared" si="0"/>
        <v>4.7912373068070002E-2</v>
      </c>
      <c r="E18" s="99">
        <f t="shared" si="1"/>
        <v>7.9397819154144993E-3</v>
      </c>
    </row>
    <row r="19" spans="2:7" x14ac:dyDescent="0.25">
      <c r="B19" s="7" t="s">
        <v>132</v>
      </c>
      <c r="C19" s="98">
        <f>C18+C14+C11</f>
        <v>72638.12</v>
      </c>
      <c r="D19" s="99"/>
      <c r="E19" s="7"/>
    </row>
    <row r="20" spans="2:7" x14ac:dyDescent="0.25">
      <c r="B20" s="7" t="s">
        <v>133</v>
      </c>
      <c r="C20" s="98">
        <f>ROUND(C21*(C11+C15),2)</f>
        <v>32228.6</v>
      </c>
      <c r="D20" s="99">
        <f>C20/$C$24</f>
        <v>0.21251936529188001</v>
      </c>
      <c r="E20" s="99">
        <f>C20/$C$40</f>
        <v>3.5217571269588001E-2</v>
      </c>
    </row>
    <row r="21" spans="2:7" x14ac:dyDescent="0.25">
      <c r="B21" s="7" t="s">
        <v>134</v>
      </c>
      <c r="C21" s="100">
        <f>'Прил.5 Расчет СМР и ОБ'!E55</f>
        <v>0.62</v>
      </c>
      <c r="D21" s="99"/>
      <c r="E21" s="7"/>
    </row>
    <row r="22" spans="2:7" x14ac:dyDescent="0.25">
      <c r="B22" s="7" t="s">
        <v>135</v>
      </c>
      <c r="C22" s="98">
        <f>ROUND(C23*(C11+C15),2)</f>
        <v>46783.46</v>
      </c>
      <c r="D22" s="99">
        <f>C22/$C$24</f>
        <v>0.30849590814861</v>
      </c>
      <c r="E22" s="99">
        <f>C22/$C$40</f>
        <v>5.1122290040149003E-2</v>
      </c>
    </row>
    <row r="23" spans="2:7" x14ac:dyDescent="0.25">
      <c r="B23" s="7" t="s">
        <v>136</v>
      </c>
      <c r="C23" s="100">
        <f>'Прил.5 Расчет СМР и ОБ'!E54</f>
        <v>0.9</v>
      </c>
      <c r="D23" s="99"/>
      <c r="E23" s="7"/>
    </row>
    <row r="24" spans="2:7" x14ac:dyDescent="0.25">
      <c r="B24" s="7" t="s">
        <v>137</v>
      </c>
      <c r="C24" s="98">
        <f>C19+C20+C22</f>
        <v>151650.18</v>
      </c>
      <c r="D24" s="99">
        <f>C24/$C$24</f>
        <v>1</v>
      </c>
      <c r="E24" s="99">
        <f>C24/$C$40</f>
        <v>0.16571464544521999</v>
      </c>
    </row>
    <row r="25" spans="2:7" ht="25.5" customHeight="1" x14ac:dyDescent="0.25">
      <c r="B25" s="7" t="s">
        <v>138</v>
      </c>
      <c r="C25" s="98">
        <f>'Прил.5 Расчет СМР и ОБ'!J33</f>
        <v>636000</v>
      </c>
      <c r="D25" s="99"/>
      <c r="E25" s="99">
        <f>C25/$C$40</f>
        <v>0.69498443393316001</v>
      </c>
    </row>
    <row r="26" spans="2:7" ht="25.5" customHeight="1" x14ac:dyDescent="0.25">
      <c r="B26" s="7" t="s">
        <v>139</v>
      </c>
      <c r="C26" s="98">
        <f>C25</f>
        <v>636000</v>
      </c>
      <c r="D26" s="99"/>
      <c r="E26" s="99">
        <f>C26/$C$40</f>
        <v>0.69498443393316001</v>
      </c>
    </row>
    <row r="27" spans="2:7" x14ac:dyDescent="0.25">
      <c r="B27" s="7" t="s">
        <v>140</v>
      </c>
      <c r="C27" s="101">
        <f>C24+C25</f>
        <v>787650.18</v>
      </c>
      <c r="D27" s="99"/>
      <c r="E27" s="99">
        <f>C27/$C$40</f>
        <v>0.86069907937837997</v>
      </c>
    </row>
    <row r="28" spans="2:7" ht="33" customHeight="1" x14ac:dyDescent="0.25">
      <c r="B28" s="7" t="s">
        <v>141</v>
      </c>
      <c r="C28" s="7"/>
      <c r="D28" s="7"/>
      <c r="E28" s="7"/>
    </row>
    <row r="29" spans="2:7" ht="25.5" customHeight="1" x14ac:dyDescent="0.25">
      <c r="B29" s="7" t="s">
        <v>142</v>
      </c>
      <c r="C29" s="101">
        <f>ROUND(C24*3.9%,2)</f>
        <v>5914.36</v>
      </c>
      <c r="D29" s="7"/>
      <c r="E29" s="99">
        <f t="shared" ref="E29:E38" si="2">C29/$C$40</f>
        <v>6.4628744287373004E-3</v>
      </c>
    </row>
    <row r="30" spans="2:7" ht="38.25" customHeight="1" x14ac:dyDescent="0.25">
      <c r="B30" s="7" t="s">
        <v>143</v>
      </c>
      <c r="C30" s="101">
        <f>ROUND((C24+C29)*2.1%,2)</f>
        <v>3308.86</v>
      </c>
      <c r="D30" s="7"/>
      <c r="E30" s="99">
        <f t="shared" si="2"/>
        <v>3.6157330095347002E-3</v>
      </c>
    </row>
    <row r="31" spans="2:7" x14ac:dyDescent="0.25">
      <c r="B31" s="7" t="s">
        <v>144</v>
      </c>
      <c r="C31" s="101">
        <v>71285.850000000006</v>
      </c>
      <c r="D31" s="7"/>
      <c r="E31" s="99">
        <f t="shared" si="2"/>
        <v>7.7897100801405994E-2</v>
      </c>
    </row>
    <row r="32" spans="2:7" ht="25.5" customHeight="1" x14ac:dyDescent="0.25">
      <c r="B32" s="7" t="s">
        <v>145</v>
      </c>
      <c r="C32" s="101">
        <f>ROUND(C27*0%,2)</f>
        <v>0</v>
      </c>
      <c r="D32" s="7"/>
      <c r="E32" s="99">
        <f t="shared" si="2"/>
        <v>0</v>
      </c>
    </row>
    <row r="33" spans="2:12" ht="25.5" customHeight="1" x14ac:dyDescent="0.25">
      <c r="B33" s="7" t="s">
        <v>146</v>
      </c>
      <c r="C33" s="101">
        <f>ROUND(C27*0%,2)</f>
        <v>0</v>
      </c>
      <c r="D33" s="7"/>
      <c r="E33" s="99">
        <f t="shared" si="2"/>
        <v>0</v>
      </c>
    </row>
    <row r="34" spans="2:12" ht="51" customHeight="1" x14ac:dyDescent="0.25">
      <c r="B34" s="7" t="s">
        <v>147</v>
      </c>
      <c r="C34" s="101">
        <f>ROUND(C26*0%,2)</f>
        <v>0</v>
      </c>
      <c r="D34" s="7"/>
      <c r="E34" s="99">
        <f t="shared" si="2"/>
        <v>0</v>
      </c>
    </row>
    <row r="35" spans="2:12" ht="76.5" customHeight="1" x14ac:dyDescent="0.25">
      <c r="B35" s="7" t="s">
        <v>148</v>
      </c>
      <c r="C35" s="101">
        <f>ROUND(C27*0%,2)</f>
        <v>0</v>
      </c>
      <c r="D35" s="7"/>
      <c r="E35" s="99">
        <f t="shared" si="2"/>
        <v>0</v>
      </c>
    </row>
    <row r="36" spans="2:12" ht="25.5" customHeight="1" x14ac:dyDescent="0.25">
      <c r="B36" s="7" t="s">
        <v>149</v>
      </c>
      <c r="C36" s="101">
        <f>ROUND((C27+C32+C33+C34+C35+C29+C31+C30)*2.14%,2)</f>
        <v>18578.61</v>
      </c>
      <c r="D36" s="7"/>
      <c r="E36" s="99">
        <f t="shared" si="2"/>
        <v>2.0301642695148999E-2</v>
      </c>
      <c r="G36" s="61"/>
      <c r="L36" s="18"/>
    </row>
    <row r="37" spans="2:12" x14ac:dyDescent="0.25">
      <c r="B37" s="7" t="s">
        <v>150</v>
      </c>
      <c r="C37" s="101">
        <f>ROUND((C27+C32+C33+C34+C35+C29+C31+C30)*0.2%,2)</f>
        <v>1736.32</v>
      </c>
      <c r="D37" s="7"/>
      <c r="E37" s="99">
        <f t="shared" si="2"/>
        <v>1.8973512143502999E-3</v>
      </c>
      <c r="G37" s="61"/>
      <c r="L37" s="18"/>
    </row>
    <row r="38" spans="2:12" ht="38.25" customHeight="1" x14ac:dyDescent="0.25">
      <c r="B38" s="7" t="s">
        <v>151</v>
      </c>
      <c r="C38" s="98">
        <f>C27+C32+C33+C34+C35+C29+C31+C30+C36+C37</f>
        <v>888474.18</v>
      </c>
      <c r="D38" s="7"/>
      <c r="E38" s="99">
        <f t="shared" si="2"/>
        <v>0.97087378152755999</v>
      </c>
    </row>
    <row r="39" spans="2:12" ht="13.5" customHeight="1" x14ac:dyDescent="0.25">
      <c r="B39" s="7" t="s">
        <v>152</v>
      </c>
      <c r="C39" s="98">
        <f>ROUND(C38*3%,2)</f>
        <v>26654.23</v>
      </c>
      <c r="D39" s="7"/>
      <c r="E39" s="99">
        <f>C39/$C$38</f>
        <v>3.0000005177415998E-2</v>
      </c>
    </row>
    <row r="40" spans="2:12" x14ac:dyDescent="0.25">
      <c r="B40" s="7" t="s">
        <v>153</v>
      </c>
      <c r="C40" s="98">
        <f>C39+C38</f>
        <v>915128.41</v>
      </c>
      <c r="D40" s="7"/>
      <c r="E40" s="99">
        <f>C40/$C$40</f>
        <v>1</v>
      </c>
    </row>
    <row r="41" spans="2:12" x14ac:dyDescent="0.25">
      <c r="B41" s="7" t="s">
        <v>154</v>
      </c>
      <c r="C41" s="98">
        <f>C40/'Прил.5 Расчет СМР и ОБ'!E58</f>
        <v>915128.41</v>
      </c>
      <c r="D41" s="7"/>
      <c r="E41" s="7"/>
    </row>
    <row r="42" spans="2:12" x14ac:dyDescent="0.25">
      <c r="B42" s="19"/>
      <c r="C42" s="6"/>
      <c r="D42" s="6"/>
      <c r="E42" s="6"/>
    </row>
    <row r="43" spans="2:12" s="129" customFormat="1" x14ac:dyDescent="0.25">
      <c r="B43" s="132" t="s">
        <v>285</v>
      </c>
      <c r="C43" s="130"/>
    </row>
    <row r="44" spans="2:12" s="129" customFormat="1" x14ac:dyDescent="0.25">
      <c r="B44" s="131" t="s">
        <v>33</v>
      </c>
      <c r="C44" s="130"/>
    </row>
    <row r="45" spans="2:12" s="129" customFormat="1" x14ac:dyDescent="0.25">
      <c r="B45" s="132"/>
      <c r="C45" s="130"/>
    </row>
    <row r="46" spans="2:12" s="129" customFormat="1" x14ac:dyDescent="0.25">
      <c r="B46" s="132" t="s">
        <v>286</v>
      </c>
      <c r="C46" s="130"/>
    </row>
    <row r="47" spans="2:12" s="129" customFormat="1" x14ac:dyDescent="0.25">
      <c r="B47" s="131" t="s">
        <v>34</v>
      </c>
      <c r="C47" s="130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2">
    <mergeCell ref="B4:E4"/>
    <mergeCell ref="B6:E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65"/>
  <sheetViews>
    <sheetView tabSelected="1" view="pageBreakPreview" topLeftCell="A2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81"/>
      <c r="J2" s="64" t="s">
        <v>155</v>
      </c>
    </row>
    <row r="4" spans="1:12" s="6" customFormat="1" ht="12.75" customHeight="1" x14ac:dyDescent="0.2">
      <c r="A4" s="164" t="s">
        <v>156</v>
      </c>
      <c r="B4" s="164"/>
      <c r="C4" s="164"/>
      <c r="D4" s="164"/>
      <c r="E4" s="164"/>
      <c r="F4" s="164"/>
      <c r="G4" s="164"/>
      <c r="H4" s="164"/>
      <c r="I4" s="53"/>
      <c r="J4" s="53"/>
    </row>
    <row r="5" spans="1:12" s="6" customFormat="1" ht="12.75" customHeight="1" x14ac:dyDescent="0.2">
      <c r="A5" s="53"/>
      <c r="B5" s="53"/>
      <c r="C5" s="53"/>
      <c r="D5" s="53"/>
      <c r="E5" s="53"/>
      <c r="F5" s="53"/>
      <c r="G5" s="53"/>
      <c r="H5" s="53"/>
      <c r="I5" s="53"/>
      <c r="J5" s="53"/>
    </row>
    <row r="6" spans="1:12" s="6" customFormat="1" ht="41.25" customHeight="1" x14ac:dyDescent="0.2">
      <c r="B6" s="137" t="s">
        <v>157</v>
      </c>
      <c r="C6" s="95"/>
      <c r="D6" s="175" t="s">
        <v>158</v>
      </c>
      <c r="E6" s="175"/>
      <c r="F6" s="175"/>
      <c r="G6" s="175"/>
      <c r="H6" s="175"/>
      <c r="I6" s="175"/>
      <c r="J6" s="175"/>
    </row>
    <row r="7" spans="1:12" s="6" customFormat="1" ht="15.75" customHeight="1" x14ac:dyDescent="0.2">
      <c r="B7" s="96" t="str">
        <f>'Прил.1 Сравнит табл'!B8</f>
        <v>Единица измерения  — 1 ед.</v>
      </c>
      <c r="C7" s="84"/>
      <c r="D7" s="84"/>
      <c r="E7" s="19"/>
      <c r="F7" s="19"/>
      <c r="G7" s="19"/>
      <c r="H7" s="19"/>
      <c r="I7" s="54"/>
      <c r="J7" s="54"/>
    </row>
    <row r="8" spans="1:12" s="6" customFormat="1" ht="12.75" customHeight="1" x14ac:dyDescent="0.2"/>
    <row r="9" spans="1:12" ht="27" customHeight="1" x14ac:dyDescent="0.25">
      <c r="A9" s="166" t="s">
        <v>159</v>
      </c>
      <c r="B9" s="166" t="s">
        <v>56</v>
      </c>
      <c r="C9" s="166" t="s">
        <v>120</v>
      </c>
      <c r="D9" s="166" t="s">
        <v>58</v>
      </c>
      <c r="E9" s="179" t="s">
        <v>160</v>
      </c>
      <c r="F9" s="173" t="s">
        <v>60</v>
      </c>
      <c r="G9" s="174"/>
      <c r="H9" s="179" t="s">
        <v>161</v>
      </c>
      <c r="I9" s="173" t="s">
        <v>162</v>
      </c>
      <c r="J9" s="174"/>
    </row>
    <row r="10" spans="1:12" ht="28.5" customHeight="1" x14ac:dyDescent="0.25">
      <c r="A10" s="166"/>
      <c r="B10" s="166"/>
      <c r="C10" s="166"/>
      <c r="D10" s="166"/>
      <c r="E10" s="180"/>
      <c r="F10" s="2" t="s">
        <v>163</v>
      </c>
      <c r="G10" s="2" t="s">
        <v>62</v>
      </c>
      <c r="H10" s="180"/>
      <c r="I10" s="2" t="s">
        <v>163</v>
      </c>
      <c r="J10" s="2" t="s">
        <v>62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58" t="s">
        <v>164</v>
      </c>
      <c r="C12" s="165"/>
      <c r="D12" s="166"/>
      <c r="E12" s="167"/>
      <c r="F12" s="168"/>
      <c r="G12" s="168"/>
      <c r="H12" s="176"/>
      <c r="I12" s="106"/>
      <c r="J12" s="106"/>
      <c r="L12" s="92"/>
    </row>
    <row r="13" spans="1:12" ht="25.5" customHeight="1" x14ac:dyDescent="0.25">
      <c r="A13" s="2">
        <v>1</v>
      </c>
      <c r="B13" s="56" t="s">
        <v>65</v>
      </c>
      <c r="C13" s="3" t="s">
        <v>165</v>
      </c>
      <c r="D13" s="2" t="s">
        <v>166</v>
      </c>
      <c r="E13" s="107">
        <v>92.616424116424</v>
      </c>
      <c r="F13" s="14">
        <v>9.6199999999999992</v>
      </c>
      <c r="G13" s="14">
        <v>890.97</v>
      </c>
      <c r="H13" s="105">
        <f>G13/G14</f>
        <v>1</v>
      </c>
      <c r="I13" s="14">
        <f>ФОТр.тек.!E13</f>
        <v>444.39870291576</v>
      </c>
      <c r="J13" s="14">
        <f>ROUND(I13*E13,2)</f>
        <v>41158.620000000003</v>
      </c>
    </row>
    <row r="14" spans="1:12" s="1" customFormat="1" ht="25.5" customHeight="1" x14ac:dyDescent="0.25">
      <c r="A14" s="2"/>
      <c r="B14" s="2"/>
      <c r="C14" s="5" t="s">
        <v>167</v>
      </c>
      <c r="D14" s="2" t="s">
        <v>166</v>
      </c>
      <c r="E14" s="107">
        <f>SUM(E13:E13)</f>
        <v>92.616424116424</v>
      </c>
      <c r="F14" s="14"/>
      <c r="G14" s="14">
        <f>SUM(G13:G13)</f>
        <v>890.97</v>
      </c>
      <c r="H14" s="105">
        <v>1</v>
      </c>
      <c r="I14" s="14"/>
      <c r="J14" s="14">
        <f>SUM(J13:J13)</f>
        <v>41158.620000000003</v>
      </c>
      <c r="L14" s="93"/>
    </row>
    <row r="15" spans="1:12" s="1" customFormat="1" ht="14.25" customHeight="1" x14ac:dyDescent="0.2">
      <c r="A15" s="2"/>
      <c r="B15" s="165" t="s">
        <v>68</v>
      </c>
      <c r="C15" s="165"/>
      <c r="D15" s="166"/>
      <c r="E15" s="167"/>
      <c r="F15" s="168"/>
      <c r="G15" s="168"/>
      <c r="H15" s="176"/>
      <c r="I15" s="106"/>
      <c r="J15" s="106"/>
      <c r="L15" s="92"/>
    </row>
    <row r="16" spans="1:12" s="1" customFormat="1" ht="14.25" customHeight="1" x14ac:dyDescent="0.2">
      <c r="A16" s="2">
        <v>2</v>
      </c>
      <c r="B16" s="2">
        <v>2</v>
      </c>
      <c r="C16" s="3" t="s">
        <v>68</v>
      </c>
      <c r="D16" s="2" t="s">
        <v>166</v>
      </c>
      <c r="E16" s="107">
        <v>18.584399999999999</v>
      </c>
      <c r="F16" s="14">
        <f>G16/E16</f>
        <v>13.149092787499001</v>
      </c>
      <c r="G16" s="14">
        <v>244.36799999999999</v>
      </c>
      <c r="H16" s="105">
        <v>1</v>
      </c>
      <c r="I16" s="14">
        <f>ROUND(F16*Прил.10!D10,2)</f>
        <v>582.37</v>
      </c>
      <c r="J16" s="14">
        <f>ROUND(I16*E16,2)</f>
        <v>10823</v>
      </c>
      <c r="L16" s="58"/>
    </row>
    <row r="17" spans="1:12" s="1" customFormat="1" ht="14.25" customHeight="1" x14ac:dyDescent="0.2">
      <c r="A17" s="2"/>
      <c r="B17" s="158" t="s">
        <v>70</v>
      </c>
      <c r="C17" s="165"/>
      <c r="D17" s="166"/>
      <c r="E17" s="167"/>
      <c r="F17" s="168"/>
      <c r="G17" s="168"/>
      <c r="H17" s="169"/>
      <c r="I17" s="105"/>
      <c r="J17" s="105"/>
    </row>
    <row r="18" spans="1:12" s="1" customFormat="1" ht="14.25" customHeight="1" x14ac:dyDescent="0.2">
      <c r="A18" s="2"/>
      <c r="B18" s="165" t="s">
        <v>168</v>
      </c>
      <c r="C18" s="165"/>
      <c r="D18" s="166"/>
      <c r="E18" s="167"/>
      <c r="F18" s="168"/>
      <c r="G18" s="168"/>
      <c r="H18" s="176"/>
      <c r="I18" s="106"/>
      <c r="J18" s="106"/>
    </row>
    <row r="19" spans="1:12" s="1" customFormat="1" ht="25.5" customHeight="1" x14ac:dyDescent="0.2">
      <c r="A19" s="2">
        <v>3</v>
      </c>
      <c r="B19" s="56" t="s">
        <v>71</v>
      </c>
      <c r="C19" s="3" t="s">
        <v>72</v>
      </c>
      <c r="D19" s="2" t="s">
        <v>73</v>
      </c>
      <c r="E19" s="107">
        <v>11.4</v>
      </c>
      <c r="F19" s="9">
        <v>131.44</v>
      </c>
      <c r="G19" s="14">
        <f>ROUND(E19*F19,2)</f>
        <v>1498.42</v>
      </c>
      <c r="H19" s="105">
        <f>G19/$G$26</f>
        <v>0.83357161532941004</v>
      </c>
      <c r="I19" s="14">
        <f>ROUND(F19*Прил.10!$D$11,2)</f>
        <v>1770.5</v>
      </c>
      <c r="J19" s="14">
        <f>ROUND(I19*E19,2)</f>
        <v>20183.7</v>
      </c>
    </row>
    <row r="20" spans="1:12" s="1" customFormat="1" ht="25.5" customHeight="1" x14ac:dyDescent="0.2">
      <c r="A20" s="2">
        <v>4</v>
      </c>
      <c r="B20" s="56" t="s">
        <v>74</v>
      </c>
      <c r="C20" s="3" t="s">
        <v>75</v>
      </c>
      <c r="D20" s="2" t="s">
        <v>73</v>
      </c>
      <c r="E20" s="107">
        <v>5.7</v>
      </c>
      <c r="F20" s="9">
        <v>29.6</v>
      </c>
      <c r="G20" s="14">
        <f>ROUND(E20*F20,2)</f>
        <v>168.72</v>
      </c>
      <c r="H20" s="105">
        <f>G20/$G$26</f>
        <v>9.3859000105697005E-2</v>
      </c>
      <c r="I20" s="14">
        <f>ROUND(F20*Прил.10!$D$11,2)</f>
        <v>398.71</v>
      </c>
      <c r="J20" s="14">
        <f>ROUND(I20*E20,2)</f>
        <v>2272.65</v>
      </c>
    </row>
    <row r="21" spans="1:12" s="1" customFormat="1" ht="14.25" customHeight="1" x14ac:dyDescent="0.2">
      <c r="B21" s="2"/>
      <c r="C21" s="3" t="s">
        <v>169</v>
      </c>
      <c r="D21" s="2"/>
      <c r="E21" s="108"/>
      <c r="F21" s="14"/>
      <c r="G21" s="14">
        <f>SUM(G19:G20)</f>
        <v>1667.14</v>
      </c>
      <c r="H21" s="105">
        <f>G21/G26</f>
        <v>0.92743061543510996</v>
      </c>
      <c r="I21" s="14"/>
      <c r="J21" s="14">
        <f>SUM(J19:J20)</f>
        <v>22456.35</v>
      </c>
      <c r="L21" s="55"/>
    </row>
    <row r="22" spans="1:12" s="1" customFormat="1" ht="25.5" customHeight="1" outlineLevel="1" x14ac:dyDescent="0.2">
      <c r="A22" s="2">
        <v>5</v>
      </c>
      <c r="B22" s="56" t="s">
        <v>76</v>
      </c>
      <c r="C22" s="3" t="s">
        <v>77</v>
      </c>
      <c r="D22" s="2" t="s">
        <v>73</v>
      </c>
      <c r="E22" s="107">
        <v>0.56000000000000005</v>
      </c>
      <c r="F22" s="9">
        <v>111.99</v>
      </c>
      <c r="G22" s="14">
        <f>ROUND(E22*F22,2)</f>
        <v>62.71</v>
      </c>
      <c r="H22" s="105">
        <f>G22/$G$26</f>
        <v>3.4885596826863E-2</v>
      </c>
      <c r="I22" s="14">
        <f>ROUND(F22*Прил.10!$D$11,2)</f>
        <v>1508.51</v>
      </c>
      <c r="J22" s="14">
        <f>ROUND(I22*E22,2)</f>
        <v>844.77</v>
      </c>
      <c r="L22" s="55"/>
    </row>
    <row r="23" spans="1:12" s="1" customFormat="1" ht="25.5" customHeight="1" outlineLevel="1" x14ac:dyDescent="0.2">
      <c r="A23" s="2">
        <v>6</v>
      </c>
      <c r="B23" s="56" t="s">
        <v>78</v>
      </c>
      <c r="C23" s="3" t="s">
        <v>79</v>
      </c>
      <c r="D23" s="2" t="s">
        <v>73</v>
      </c>
      <c r="E23" s="107">
        <v>0.56000000000000005</v>
      </c>
      <c r="F23" s="9">
        <v>65.709999999999994</v>
      </c>
      <c r="G23" s="14">
        <f>ROUND(E23*F23,2)</f>
        <v>36.799999999999997</v>
      </c>
      <c r="H23" s="105">
        <f>G23/$G$26</f>
        <v>2.0471853982275998E-2</v>
      </c>
      <c r="I23" s="14">
        <f>ROUND(F23*Прил.10!$D$11,2)</f>
        <v>885.11</v>
      </c>
      <c r="J23" s="14">
        <f>ROUND(I23*E23,2)</f>
        <v>495.66</v>
      </c>
      <c r="L23" s="55"/>
    </row>
    <row r="24" spans="1:12" s="1" customFormat="1" ht="25.5" customHeight="1" outlineLevel="1" x14ac:dyDescent="0.2">
      <c r="A24" s="2">
        <v>7</v>
      </c>
      <c r="B24" s="56" t="s">
        <v>80</v>
      </c>
      <c r="C24" s="3" t="s">
        <v>81</v>
      </c>
      <c r="D24" s="2" t="s">
        <v>73</v>
      </c>
      <c r="E24" s="107">
        <v>3.82</v>
      </c>
      <c r="F24" s="9">
        <v>8.1</v>
      </c>
      <c r="G24" s="14">
        <f>ROUND(E24*F24,2)</f>
        <v>30.94</v>
      </c>
      <c r="H24" s="105">
        <f>G24/$G$26</f>
        <v>1.7211933755750999E-2</v>
      </c>
      <c r="I24" s="14">
        <f>ROUND(F24*Прил.10!$D$11,2)</f>
        <v>109.11</v>
      </c>
      <c r="J24" s="14">
        <f>ROUND(I24*E24,2)</f>
        <v>416.8</v>
      </c>
      <c r="L24" s="55"/>
    </row>
    <row r="25" spans="1:12" s="1" customFormat="1" ht="14.25" customHeight="1" x14ac:dyDescent="0.2">
      <c r="A25" s="2"/>
      <c r="B25" s="2"/>
      <c r="C25" s="3" t="s">
        <v>170</v>
      </c>
      <c r="D25" s="2"/>
      <c r="E25" s="104"/>
      <c r="F25" s="14"/>
      <c r="G25" s="14">
        <f>SUM(G22:G24)</f>
        <v>130.44999999999999</v>
      </c>
      <c r="H25" s="105">
        <f>G25/G26</f>
        <v>7.2569384564889997E-2</v>
      </c>
      <c r="I25" s="14"/>
      <c r="J25" s="14">
        <f>SUM(J22:J24)</f>
        <v>1757.23</v>
      </c>
      <c r="K25" s="55"/>
      <c r="L25" s="92"/>
    </row>
    <row r="26" spans="1:12" s="1" customFormat="1" ht="25.5" customHeight="1" x14ac:dyDescent="0.2">
      <c r="A26" s="2"/>
      <c r="B26" s="102"/>
      <c r="C26" s="109" t="s">
        <v>171</v>
      </c>
      <c r="D26" s="102"/>
      <c r="E26" s="110"/>
      <c r="F26" s="111"/>
      <c r="G26" s="111">
        <f>G21+G25</f>
        <v>1797.59</v>
      </c>
      <c r="H26" s="112">
        <v>1</v>
      </c>
      <c r="I26" s="111"/>
      <c r="J26" s="111">
        <f>J21+J25</f>
        <v>24213.58</v>
      </c>
    </row>
    <row r="27" spans="1:12" x14ac:dyDescent="0.25">
      <c r="A27" s="113"/>
      <c r="B27" s="158" t="s">
        <v>172</v>
      </c>
      <c r="C27" s="158"/>
      <c r="D27" s="158"/>
      <c r="E27" s="158"/>
      <c r="F27" s="158"/>
      <c r="G27" s="158"/>
      <c r="H27" s="158"/>
      <c r="I27" s="158"/>
      <c r="J27" s="158"/>
    </row>
    <row r="28" spans="1:12" ht="15" customHeight="1" x14ac:dyDescent="0.25">
      <c r="A28" s="2"/>
      <c r="B28" s="177" t="s">
        <v>173</v>
      </c>
      <c r="C28" s="178"/>
      <c r="D28" s="178"/>
      <c r="E28" s="178"/>
      <c r="F28" s="178"/>
      <c r="G28" s="178"/>
      <c r="H28" s="178"/>
      <c r="I28" s="178"/>
      <c r="J28" s="178"/>
    </row>
    <row r="29" spans="1:12" x14ac:dyDescent="0.25">
      <c r="A29" s="102">
        <v>8</v>
      </c>
      <c r="B29" s="56" t="s">
        <v>174</v>
      </c>
      <c r="C29" s="146" t="s">
        <v>17</v>
      </c>
      <c r="D29" s="2" t="s">
        <v>175</v>
      </c>
      <c r="E29" s="107">
        <v>1</v>
      </c>
      <c r="F29" s="4">
        <f>ROUND(I29/Прил.10!$D$13,2)</f>
        <v>101597.44</v>
      </c>
      <c r="G29" s="14">
        <f>ROUND(E29*F29,2)</f>
        <v>101597.44</v>
      </c>
      <c r="H29" s="105">
        <f>G29/$G$32</f>
        <v>1</v>
      </c>
      <c r="I29" s="14">
        <v>636000</v>
      </c>
      <c r="J29" s="14">
        <f>ROUND(I29*E29,2)</f>
        <v>636000</v>
      </c>
    </row>
    <row r="30" spans="1:12" x14ac:dyDescent="0.25">
      <c r="A30" s="114"/>
      <c r="B30" s="115"/>
      <c r="C30" s="3" t="s">
        <v>176</v>
      </c>
      <c r="D30" s="2"/>
      <c r="E30" s="107"/>
      <c r="F30" s="4"/>
      <c r="G30" s="14">
        <f>SUM(G29:G29)</f>
        <v>101597.44</v>
      </c>
      <c r="H30" s="105">
        <f>G30/$G$32</f>
        <v>1</v>
      </c>
      <c r="I30" s="14"/>
      <c r="J30" s="14">
        <f>SUM(J29:J29)</f>
        <v>636000</v>
      </c>
      <c r="K30" s="55"/>
    </row>
    <row r="31" spans="1:12" x14ac:dyDescent="0.25">
      <c r="A31" s="114"/>
      <c r="B31" s="115"/>
      <c r="C31" s="3" t="s">
        <v>177</v>
      </c>
      <c r="D31" s="2"/>
      <c r="E31" s="104"/>
      <c r="F31" s="4"/>
      <c r="G31" s="14">
        <v>0</v>
      </c>
      <c r="H31" s="105">
        <f>G31/$G$32</f>
        <v>0</v>
      </c>
      <c r="I31" s="14"/>
      <c r="J31" s="14">
        <v>0</v>
      </c>
      <c r="K31" s="55"/>
      <c r="L31" s="92"/>
    </row>
    <row r="32" spans="1:12" x14ac:dyDescent="0.25">
      <c r="A32" s="103"/>
      <c r="B32" s="2"/>
      <c r="C32" s="5" t="s">
        <v>178</v>
      </c>
      <c r="D32" s="2"/>
      <c r="E32" s="104"/>
      <c r="F32" s="4"/>
      <c r="G32" s="14">
        <f>G30+G31</f>
        <v>101597.44</v>
      </c>
      <c r="H32" s="105">
        <f>(G30+G31)/G32</f>
        <v>1</v>
      </c>
      <c r="I32" s="14"/>
      <c r="J32" s="14">
        <f>J31+J30</f>
        <v>636000</v>
      </c>
      <c r="K32" s="55"/>
    </row>
    <row r="33" spans="1:11" ht="25.5" customHeight="1" x14ac:dyDescent="0.25">
      <c r="A33" s="2"/>
      <c r="B33" s="2"/>
      <c r="C33" s="3" t="s">
        <v>179</v>
      </c>
      <c r="D33" s="2"/>
      <c r="E33" s="104"/>
      <c r="F33" s="4"/>
      <c r="G33" s="14">
        <f>'Прил.6 Расчет ОБ'!G15</f>
        <v>101597.44</v>
      </c>
      <c r="H33" s="105">
        <f>G33/$G$32</f>
        <v>1</v>
      </c>
      <c r="I33" s="14"/>
      <c r="J33" s="14">
        <f>J32</f>
        <v>636000</v>
      </c>
      <c r="K33" s="55"/>
    </row>
    <row r="34" spans="1:11" s="1" customFormat="1" ht="14.25" customHeight="1" x14ac:dyDescent="0.2">
      <c r="A34" s="2"/>
      <c r="B34" s="170" t="s">
        <v>83</v>
      </c>
      <c r="C34" s="171"/>
      <c r="D34" s="171"/>
      <c r="E34" s="171"/>
      <c r="F34" s="171"/>
      <c r="G34" s="171"/>
      <c r="H34" s="171"/>
      <c r="I34" s="171"/>
      <c r="J34" s="172"/>
      <c r="K34" s="55"/>
    </row>
    <row r="35" spans="1:11" s="1" customFormat="1" ht="14.25" customHeight="1" x14ac:dyDescent="0.2">
      <c r="A35" s="2"/>
      <c r="B35" s="165" t="s">
        <v>180</v>
      </c>
      <c r="C35" s="165"/>
      <c r="D35" s="166"/>
      <c r="E35" s="167"/>
      <c r="F35" s="168"/>
      <c r="G35" s="168"/>
      <c r="H35" s="169"/>
      <c r="I35" s="105"/>
      <c r="J35" s="105"/>
    </row>
    <row r="36" spans="1:11" s="1" customFormat="1" ht="25.5" customHeight="1" x14ac:dyDescent="0.2">
      <c r="A36" s="2">
        <v>9</v>
      </c>
      <c r="B36" s="56" t="s">
        <v>84</v>
      </c>
      <c r="C36" s="3" t="s">
        <v>85</v>
      </c>
      <c r="D36" s="2" t="s">
        <v>86</v>
      </c>
      <c r="E36" s="107">
        <v>4.4999999999999997E-3</v>
      </c>
      <c r="F36" s="9">
        <v>53400</v>
      </c>
      <c r="G36" s="14">
        <f t="shared" ref="G36:G43" si="0">ROUND(E36*F36,2)</f>
        <v>240.3</v>
      </c>
      <c r="H36" s="105">
        <f t="shared" ref="H36:H50" si="1">G36/$G$52</f>
        <v>0.26589800050899998</v>
      </c>
      <c r="I36" s="14">
        <f>ROUND(F36*Прил.10!$D$12,2)</f>
        <v>429336</v>
      </c>
      <c r="J36" s="14">
        <f t="shared" ref="J36:J43" si="2">ROUND(I36*E36,2)</f>
        <v>1932.01</v>
      </c>
    </row>
    <row r="37" spans="1:11" s="1" customFormat="1" ht="25.5" customHeight="1" x14ac:dyDescent="0.2">
      <c r="A37" s="2">
        <v>10</v>
      </c>
      <c r="B37" s="56" t="s">
        <v>87</v>
      </c>
      <c r="C37" s="3" t="s">
        <v>88</v>
      </c>
      <c r="D37" s="2" t="s">
        <v>86</v>
      </c>
      <c r="E37" s="107">
        <v>4.7099999999999998E-3</v>
      </c>
      <c r="F37" s="9">
        <v>32007.25</v>
      </c>
      <c r="G37" s="14">
        <f t="shared" si="0"/>
        <v>150.75</v>
      </c>
      <c r="H37" s="105">
        <f t="shared" si="1"/>
        <v>0.16680867073130001</v>
      </c>
      <c r="I37" s="14">
        <f>ROUND(F37*Прил.10!$D$12,2)</f>
        <v>257338.29</v>
      </c>
      <c r="J37" s="14">
        <f t="shared" si="2"/>
        <v>1212.06</v>
      </c>
    </row>
    <row r="38" spans="1:11" s="1" customFormat="1" ht="25.5" customHeight="1" x14ac:dyDescent="0.2">
      <c r="A38" s="2">
        <v>11</v>
      </c>
      <c r="B38" s="56" t="s">
        <v>89</v>
      </c>
      <c r="C38" s="3" t="s">
        <v>90</v>
      </c>
      <c r="D38" s="2" t="s">
        <v>91</v>
      </c>
      <c r="E38" s="107">
        <v>0.8</v>
      </c>
      <c r="F38" s="9">
        <v>108.4</v>
      </c>
      <c r="G38" s="14">
        <f t="shared" si="0"/>
        <v>86.72</v>
      </c>
      <c r="H38" s="105">
        <f t="shared" si="1"/>
        <v>9.5957863521184003E-2</v>
      </c>
      <c r="I38" s="14">
        <f>ROUND(F38*Прил.10!$D$12,2)</f>
        <v>871.54</v>
      </c>
      <c r="J38" s="14">
        <f t="shared" si="2"/>
        <v>697.23</v>
      </c>
    </row>
    <row r="39" spans="1:11" s="1" customFormat="1" ht="14.25" customHeight="1" x14ac:dyDescent="0.2">
      <c r="A39" s="2">
        <v>12</v>
      </c>
      <c r="B39" s="56" t="s">
        <v>92</v>
      </c>
      <c r="C39" s="3" t="s">
        <v>93</v>
      </c>
      <c r="D39" s="2" t="s">
        <v>94</v>
      </c>
      <c r="E39" s="107">
        <v>2.86</v>
      </c>
      <c r="F39" s="9">
        <v>28.6</v>
      </c>
      <c r="G39" s="14">
        <f t="shared" si="0"/>
        <v>81.8</v>
      </c>
      <c r="H39" s="105">
        <f t="shared" si="1"/>
        <v>9.0513759640601002E-2</v>
      </c>
      <c r="I39" s="14">
        <f>ROUND(F39*Прил.10!$D$12,2)</f>
        <v>229.94</v>
      </c>
      <c r="J39" s="14">
        <f t="shared" si="2"/>
        <v>657.63</v>
      </c>
    </row>
    <row r="40" spans="1:11" s="1" customFormat="1" ht="25.5" customHeight="1" x14ac:dyDescent="0.2">
      <c r="A40" s="2">
        <v>13</v>
      </c>
      <c r="B40" s="56" t="s">
        <v>95</v>
      </c>
      <c r="C40" s="3" t="s">
        <v>96</v>
      </c>
      <c r="D40" s="2" t="s">
        <v>97</v>
      </c>
      <c r="E40" s="107">
        <v>0.01</v>
      </c>
      <c r="F40" s="9">
        <v>6505</v>
      </c>
      <c r="G40" s="14">
        <f t="shared" si="0"/>
        <v>65.05</v>
      </c>
      <c r="H40" s="105">
        <f t="shared" si="1"/>
        <v>7.1979462892677995E-2</v>
      </c>
      <c r="I40" s="14">
        <f>ROUND(F40*Прил.10!$D$12,2)</f>
        <v>52300.2</v>
      </c>
      <c r="J40" s="14">
        <f t="shared" si="2"/>
        <v>523</v>
      </c>
    </row>
    <row r="41" spans="1:11" s="1" customFormat="1" ht="14.25" customHeight="1" x14ac:dyDescent="0.2">
      <c r="A41" s="2">
        <v>14</v>
      </c>
      <c r="B41" s="56" t="s">
        <v>98</v>
      </c>
      <c r="C41" s="3" t="s">
        <v>99</v>
      </c>
      <c r="D41" s="2" t="s">
        <v>100</v>
      </c>
      <c r="E41" s="107">
        <v>0.8</v>
      </c>
      <c r="F41" s="9">
        <v>73.650000000000006</v>
      </c>
      <c r="G41" s="14">
        <f t="shared" si="0"/>
        <v>58.92</v>
      </c>
      <c r="H41" s="105">
        <f t="shared" si="1"/>
        <v>6.5196463545527994E-2</v>
      </c>
      <c r="I41" s="14">
        <f>ROUND(F41*Прил.10!$D$12,2)</f>
        <v>592.15</v>
      </c>
      <c r="J41" s="14">
        <f t="shared" si="2"/>
        <v>473.72</v>
      </c>
    </row>
    <row r="42" spans="1:11" s="1" customFormat="1" ht="38.25" customHeight="1" x14ac:dyDescent="0.2">
      <c r="A42" s="2">
        <v>15</v>
      </c>
      <c r="B42" s="56" t="s">
        <v>101</v>
      </c>
      <c r="C42" s="3" t="s">
        <v>102</v>
      </c>
      <c r="D42" s="2" t="s">
        <v>86</v>
      </c>
      <c r="E42" s="107">
        <v>0.01</v>
      </c>
      <c r="F42" s="9">
        <v>5000</v>
      </c>
      <c r="G42" s="14">
        <f t="shared" si="0"/>
        <v>50</v>
      </c>
      <c r="H42" s="105">
        <f t="shared" si="1"/>
        <v>5.5326258949022003E-2</v>
      </c>
      <c r="I42" s="14">
        <f>ROUND(F42*Прил.10!$D$12,2)</f>
        <v>40200</v>
      </c>
      <c r="J42" s="14">
        <f t="shared" si="2"/>
        <v>402</v>
      </c>
    </row>
    <row r="43" spans="1:11" s="1" customFormat="1" ht="14.25" customHeight="1" x14ac:dyDescent="0.2">
      <c r="A43" s="2">
        <v>16</v>
      </c>
      <c r="B43" s="56" t="s">
        <v>103</v>
      </c>
      <c r="C43" s="3" t="s">
        <v>104</v>
      </c>
      <c r="D43" s="2" t="s">
        <v>94</v>
      </c>
      <c r="E43" s="107">
        <v>1</v>
      </c>
      <c r="F43" s="9">
        <v>50</v>
      </c>
      <c r="G43" s="14">
        <f t="shared" si="0"/>
        <v>50</v>
      </c>
      <c r="H43" s="105">
        <f t="shared" si="1"/>
        <v>5.5326258949022003E-2</v>
      </c>
      <c r="I43" s="14">
        <f>ROUND(F43*Прил.10!$D$12,2)</f>
        <v>402</v>
      </c>
      <c r="J43" s="14">
        <f t="shared" si="2"/>
        <v>402</v>
      </c>
    </row>
    <row r="44" spans="1:11" s="1" customFormat="1" ht="14.25" customHeight="1" x14ac:dyDescent="0.2">
      <c r="B44" s="2"/>
      <c r="C44" s="3" t="s">
        <v>181</v>
      </c>
      <c r="D44" s="2"/>
      <c r="E44" s="107"/>
      <c r="F44" s="4"/>
      <c r="G44" s="14">
        <f>SUM(G36:G43)</f>
        <v>783.54</v>
      </c>
      <c r="H44" s="105">
        <f t="shared" si="1"/>
        <v>0.86700673873834</v>
      </c>
      <c r="I44" s="14"/>
      <c r="J44" s="14">
        <f>SUM(J36:J43)</f>
        <v>6299.65</v>
      </c>
      <c r="K44" s="55"/>
    </row>
    <row r="45" spans="1:11" s="1" customFormat="1" ht="25.5" customHeight="1" outlineLevel="1" x14ac:dyDescent="0.2">
      <c r="A45" s="2">
        <v>17</v>
      </c>
      <c r="B45" s="43" t="s">
        <v>105</v>
      </c>
      <c r="C45" s="3" t="s">
        <v>106</v>
      </c>
      <c r="D45" s="2" t="s">
        <v>94</v>
      </c>
      <c r="E45" s="107">
        <v>3.26</v>
      </c>
      <c r="F45" s="9">
        <v>10.57</v>
      </c>
      <c r="G45" s="14">
        <f t="shared" ref="G45:G50" si="3">ROUND(F45*E45,2)</f>
        <v>34.46</v>
      </c>
      <c r="H45" s="105">
        <f t="shared" si="1"/>
        <v>3.8130857667666003E-2</v>
      </c>
      <c r="I45" s="14">
        <f>ROUND(F45*Прил.10!$D$12,2)</f>
        <v>84.98</v>
      </c>
      <c r="J45" s="14">
        <f t="shared" ref="J45:J50" si="4">ROUND(I45*E45,2)</f>
        <v>277.02999999999997</v>
      </c>
    </row>
    <row r="46" spans="1:11" s="1" customFormat="1" ht="25.5" customHeight="1" outlineLevel="1" x14ac:dyDescent="0.2">
      <c r="A46" s="2">
        <v>18</v>
      </c>
      <c r="B46" s="56" t="s">
        <v>107</v>
      </c>
      <c r="C46" s="3" t="s">
        <v>108</v>
      </c>
      <c r="D46" s="2" t="s">
        <v>86</v>
      </c>
      <c r="E46" s="107">
        <v>8.0000000000000004E-4</v>
      </c>
      <c r="F46" s="9">
        <v>38890</v>
      </c>
      <c r="G46" s="14">
        <f t="shared" si="3"/>
        <v>31.11</v>
      </c>
      <c r="H46" s="105">
        <f t="shared" si="1"/>
        <v>3.4423998318082003E-2</v>
      </c>
      <c r="I46" s="14">
        <f>ROUND(F46*Прил.10!$D$12,2)</f>
        <v>312675.59999999998</v>
      </c>
      <c r="J46" s="14">
        <f t="shared" si="4"/>
        <v>250.14</v>
      </c>
    </row>
    <row r="47" spans="1:11" s="1" customFormat="1" ht="14.25" customHeight="1" outlineLevel="1" x14ac:dyDescent="0.2">
      <c r="A47" s="2">
        <v>19</v>
      </c>
      <c r="B47" s="56" t="s">
        <v>109</v>
      </c>
      <c r="C47" s="3" t="s">
        <v>110</v>
      </c>
      <c r="D47" s="2" t="s">
        <v>94</v>
      </c>
      <c r="E47" s="107">
        <v>3.02</v>
      </c>
      <c r="F47" s="9">
        <v>9.0399999999999991</v>
      </c>
      <c r="G47" s="14">
        <f t="shared" si="3"/>
        <v>27.3</v>
      </c>
      <c r="H47" s="105">
        <f t="shared" si="1"/>
        <v>3.0208137386166001E-2</v>
      </c>
      <c r="I47" s="14">
        <f>ROUND(F47*Прил.10!$D$12,2)</f>
        <v>72.680000000000007</v>
      </c>
      <c r="J47" s="14">
        <f t="shared" si="4"/>
        <v>219.49</v>
      </c>
    </row>
    <row r="48" spans="1:11" s="1" customFormat="1" ht="25.5" customHeight="1" outlineLevel="1" x14ac:dyDescent="0.2">
      <c r="A48" s="2">
        <v>20</v>
      </c>
      <c r="B48" s="56" t="s">
        <v>111</v>
      </c>
      <c r="C48" s="3" t="s">
        <v>112</v>
      </c>
      <c r="D48" s="2" t="s">
        <v>113</v>
      </c>
      <c r="E48" s="107">
        <v>17.47</v>
      </c>
      <c r="F48" s="9">
        <v>1</v>
      </c>
      <c r="G48" s="14">
        <f t="shared" si="3"/>
        <v>17.47</v>
      </c>
      <c r="H48" s="105">
        <f t="shared" si="1"/>
        <v>1.9330994876788E-2</v>
      </c>
      <c r="I48" s="14">
        <f>ROUND(F48*Прил.10!$D$12,2)</f>
        <v>8.0399999999999991</v>
      </c>
      <c r="J48" s="14">
        <f t="shared" si="4"/>
        <v>140.46</v>
      </c>
    </row>
    <row r="49" spans="1:12" s="1" customFormat="1" ht="25.5" customHeight="1" outlineLevel="1" x14ac:dyDescent="0.2">
      <c r="A49" s="2">
        <v>21</v>
      </c>
      <c r="B49" s="56" t="s">
        <v>114</v>
      </c>
      <c r="C49" s="3" t="s">
        <v>115</v>
      </c>
      <c r="D49" s="2" t="s">
        <v>94</v>
      </c>
      <c r="E49" s="107">
        <v>0.1</v>
      </c>
      <c r="F49" s="9">
        <v>68.05</v>
      </c>
      <c r="G49" s="14">
        <f t="shared" si="3"/>
        <v>6.81</v>
      </c>
      <c r="H49" s="105">
        <f t="shared" si="1"/>
        <v>7.5354364688568999E-3</v>
      </c>
      <c r="I49" s="14">
        <f>ROUND(F49*Прил.10!$D$12,2)</f>
        <v>547.12</v>
      </c>
      <c r="J49" s="14">
        <f t="shared" si="4"/>
        <v>54.71</v>
      </c>
    </row>
    <row r="50" spans="1:12" s="1" customFormat="1" ht="38.25" customHeight="1" outlineLevel="1" x14ac:dyDescent="0.2">
      <c r="A50" s="2">
        <v>22</v>
      </c>
      <c r="B50" s="56" t="s">
        <v>116</v>
      </c>
      <c r="C50" s="3" t="s">
        <v>117</v>
      </c>
      <c r="D50" s="2" t="s">
        <v>94</v>
      </c>
      <c r="E50" s="107">
        <v>0.1</v>
      </c>
      <c r="F50" s="9">
        <v>30.4</v>
      </c>
      <c r="G50" s="14">
        <f t="shared" si="3"/>
        <v>3.04</v>
      </c>
      <c r="H50" s="105">
        <f t="shared" si="1"/>
        <v>3.3638365441005999E-3</v>
      </c>
      <c r="I50" s="14">
        <f>ROUND(F50*Прил.10!$D$12,2)</f>
        <v>244.42</v>
      </c>
      <c r="J50" s="14">
        <f t="shared" si="4"/>
        <v>24.44</v>
      </c>
    </row>
    <row r="51" spans="1:12" s="1" customFormat="1" ht="14.25" customHeight="1" x14ac:dyDescent="0.2">
      <c r="A51" s="2"/>
      <c r="B51" s="2"/>
      <c r="C51" s="3" t="s">
        <v>182</v>
      </c>
      <c r="D51" s="2"/>
      <c r="E51" s="104"/>
      <c r="F51" s="4"/>
      <c r="G51" s="14">
        <f>SUM(G45:G50)</f>
        <v>120.19</v>
      </c>
      <c r="H51" s="105">
        <f>G51/G52</f>
        <v>0.13299326126166</v>
      </c>
      <c r="I51" s="14"/>
      <c r="J51" s="14">
        <f>SUM(J45:J50)</f>
        <v>966.27</v>
      </c>
      <c r="L51" s="92"/>
    </row>
    <row r="52" spans="1:12" s="1" customFormat="1" ht="14.25" customHeight="1" x14ac:dyDescent="0.2">
      <c r="A52" s="2"/>
      <c r="B52" s="2"/>
      <c r="C52" s="5" t="s">
        <v>183</v>
      </c>
      <c r="D52" s="2"/>
      <c r="E52" s="104"/>
      <c r="F52" s="4"/>
      <c r="G52" s="14">
        <f>G44+G51</f>
        <v>903.73</v>
      </c>
      <c r="H52" s="105">
        <v>1</v>
      </c>
      <c r="I52" s="4"/>
      <c r="J52" s="14">
        <f>J44+J51</f>
        <v>7265.92</v>
      </c>
      <c r="K52" s="55"/>
    </row>
    <row r="53" spans="1:12" s="1" customFormat="1" ht="14.25" customHeight="1" x14ac:dyDescent="0.2">
      <c r="A53" s="2"/>
      <c r="B53" s="2"/>
      <c r="C53" s="3" t="s">
        <v>184</v>
      </c>
      <c r="D53" s="2"/>
      <c r="E53" s="104"/>
      <c r="F53" s="4"/>
      <c r="G53" s="14">
        <f>G14+G26+G52</f>
        <v>3592.29</v>
      </c>
      <c r="H53" s="105"/>
      <c r="I53" s="4"/>
      <c r="J53" s="14">
        <f>J14+J26+J52</f>
        <v>72638.12</v>
      </c>
    </row>
    <row r="54" spans="1:12" s="1" customFormat="1" ht="14.25" customHeight="1" x14ac:dyDescent="0.2">
      <c r="A54" s="2"/>
      <c r="B54" s="2"/>
      <c r="C54" s="3" t="s">
        <v>185</v>
      </c>
      <c r="D54" s="2" t="s">
        <v>186</v>
      </c>
      <c r="E54" s="116">
        <f>ROUND(G54/(G14+G16),2)</f>
        <v>0.9</v>
      </c>
      <c r="F54" s="4"/>
      <c r="G54" s="14">
        <v>1023.28</v>
      </c>
      <c r="H54" s="105"/>
      <c r="I54" s="4"/>
      <c r="J54" s="14">
        <f>ROUND(E54*(J14+J16),2)</f>
        <v>46783.46</v>
      </c>
      <c r="K54" s="57"/>
    </row>
    <row r="55" spans="1:12" s="1" customFormat="1" ht="14.25" customHeight="1" x14ac:dyDescent="0.2">
      <c r="A55" s="2"/>
      <c r="B55" s="2"/>
      <c r="C55" s="3" t="s">
        <v>187</v>
      </c>
      <c r="D55" s="2" t="s">
        <v>186</v>
      </c>
      <c r="E55" s="116">
        <f>ROUND(G55/(G14+G16),2)</f>
        <v>0.62</v>
      </c>
      <c r="F55" s="4"/>
      <c r="G55" s="14">
        <v>700.14</v>
      </c>
      <c r="H55" s="105"/>
      <c r="I55" s="4"/>
      <c r="J55" s="14">
        <f>ROUND(E55*(J14+J16),2)</f>
        <v>32228.6</v>
      </c>
      <c r="K55" s="57"/>
    </row>
    <row r="56" spans="1:12" s="1" customFormat="1" ht="14.25" customHeight="1" x14ac:dyDescent="0.2">
      <c r="A56" s="2"/>
      <c r="B56" s="2"/>
      <c r="C56" s="3" t="s">
        <v>188</v>
      </c>
      <c r="D56" s="2"/>
      <c r="E56" s="104"/>
      <c r="F56" s="4"/>
      <c r="G56" s="14">
        <f>G14+G26+G52+G54+G55</f>
        <v>5315.71</v>
      </c>
      <c r="H56" s="105"/>
      <c r="I56" s="4"/>
      <c r="J56" s="14">
        <f>J14+J26+J52+J54+J55</f>
        <v>151650.18</v>
      </c>
      <c r="L56" s="58"/>
    </row>
    <row r="57" spans="1:12" s="1" customFormat="1" ht="14.25" customHeight="1" x14ac:dyDescent="0.2">
      <c r="A57" s="2"/>
      <c r="B57" s="2"/>
      <c r="C57" s="3" t="s">
        <v>189</v>
      </c>
      <c r="D57" s="2"/>
      <c r="E57" s="104"/>
      <c r="F57" s="4"/>
      <c r="G57" s="14">
        <f>G56+G32</f>
        <v>106913.15</v>
      </c>
      <c r="H57" s="105"/>
      <c r="I57" s="4"/>
      <c r="J57" s="14">
        <f>J56+J32</f>
        <v>787650.18</v>
      </c>
      <c r="L57" s="57"/>
    </row>
    <row r="58" spans="1:12" s="1" customFormat="1" ht="14.25" customHeight="1" x14ac:dyDescent="0.2">
      <c r="A58" s="2"/>
      <c r="B58" s="2"/>
      <c r="C58" s="3" t="s">
        <v>154</v>
      </c>
      <c r="D58" s="2" t="s">
        <v>190</v>
      </c>
      <c r="E58" s="117">
        <v>1</v>
      </c>
      <c r="F58" s="4"/>
      <c r="G58" s="14">
        <f>G57/E58</f>
        <v>106913.15</v>
      </c>
      <c r="H58" s="105"/>
      <c r="I58" s="4"/>
      <c r="J58" s="14">
        <f>J57/E58</f>
        <v>787650.18</v>
      </c>
      <c r="L58" s="92"/>
    </row>
    <row r="60" spans="1:12" s="1" customFormat="1" ht="14.25" customHeight="1" x14ac:dyDescent="0.2">
      <c r="A60" s="10"/>
    </row>
    <row r="61" spans="1:12" s="129" customFormat="1" x14ac:dyDescent="0.25">
      <c r="B61" s="132" t="s">
        <v>285</v>
      </c>
      <c r="C61" s="130"/>
    </row>
    <row r="62" spans="1:12" s="129" customFormat="1" x14ac:dyDescent="0.25">
      <c r="B62" s="131" t="s">
        <v>33</v>
      </c>
      <c r="C62" s="130"/>
    </row>
    <row r="63" spans="1:12" s="129" customFormat="1" x14ac:dyDescent="0.25">
      <c r="B63" s="132"/>
      <c r="C63" s="130"/>
    </row>
    <row r="64" spans="1:12" s="129" customFormat="1" x14ac:dyDescent="0.25">
      <c r="B64" s="132" t="s">
        <v>286</v>
      </c>
      <c r="C64" s="130"/>
    </row>
    <row r="65" spans="2:3" s="129" customFormat="1" x14ac:dyDescent="0.25">
      <c r="B65" s="131" t="s">
        <v>34</v>
      </c>
      <c r="C65" s="130"/>
    </row>
  </sheetData>
  <sheetProtection formatCells="0" formatColumns="0" formatRows="0" insertColumns="0" insertRows="0" insertHyperlinks="0" deleteColumns="0" deleteRows="0" sort="0" autoFilter="0" pivotTables="0"/>
  <mergeCells count="18">
    <mergeCell ref="A4:H4"/>
    <mergeCell ref="A9:A10"/>
    <mergeCell ref="B9:B10"/>
    <mergeCell ref="C9:C10"/>
    <mergeCell ref="D9:D10"/>
    <mergeCell ref="E9:E10"/>
    <mergeCell ref="F9:G9"/>
    <mergeCell ref="H9:H10"/>
    <mergeCell ref="B35:H35"/>
    <mergeCell ref="B27:J27"/>
    <mergeCell ref="B34:J34"/>
    <mergeCell ref="I9:J9"/>
    <mergeCell ref="D6:J6"/>
    <mergeCell ref="B17:H17"/>
    <mergeCell ref="B18:H18"/>
    <mergeCell ref="B28:J28"/>
    <mergeCell ref="B12:H12"/>
    <mergeCell ref="B15:H1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58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85" t="s">
        <v>191</v>
      </c>
      <c r="B1" s="185"/>
      <c r="C1" s="185"/>
      <c r="D1" s="185"/>
      <c r="E1" s="185"/>
      <c r="F1" s="185"/>
      <c r="G1" s="185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64" t="s">
        <v>192</v>
      </c>
      <c r="B5" s="164"/>
      <c r="C5" s="164"/>
      <c r="D5" s="164"/>
      <c r="E5" s="164"/>
      <c r="F5" s="164"/>
      <c r="G5" s="164"/>
    </row>
    <row r="6" spans="1:7" ht="64.5" customHeight="1" x14ac:dyDescent="0.25">
      <c r="A6" s="153" t="str">
        <f>'Прил.1 Сравнит табл'!B6</f>
        <v>Наименование разрабатываемого показателя УНЦ - Ввод линейный (выключателя, трансформатора) на одну фазу (номинальный ток, 1000 А и выше) без устройства фундамента напряжение 110 кВ</v>
      </c>
      <c r="B6" s="153"/>
      <c r="C6" s="153"/>
      <c r="D6" s="153"/>
      <c r="E6" s="153"/>
      <c r="F6" s="153"/>
      <c r="G6" s="153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86" t="s">
        <v>159</v>
      </c>
      <c r="B8" s="186" t="s">
        <v>56</v>
      </c>
      <c r="C8" s="186" t="s">
        <v>120</v>
      </c>
      <c r="D8" s="186" t="s">
        <v>58</v>
      </c>
      <c r="E8" s="179" t="s">
        <v>160</v>
      </c>
      <c r="F8" s="186" t="s">
        <v>60</v>
      </c>
      <c r="G8" s="186"/>
    </row>
    <row r="9" spans="1:7" x14ac:dyDescent="0.25">
      <c r="A9" s="186"/>
      <c r="B9" s="186"/>
      <c r="C9" s="186"/>
      <c r="D9" s="186"/>
      <c r="E9" s="180"/>
      <c r="F9" s="2" t="s">
        <v>163</v>
      </c>
      <c r="G9" s="2" t="s">
        <v>62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81" t="s">
        <v>193</v>
      </c>
      <c r="C11" s="182"/>
      <c r="D11" s="182"/>
      <c r="E11" s="182"/>
      <c r="F11" s="182"/>
      <c r="G11" s="183"/>
    </row>
    <row r="12" spans="1:7" ht="27" customHeight="1" x14ac:dyDescent="0.25">
      <c r="A12" s="2"/>
      <c r="B12" s="5"/>
      <c r="C12" s="3" t="s">
        <v>194</v>
      </c>
      <c r="D12" s="5"/>
      <c r="E12" s="8"/>
      <c r="F12" s="4"/>
      <c r="G12" s="4">
        <v>0</v>
      </c>
    </row>
    <row r="13" spans="1:7" x14ac:dyDescent="0.25">
      <c r="A13" s="2"/>
      <c r="B13" s="165" t="s">
        <v>195</v>
      </c>
      <c r="C13" s="165"/>
      <c r="D13" s="165"/>
      <c r="E13" s="184"/>
      <c r="F13" s="168"/>
      <c r="G13" s="168"/>
    </row>
    <row r="14" spans="1:7" x14ac:dyDescent="0.25">
      <c r="A14" s="2">
        <v>1</v>
      </c>
      <c r="B14" s="56" t="str">
        <f>'Прил.5 Расчет СМР и ОБ'!B29</f>
        <v>БЦ.5.1.20</v>
      </c>
      <c r="C14" s="97" t="str">
        <f>'Прил.5 Расчет СМР и ОБ'!C29</f>
        <v>Ввод трансформатора 110 кВ</v>
      </c>
      <c r="D14" s="56" t="str">
        <f>'Прил.5 Расчет СМР и ОБ'!D29</f>
        <v>к-т</v>
      </c>
      <c r="E14" s="56">
        <f>'Прил.5 Расчет СМР и ОБ'!E29</f>
        <v>1</v>
      </c>
      <c r="F14" s="14">
        <f>'Прил.5 Расчет СМР и ОБ'!F29</f>
        <v>101597.44</v>
      </c>
      <c r="G14" s="14">
        <f>ROUND(E14*F14,2)</f>
        <v>101597.44</v>
      </c>
    </row>
    <row r="15" spans="1:7" ht="25.5" customHeight="1" x14ac:dyDescent="0.25">
      <c r="A15" s="2"/>
      <c r="B15" s="12"/>
      <c r="C15" s="12" t="s">
        <v>196</v>
      </c>
      <c r="D15" s="12"/>
      <c r="E15" s="13"/>
      <c r="F15" s="4"/>
      <c r="G15" s="14">
        <f>SUM(G14:G14)</f>
        <v>101597.44</v>
      </c>
    </row>
    <row r="16" spans="1:7" ht="19.5" customHeight="1" x14ac:dyDescent="0.25">
      <c r="A16" s="2"/>
      <c r="B16" s="3"/>
      <c r="C16" s="3" t="s">
        <v>197</v>
      </c>
      <c r="D16" s="3"/>
      <c r="E16" s="9"/>
      <c r="F16" s="4"/>
      <c r="G16" s="14">
        <f>G12+G15</f>
        <v>101597.44</v>
      </c>
    </row>
    <row r="17" spans="1:7" x14ac:dyDescent="0.25">
      <c r="A17" s="10"/>
      <c r="B17" s="11"/>
      <c r="C17" s="10"/>
      <c r="D17" s="10"/>
      <c r="E17" s="10"/>
      <c r="F17" s="10"/>
      <c r="G17" s="10"/>
    </row>
    <row r="18" spans="1:7" s="129" customFormat="1" x14ac:dyDescent="0.25">
      <c r="B18" s="132" t="s">
        <v>285</v>
      </c>
      <c r="C18" s="130"/>
    </row>
    <row r="19" spans="1:7" s="129" customFormat="1" x14ac:dyDescent="0.25">
      <c r="B19" s="131" t="s">
        <v>33</v>
      </c>
      <c r="C19" s="130"/>
    </row>
    <row r="20" spans="1:7" s="129" customFormat="1" x14ac:dyDescent="0.25">
      <c r="B20" s="132"/>
      <c r="C20" s="130"/>
    </row>
    <row r="21" spans="1:7" s="129" customFormat="1" x14ac:dyDescent="0.25">
      <c r="B21" s="132" t="s">
        <v>286</v>
      </c>
      <c r="C21" s="130"/>
    </row>
    <row r="22" spans="1:7" s="129" customFormat="1" x14ac:dyDescent="0.25">
      <c r="B22" s="131" t="s">
        <v>34</v>
      </c>
      <c r="C22" s="13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18"/>
      <c r="C1" s="118"/>
      <c r="D1" s="119" t="s">
        <v>198</v>
      </c>
    </row>
    <row r="2" spans="1:5" x14ac:dyDescent="0.25">
      <c r="A2" s="119"/>
      <c r="B2" s="119"/>
      <c r="C2" s="119"/>
      <c r="D2" s="119"/>
    </row>
    <row r="3" spans="1:5" ht="24.75" customHeight="1" x14ac:dyDescent="0.25">
      <c r="A3" s="164" t="s">
        <v>199</v>
      </c>
      <c r="B3" s="164"/>
      <c r="C3" s="164"/>
      <c r="D3" s="164"/>
    </row>
    <row r="4" spans="1:5" ht="24.75" customHeight="1" x14ac:dyDescent="0.25">
      <c r="A4" s="120"/>
      <c r="B4" s="120"/>
      <c r="C4" s="120"/>
      <c r="D4" s="120"/>
    </row>
    <row r="5" spans="1:5" ht="92.25" customHeight="1" x14ac:dyDescent="0.25">
      <c r="A5" s="187" t="s">
        <v>200</v>
      </c>
      <c r="B5" s="187"/>
      <c r="C5" s="187"/>
      <c r="D5" s="121" t="str">
        <f>'Прил.5 Расчет СМР и ОБ'!D6:J6</f>
        <v>Ввод линейный (выключателя, трансформатора) на одну фазу (номинальный ток, 1000 А и выше) без устройства фундамента напряжение 110 кВ</v>
      </c>
    </row>
    <row r="6" spans="1:5" ht="19.899999999999999" customHeight="1" x14ac:dyDescent="0.25">
      <c r="A6" s="187" t="s">
        <v>201</v>
      </c>
      <c r="B6" s="187"/>
      <c r="C6" s="187"/>
      <c r="D6" s="121"/>
    </row>
    <row r="7" spans="1:5" x14ac:dyDescent="0.25">
      <c r="A7" s="118"/>
      <c r="B7" s="118"/>
      <c r="C7" s="118"/>
      <c r="D7" s="118"/>
    </row>
    <row r="8" spans="1:5" ht="14.45" customHeight="1" x14ac:dyDescent="0.25">
      <c r="A8" s="162" t="s">
        <v>202</v>
      </c>
      <c r="B8" s="162" t="s">
        <v>203</v>
      </c>
      <c r="C8" s="162" t="s">
        <v>204</v>
      </c>
      <c r="D8" s="162" t="s">
        <v>205</v>
      </c>
    </row>
    <row r="9" spans="1:5" ht="15" customHeight="1" x14ac:dyDescent="0.25">
      <c r="A9" s="162"/>
      <c r="B9" s="162"/>
      <c r="C9" s="162"/>
      <c r="D9" s="162"/>
    </row>
    <row r="10" spans="1:5" x14ac:dyDescent="0.25">
      <c r="A10" s="122">
        <v>1</v>
      </c>
      <c r="B10" s="122">
        <v>2</v>
      </c>
      <c r="C10" s="122">
        <v>3</v>
      </c>
      <c r="D10" s="122">
        <v>4</v>
      </c>
    </row>
    <row r="11" spans="1:5" ht="61.5" customHeight="1" x14ac:dyDescent="0.25">
      <c r="A11" s="122" t="s">
        <v>206</v>
      </c>
      <c r="B11" s="122" t="s">
        <v>207</v>
      </c>
      <c r="C11" s="126" t="str">
        <f>D5</f>
        <v>Ввод линейный (выключателя, трансформатора) на одну фазу (номинальный ток, 1000 А и выше) без устройства фундамента напряжение 110 кВ</v>
      </c>
      <c r="D11" s="127">
        <f>'Прил.4 РМ'!C41/1000</f>
        <v>915.12841000000003</v>
      </c>
      <c r="E11" s="123"/>
    </row>
    <row r="12" spans="1:5" x14ac:dyDescent="0.25">
      <c r="A12" s="124"/>
      <c r="B12" s="125"/>
      <c r="C12" s="124"/>
      <c r="D12" s="124"/>
    </row>
    <row r="13" spans="1:5" s="129" customFormat="1" x14ac:dyDescent="0.25">
      <c r="B13" s="132" t="s">
        <v>285</v>
      </c>
      <c r="C13" s="130"/>
    </row>
    <row r="14" spans="1:5" s="129" customFormat="1" x14ac:dyDescent="0.25">
      <c r="B14" s="131" t="s">
        <v>33</v>
      </c>
      <c r="C14" s="130"/>
    </row>
    <row r="15" spans="1:5" s="129" customFormat="1" x14ac:dyDescent="0.25">
      <c r="B15" s="132"/>
      <c r="C15" s="130"/>
    </row>
    <row r="16" spans="1:5" s="129" customFormat="1" x14ac:dyDescent="0.25">
      <c r="B16" s="132" t="s">
        <v>286</v>
      </c>
      <c r="C16" s="130"/>
    </row>
    <row r="17" spans="2:3" s="129" customFormat="1" x14ac:dyDescent="0.25">
      <c r="B17" s="131" t="s">
        <v>34</v>
      </c>
      <c r="C17" s="13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6" zoomScale="60" zoomScaleNormal="85" workbookViewId="0">
      <selection activeCell="A26" sqref="A26:XFD30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50" t="s">
        <v>208</v>
      </c>
      <c r="C4" s="150"/>
      <c r="D4" s="150"/>
    </row>
    <row r="5" spans="2:4" ht="18.75" customHeight="1" x14ac:dyDescent="0.25">
      <c r="B5" s="35"/>
    </row>
    <row r="6" spans="2:4" ht="15.75" customHeight="1" x14ac:dyDescent="0.25">
      <c r="B6" s="156" t="s">
        <v>209</v>
      </c>
      <c r="C6" s="156"/>
      <c r="D6" s="156"/>
    </row>
    <row r="7" spans="2:4" ht="18.75" customHeight="1" x14ac:dyDescent="0.25">
      <c r="B7" s="36"/>
    </row>
    <row r="8" spans="2:4" ht="47.25" customHeight="1" x14ac:dyDescent="0.25">
      <c r="B8" s="37" t="s">
        <v>210</v>
      </c>
      <c r="C8" s="37" t="s">
        <v>211</v>
      </c>
      <c r="D8" s="37" t="s">
        <v>212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45" customHeight="1" x14ac:dyDescent="0.25">
      <c r="B10" s="37" t="s">
        <v>213</v>
      </c>
      <c r="C10" s="37" t="s">
        <v>214</v>
      </c>
      <c r="D10" s="37">
        <v>44.29</v>
      </c>
    </row>
    <row r="11" spans="2:4" ht="29.25" customHeight="1" x14ac:dyDescent="0.25">
      <c r="B11" s="37" t="s">
        <v>215</v>
      </c>
      <c r="C11" s="37" t="s">
        <v>214</v>
      </c>
      <c r="D11" s="37">
        <v>13.47</v>
      </c>
    </row>
    <row r="12" spans="2:4" ht="29.25" customHeight="1" x14ac:dyDescent="0.25">
      <c r="B12" s="37" t="s">
        <v>216</v>
      </c>
      <c r="C12" s="37" t="s">
        <v>214</v>
      </c>
      <c r="D12" s="37">
        <v>8.0399999999999991</v>
      </c>
    </row>
    <row r="13" spans="2:4" ht="30.75" customHeight="1" x14ac:dyDescent="0.25">
      <c r="B13" s="37" t="s">
        <v>217</v>
      </c>
      <c r="C13" s="38" t="s">
        <v>218</v>
      </c>
      <c r="D13" s="37">
        <v>6.26</v>
      </c>
    </row>
    <row r="14" spans="2:4" ht="89.25" customHeight="1" x14ac:dyDescent="0.25">
      <c r="B14" s="37" t="s">
        <v>219</v>
      </c>
      <c r="C14" s="37" t="s">
        <v>220</v>
      </c>
      <c r="D14" s="41">
        <v>3.9E-2</v>
      </c>
    </row>
    <row r="15" spans="2:4" ht="78.75" customHeight="1" x14ac:dyDescent="0.25">
      <c r="B15" s="37" t="s">
        <v>221</v>
      </c>
      <c r="C15" s="37" t="s">
        <v>222</v>
      </c>
      <c r="D15" s="41">
        <v>2.1000000000000001E-2</v>
      </c>
    </row>
    <row r="16" spans="2:4" ht="34.5" customHeight="1" x14ac:dyDescent="0.25">
      <c r="B16" s="37" t="s">
        <v>144</v>
      </c>
      <c r="C16" s="37"/>
      <c r="D16" s="37" t="s">
        <v>223</v>
      </c>
    </row>
    <row r="17" spans="2:4" ht="31.5" customHeight="1" x14ac:dyDescent="0.25">
      <c r="B17" s="37" t="s">
        <v>224</v>
      </c>
      <c r="C17" s="37" t="s">
        <v>225</v>
      </c>
      <c r="D17" s="41">
        <v>2.1399999999999999E-2</v>
      </c>
    </row>
    <row r="18" spans="2:4" ht="31.5" customHeight="1" x14ac:dyDescent="0.25">
      <c r="B18" s="37" t="s">
        <v>150</v>
      </c>
      <c r="C18" s="37" t="s">
        <v>226</v>
      </c>
      <c r="D18" s="41">
        <v>2E-3</v>
      </c>
    </row>
    <row r="19" spans="2:4" ht="24" customHeight="1" x14ac:dyDescent="0.25">
      <c r="B19" s="37" t="s">
        <v>152</v>
      </c>
      <c r="C19" s="37" t="s">
        <v>227</v>
      </c>
      <c r="D19" s="41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s="129" customFormat="1" x14ac:dyDescent="0.25">
      <c r="B26" s="132" t="s">
        <v>285</v>
      </c>
      <c r="C26" s="130"/>
    </row>
    <row r="27" spans="2:4" s="129" customFormat="1" x14ac:dyDescent="0.25">
      <c r="B27" s="131" t="s">
        <v>33</v>
      </c>
      <c r="C27" s="130"/>
    </row>
    <row r="28" spans="2:4" s="129" customFormat="1" x14ac:dyDescent="0.25">
      <c r="B28" s="132"/>
      <c r="C28" s="130"/>
    </row>
    <row r="29" spans="2:4" s="129" customFormat="1" x14ac:dyDescent="0.25">
      <c r="B29" s="132" t="s">
        <v>286</v>
      </c>
      <c r="C29" s="130"/>
    </row>
    <row r="30" spans="2:4" s="129" customFormat="1" x14ac:dyDescent="0.25">
      <c r="B30" s="131" t="s">
        <v>34</v>
      </c>
      <c r="C30" s="130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topLeftCell="A7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8" t="s">
        <v>228</v>
      </c>
      <c r="B2" s="188"/>
      <c r="C2" s="188"/>
      <c r="D2" s="188"/>
      <c r="E2" s="188"/>
      <c r="F2" s="188"/>
    </row>
    <row r="4" spans="1:7" ht="18" customHeight="1" x14ac:dyDescent="0.25">
      <c r="A4" s="20" t="s">
        <v>229</v>
      </c>
    </row>
    <row r="5" spans="1:7" x14ac:dyDescent="0.25">
      <c r="A5" s="21" t="s">
        <v>159</v>
      </c>
      <c r="B5" s="21" t="s">
        <v>230</v>
      </c>
      <c r="C5" s="21" t="s">
        <v>231</v>
      </c>
      <c r="D5" s="21" t="s">
        <v>232</v>
      </c>
      <c r="E5" s="21" t="s">
        <v>233</v>
      </c>
      <c r="F5" s="21" t="s">
        <v>234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235</v>
      </c>
      <c r="B7" s="24" t="s">
        <v>236</v>
      </c>
      <c r="C7" s="23" t="s">
        <v>237</v>
      </c>
      <c r="D7" s="23" t="s">
        <v>238</v>
      </c>
      <c r="E7" s="25">
        <v>47872.94</v>
      </c>
      <c r="F7" s="24" t="s">
        <v>239</v>
      </c>
    </row>
    <row r="8" spans="1:7" ht="30" customHeight="1" x14ac:dyDescent="0.25">
      <c r="A8" s="22" t="s">
        <v>240</v>
      </c>
      <c r="B8" s="24" t="s">
        <v>241</v>
      </c>
      <c r="C8" s="23" t="s">
        <v>242</v>
      </c>
      <c r="D8" s="23" t="s">
        <v>243</v>
      </c>
      <c r="E8" s="25">
        <f>1973/12</f>
        <v>164.41666666667001</v>
      </c>
      <c r="F8" s="24" t="s">
        <v>244</v>
      </c>
      <c r="G8" s="26"/>
    </row>
    <row r="9" spans="1:7" x14ac:dyDescent="0.25">
      <c r="A9" s="22" t="s">
        <v>245</v>
      </c>
      <c r="B9" s="24" t="s">
        <v>246</v>
      </c>
      <c r="C9" s="23" t="s">
        <v>247</v>
      </c>
      <c r="D9" s="23" t="s">
        <v>238</v>
      </c>
      <c r="E9" s="25">
        <v>1</v>
      </c>
      <c r="F9" s="24"/>
      <c r="G9" s="27"/>
    </row>
    <row r="10" spans="1:7" x14ac:dyDescent="0.25">
      <c r="A10" s="22" t="s">
        <v>248</v>
      </c>
      <c r="B10" s="24" t="s">
        <v>249</v>
      </c>
      <c r="C10" s="23"/>
      <c r="D10" s="23"/>
      <c r="E10" s="28">
        <v>4</v>
      </c>
      <c r="F10" s="24" t="s">
        <v>250</v>
      </c>
      <c r="G10" s="27"/>
    </row>
    <row r="11" spans="1:7" ht="75" customHeight="1" x14ac:dyDescent="0.25">
      <c r="A11" s="22" t="s">
        <v>251</v>
      </c>
      <c r="B11" s="24" t="s">
        <v>252</v>
      </c>
      <c r="C11" s="23" t="s">
        <v>253</v>
      </c>
      <c r="D11" s="23" t="s">
        <v>238</v>
      </c>
      <c r="E11" s="29">
        <v>1.34</v>
      </c>
      <c r="F11" s="24" t="s">
        <v>254</v>
      </c>
    </row>
    <row r="12" spans="1:7" ht="75" customHeight="1" x14ac:dyDescent="0.25">
      <c r="A12" s="22" t="s">
        <v>255</v>
      </c>
      <c r="B12" s="30" t="s">
        <v>256</v>
      </c>
      <c r="C12" s="23" t="s">
        <v>257</v>
      </c>
      <c r="D12" s="23" t="s">
        <v>238</v>
      </c>
      <c r="E12" s="31">
        <v>1.139</v>
      </c>
      <c r="F12" s="32" t="s">
        <v>258</v>
      </c>
      <c r="G12" s="27" t="s">
        <v>259</v>
      </c>
    </row>
    <row r="13" spans="1:7" ht="60" customHeight="1" x14ac:dyDescent="0.25">
      <c r="A13" s="22" t="s">
        <v>260</v>
      </c>
      <c r="B13" s="33" t="s">
        <v>261</v>
      </c>
      <c r="C13" s="23" t="s">
        <v>262</v>
      </c>
      <c r="D13" s="23" t="s">
        <v>263</v>
      </c>
      <c r="E13" s="34">
        <f>((E7*E9/E8)*E11)*E12</f>
        <v>444.39870291576</v>
      </c>
      <c r="F13" s="24" t="s">
        <v>264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12</vt:i4>
      </vt:variant>
    </vt:vector>
  </HeadingPairs>
  <TitlesOfParts>
    <vt:vector size="23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2023-11-30T10:03:06Z</cp:lastPrinted>
  <dcterms:created xsi:type="dcterms:W3CDTF">2020-09-30T08:50:27Z</dcterms:created>
  <dcterms:modified xsi:type="dcterms:W3CDTF">2023-11-30T10:03:10Z</dcterms:modified>
  <cp:category/>
</cp:coreProperties>
</file>