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4370" windowHeight="11805" tabRatio="924" firstSheet="3" activeTab="3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стоим'!$A$1:$J$28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IF(Прил.3!n_3=1,Прил.3!n_2,Прил.3!n_3&amp;Прил.3!n_1)</definedName>
    <definedName name="n1x" localSheetId="2">IF(Прил.3!n_3=1,Прил.3!n_2,Прил.3!n_3&amp;Прил.3!n_5)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Titles" localSheetId="2">'Прил.3'!$9:$11</definedName>
    <definedName name="_xlnm.Print_Area" localSheetId="2">'Прил.3'!$A$1:$H$62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ОБ'!$A$1:$J$78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xlnm.Primt_Area_3" localSheetId="6">#REF!</definedName>
    <definedName name="__qs2" localSheetId="6">#REF!</definedName>
    <definedName name="__xlnm.Primt_Area_3" localSheetId="6">#REF!</definedName>
    <definedName name="_02121" localSheetId="6">#REF!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IF('Прил.7 Расчет пок.'!n_3=1,'Прил.7 Расчет пок.'!n_2,'Прил.7 Расчет пок.'!n_3&amp;'Прил.7 Расчет пок.'!n_1)</definedName>
    <definedName name="n1x" localSheetId="6">IF('Прил.7 Расчет пок.'!n_3=1,'Прил.7 Расчет пок.'!n_2,'Прил.7 Расчет пок.'!n_3&amp;'Прил.7 Расчет пок.'!n_5)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IF(Прил.10!n_3=1,Прил.10!n_2,Прил.10!n_3&amp;Прил.10!n_1)</definedName>
    <definedName name="n1x" localSheetId="7">IF(Прил.10!n_3=1,Прил.10!n_2,Прил.10!n_3&amp;Прил.10!n_5)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</definedNames>
  <calcPr calcId="162913" fullCalcOnLoad="1"/>
</workbook>
</file>

<file path=xl/styles.xml><?xml version="1.0" encoding="utf-8"?>
<styleSheet xmlns="http://schemas.openxmlformats.org/spreadsheetml/2006/main">
  <numFmts count="8">
    <numFmt numFmtId="164" formatCode="_-* #,##0\ _₽_-;\-* #,##0\ _₽_-;_-* &quot;-&quot;??\ _₽_-;_-@_-"/>
    <numFmt numFmtId="165" formatCode="#,##0.0000"/>
    <numFmt numFmtId="166" formatCode="0.0000"/>
    <numFmt numFmtId="167" formatCode="0.000"/>
    <numFmt numFmtId="168" formatCode="0.00000"/>
    <numFmt numFmtId="169" formatCode="#,##0.0"/>
    <numFmt numFmtId="170" formatCode="#,##0.000"/>
    <numFmt numFmtId="171" formatCode="_-* #,##0.00\ _₽_-;\-* #,##0.00\ _₽_-;_-* &quot;-&quot;??\ _₽_-;_-@_-"/>
  </numFmts>
  <fonts count="31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b val="1"/>
      <color rgb="FF000000"/>
      <sz val="14"/>
    </font>
    <font>
      <name val="Times New Roman"/>
      <color rgb="FF000000"/>
      <sz val="11"/>
    </font>
    <font>
      <name val="Times New Roman"/>
      <color rgb="FF0000FF"/>
      <sz val="12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Arial"/>
      <color rgb="FF000000"/>
      <sz val="10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5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0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0" fontId="14" fillId="2" borderId="1" applyAlignment="1" pivotButton="0" quotePrefix="0" xfId="0">
      <alignment horizontal="left" vertical="center" wrapText="1"/>
    </xf>
    <xf numFmtId="4" fontId="14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43" fontId="6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justify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justify" vertical="center"/>
    </xf>
    <xf numFmtId="0" fontId="16" fillId="0" borderId="1" applyAlignment="1" pivotButton="0" quotePrefix="0" xfId="0">
      <alignment horizontal="center" vertical="center" wrapText="1"/>
    </xf>
    <xf numFmtId="10" fontId="16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5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4" fillId="0" borderId="0" pivotButton="0" quotePrefix="0" xfId="0"/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4" fontId="1" fillId="0" borderId="2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10" fontId="18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165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4" fontId="1" fillId="0" borderId="0" applyAlignment="1" pivotButton="0" quotePrefix="0" xfId="0">
      <alignment vertical="center" wrapText="1"/>
    </xf>
    <xf numFmtId="0" fontId="1" fillId="0" borderId="5" applyAlignment="1" pivotButton="0" quotePrefix="0" xfId="0">
      <alignment horizontal="center" vertical="center" wrapText="1"/>
    </xf>
    <xf numFmtId="0" fontId="4" fillId="0" borderId="5" pivotButton="0" quotePrefix="0" xfId="0"/>
    <xf numFmtId="49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4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justify" vertical="center"/>
    </xf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19" fillId="0" borderId="0" applyAlignment="1" pivotButton="0" quotePrefix="0" xfId="0">
      <alignment wrapText="1"/>
    </xf>
    <xf numFmtId="0" fontId="16" fillId="0" borderId="2" applyAlignment="1" pivotButton="0" quotePrefix="0" xfId="0">
      <alignment horizontal="justify" vertical="center" wrapText="1"/>
    </xf>
    <xf numFmtId="0" fontId="16" fillId="0" borderId="2" applyAlignment="1" pivotButton="0" quotePrefix="0" xfId="0">
      <alignment vertical="center" wrapText="1"/>
    </xf>
    <xf numFmtId="49" fontId="16" fillId="0" borderId="1" applyAlignment="1" pivotButton="0" quotePrefix="0" xfId="0">
      <alignment horizontal="center" vertical="center" wrapText="1"/>
    </xf>
    <xf numFmtId="0" fontId="19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6" fillId="0" borderId="1" applyAlignment="1" pivotButton="0" quotePrefix="0" xfId="0">
      <alignment vertical="top"/>
    </xf>
    <xf numFmtId="0" fontId="20" fillId="0" borderId="0" pivotButton="0" quotePrefix="0" xfId="0"/>
    <xf numFmtId="4" fontId="20" fillId="0" borderId="1" applyAlignment="1" pivotButton="0" quotePrefix="0" xfId="0">
      <alignment vertical="top"/>
    </xf>
    <xf numFmtId="0" fontId="20" fillId="0" borderId="1" applyAlignment="1" pivotButton="0" quotePrefix="0" xfId="0">
      <alignment vertical="top"/>
    </xf>
    <xf numFmtId="14" fontId="16" fillId="0" borderId="1" applyAlignment="1" pivotButton="0" quotePrefix="0" xfId="0">
      <alignment vertical="top"/>
    </xf>
    <xf numFmtId="0" fontId="16" fillId="0" borderId="5" applyAlignment="1" pivotButton="0" quotePrefix="0" xfId="0">
      <alignment horizontal="center" vertical="center" wrapText="1"/>
    </xf>
    <xf numFmtId="10" fontId="16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vertical="center"/>
    </xf>
    <xf numFmtId="4" fontId="0" fillId="0" borderId="0" pivotButton="0" quotePrefix="0" xfId="0"/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horizontal="right" vertical="center"/>
    </xf>
    <xf numFmtId="43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0" fontId="1" fillId="0" borderId="0" applyAlignment="1" pivotButton="0" quotePrefix="0" xfId="0">
      <alignment horizontal="right"/>
    </xf>
    <xf numFmtId="4" fontId="19" fillId="0" borderId="0" applyAlignment="1" pivotButton="0" quotePrefix="0" xfId="0">
      <alignment wrapText="1"/>
    </xf>
    <xf numFmtId="0" fontId="17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justify" vertical="center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167" fontId="1" fillId="0" borderId="1" applyAlignment="1" pivotButton="0" quotePrefix="0" xfId="0">
      <alignment horizontal="center" vertical="top" wrapText="1"/>
    </xf>
    <xf numFmtId="4" fontId="1" fillId="0" borderId="1" applyAlignment="1" pivotButton="0" quotePrefix="0" xfId="0">
      <alignment horizontal="right" vertical="top" wrapText="1"/>
    </xf>
    <xf numFmtId="4" fontId="1" fillId="0" borderId="1" applyAlignment="1" pivotButton="0" quotePrefix="0" xfId="0">
      <alignment horizontal="right" vertical="top" wrapText="1"/>
    </xf>
    <xf numFmtId="43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43" fontId="1" fillId="0" borderId="1" applyAlignment="1" pivotButton="0" quotePrefix="0" xfId="0">
      <alignment horizontal="right" vertical="top" wrapText="1"/>
    </xf>
    <xf numFmtId="1" fontId="1" fillId="0" borderId="1" applyAlignment="1" pivotButton="0" quotePrefix="0" xfId="0">
      <alignment horizontal="center" vertical="top" wrapText="1"/>
    </xf>
    <xf numFmtId="0" fontId="2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0" fontId="16" fillId="0" borderId="0" applyAlignment="1" pivotButton="0" quotePrefix="0" xfId="0">
      <alignment vertical="center"/>
    </xf>
    <xf numFmtId="4" fontId="1" fillId="0" borderId="0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right" vertical="top" wrapText="1"/>
    </xf>
    <xf numFmtId="49" fontId="1" fillId="0" borderId="1" applyAlignment="1" pivotButton="0" quotePrefix="0" xfId="0">
      <alignment horizontal="center" vertical="top" wrapText="1"/>
    </xf>
    <xf numFmtId="168" fontId="1" fillId="0" borderId="1" applyAlignment="1" pivotButton="0" quotePrefix="0" xfId="0">
      <alignment horizontal="center" vertical="top" wrapText="1"/>
    </xf>
    <xf numFmtId="49" fontId="1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6" fillId="0" borderId="0" pivotButton="0" quotePrefix="0" xfId="0"/>
    <xf numFmtId="0" fontId="0" fillId="0" borderId="0" pivotButton="0" quotePrefix="0" xfId="0"/>
    <xf numFmtId="0" fontId="20" fillId="0" borderId="0" pivotButton="0" quotePrefix="0" xfId="0"/>
    <xf numFmtId="4" fontId="16" fillId="0" borderId="0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4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1" fillId="0" borderId="0" applyAlignment="1" applyProtection="1" pivotButton="0" quotePrefix="0" xfId="0">
      <alignment horizontal="center" vertical="center" wrapText="1"/>
      <protection locked="0" hidden="0"/>
    </xf>
    <xf numFmtId="10" fontId="1" fillId="0" borderId="0" applyAlignment="1" applyProtection="1" pivotButton="0" quotePrefix="0" xfId="0">
      <alignment horizontal="center" vertical="center" wrapText="1"/>
      <protection locked="0" hidden="0"/>
    </xf>
    <xf numFmtId="0" fontId="22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49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23" fillId="0" borderId="0" applyAlignment="1" pivotButton="0" quotePrefix="0" xfId="0">
      <alignment vertical="center"/>
    </xf>
    <xf numFmtId="0" fontId="23" fillId="0" borderId="0" applyAlignment="1" pivotButton="0" quotePrefix="0" xfId="0">
      <alignment vertical="center"/>
    </xf>
    <xf numFmtId="169" fontId="16" fillId="0" borderId="1" applyAlignment="1" pivotButton="0" quotePrefix="0" xfId="0">
      <alignment horizontal="center" vertical="center"/>
    </xf>
    <xf numFmtId="170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vertical="center" wrapText="1"/>
    </xf>
    <xf numFmtId="166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wrapText="1"/>
    </xf>
    <xf numFmtId="14" fontId="16" fillId="0" borderId="0" applyAlignment="1" pivotButton="0" quotePrefix="0" xfId="0">
      <alignment vertical="center"/>
    </xf>
    <xf numFmtId="4" fontId="16" fillId="0" borderId="1" applyAlignment="1" pivotButton="0" quotePrefix="0" xfId="0">
      <alignment horizontal="center" vertical="center" wrapText="1"/>
    </xf>
    <xf numFmtId="14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1" pivotButton="0" quotePrefix="0" xfId="0"/>
    <xf numFmtId="0" fontId="16" fillId="0" borderId="5" applyAlignment="1" pivotButton="0" quotePrefix="0" xfId="0">
      <alignment horizontal="center" vertical="center" wrapText="1"/>
    </xf>
    <xf numFmtId="0" fontId="16" fillId="0" borderId="1" applyAlignment="1" pivotButton="0" quotePrefix="1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right" vertical="center"/>
    </xf>
    <xf numFmtId="4" fontId="16" fillId="0" borderId="1" applyAlignment="1" pivotButton="0" quotePrefix="0" xfId="0">
      <alignment horizontal="right" vertical="center" wrapText="1"/>
    </xf>
    <xf numFmtId="4" fontId="16" fillId="0" borderId="0" pivotButton="0" quotePrefix="0" xfId="0"/>
    <xf numFmtId="4" fontId="20" fillId="0" borderId="1" applyAlignment="1" pivotButton="0" quotePrefix="0" xfId="0">
      <alignment vertical="center" wrapText="1"/>
    </xf>
    <xf numFmtId="4" fontId="20" fillId="0" borderId="1" applyAlignment="1" pivotButton="0" quotePrefix="0" xfId="0">
      <alignment vertical="center" wrapText="1"/>
    </xf>
    <xf numFmtId="171" fontId="20" fillId="0" borderId="0" pivotButton="0" quotePrefix="0" xfId="0"/>
    <xf numFmtId="0" fontId="16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center" vertical="center" wrapText="1"/>
    </xf>
    <xf numFmtId="0" fontId="20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 wrapText="1"/>
    </xf>
    <xf numFmtId="0" fontId="20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49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7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9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left" vertical="center" wrapText="1"/>
    </xf>
    <xf numFmtId="0" fontId="2" fillId="0" borderId="10" applyAlignment="1" pivotButton="0" quotePrefix="0" xfId="0">
      <alignment horizontal="left" vertical="center" wrapText="1"/>
    </xf>
    <xf numFmtId="0" fontId="2" fillId="0" borderId="6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10" applyAlignment="1" pivotButton="0" quotePrefix="0" xfId="0">
      <alignment horizontal="left"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4" fontId="1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11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center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25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10" applyAlignment="1" pivotButton="0" quotePrefix="0" xfId="0">
      <alignment horizontal="center" vertical="center" wrapText="1"/>
    </xf>
    <xf numFmtId="0" fontId="0" fillId="4" borderId="6" applyAlignment="1" pivotButton="0" quotePrefix="0" xfId="0">
      <alignment horizontal="center" vertical="center" wrapText="1"/>
    </xf>
    <xf numFmtId="49" fontId="16" fillId="0" borderId="12" applyAlignment="1" pivotButton="0" quotePrefix="0" xfId="0">
      <alignment horizontal="center" vertical="center"/>
    </xf>
    <xf numFmtId="0" fontId="20" fillId="0" borderId="12" applyAlignment="1" pivotButton="0" quotePrefix="0" xfId="0">
      <alignment vertical="center" wrapText="1"/>
    </xf>
    <xf numFmtId="0" fontId="16" fillId="0" borderId="12" applyAlignment="1" pivotButton="0" quotePrefix="0" xfId="0">
      <alignment horizontal="center" vertical="center" wrapText="1"/>
    </xf>
    <xf numFmtId="4" fontId="20" fillId="0" borderId="12" applyAlignment="1" pivotButton="0" quotePrefix="0" xfId="0">
      <alignment horizontal="center" vertical="center"/>
    </xf>
    <xf numFmtId="0" fontId="16" fillId="0" borderId="12" applyAlignment="1" pivotButton="0" quotePrefix="0" xfId="0">
      <alignment horizontal="left" vertical="center" wrapText="1"/>
    </xf>
    <xf numFmtId="0" fontId="0" fillId="0" borderId="10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4" pivotButton="0" quotePrefix="0" xfId="0"/>
    <xf numFmtId="43" fontId="2" fillId="0" borderId="1" applyAlignment="1" pivotButton="0" quotePrefix="0" xfId="0">
      <alignment vertical="center" wrapText="1"/>
    </xf>
    <xf numFmtId="171" fontId="20" fillId="0" borderId="0" pivotButton="0" quotePrefix="0" xfId="0"/>
    <xf numFmtId="167" fontId="1" fillId="0" borderId="1" applyAlignment="1" pivotButton="0" quotePrefix="0" xfId="0">
      <alignment horizontal="center" vertical="top" wrapText="1"/>
    </xf>
    <xf numFmtId="168" fontId="1" fillId="0" borderId="1" applyAlignment="1" pivotButton="0" quotePrefix="0" xfId="0">
      <alignment horizontal="center" vertical="top" wrapText="1"/>
    </xf>
    <xf numFmtId="43" fontId="1" fillId="0" borderId="1" applyAlignment="1" pivotButton="0" quotePrefix="0" xfId="0">
      <alignment horizontal="right" vertical="top" wrapText="1"/>
    </xf>
    <xf numFmtId="43" fontId="0" fillId="0" borderId="0" pivotButton="0" quotePrefix="0" xfId="0"/>
    <xf numFmtId="165" fontId="1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166" fontId="1" fillId="0" borderId="1" applyAlignment="1" pivotButton="0" quotePrefix="0" xfId="0">
      <alignment horizontal="center" vertical="center" wrapText="1"/>
    </xf>
    <xf numFmtId="169" fontId="16" fillId="0" borderId="1" applyAlignment="1" pivotButton="0" quotePrefix="0" xfId="0">
      <alignment horizontal="center" vertical="center"/>
    </xf>
    <xf numFmtId="170" fontId="16" fillId="0" borderId="1" applyAlignment="1" pivotButton="0" quotePrefix="0" xfId="0">
      <alignment horizontal="center" vertical="center"/>
    </xf>
    <xf numFmtId="166" fontId="16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E32"/>
  <sheetViews>
    <sheetView tabSelected="1" view="pageBreakPreview" topLeftCell="A7" zoomScale="60" zoomScaleNormal="100" workbookViewId="0">
      <selection activeCell="C28" sqref="C28"/>
    </sheetView>
  </sheetViews>
  <sheetFormatPr baseColWidth="8" defaultColWidth="9.140625" defaultRowHeight="15.75"/>
  <cols>
    <col width="9.140625" customWidth="1" style="303" min="1" max="2"/>
    <col width="51.7109375" customWidth="1" style="303" min="3" max="3"/>
    <col width="51.42578125" customWidth="1" style="303" min="4" max="4"/>
    <col width="37.42578125" customWidth="1" style="303" min="5" max="5"/>
    <col width="9.140625" customWidth="1" style="303" min="6" max="6"/>
  </cols>
  <sheetData>
    <row r="3">
      <c r="B3" s="340" t="inlineStr">
        <is>
          <t>Приложение № 1</t>
        </is>
      </c>
    </row>
    <row r="4">
      <c r="B4" s="341" t="inlineStr">
        <is>
          <t>Сравнительная таблица отбора объекта-представителя</t>
        </is>
      </c>
    </row>
    <row r="5" ht="84" customHeight="1" s="301">
      <c r="B5" s="343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301">
      <c r="B6" s="251" t="n"/>
      <c r="C6" s="251" t="n"/>
      <c r="D6" s="251" t="n"/>
    </row>
    <row r="7" ht="64.5" customHeight="1" s="301">
      <c r="B7" s="342" t="inlineStr">
        <is>
          <t>Наименование разрабатываемого показателя УНЦ — Шкафы РЗА 1 архитектуры. Дифференциальная защита сборных шин 110 – 220 кВ (9 присоединений с жесткой фиксацией)</t>
        </is>
      </c>
    </row>
    <row r="8" ht="31.5" customHeight="1" s="301">
      <c r="B8" s="272" t="inlineStr">
        <is>
          <t xml:space="preserve">Сопоставимый уровень цен: </t>
        </is>
      </c>
      <c r="C8" s="272" t="n"/>
      <c r="D8" s="318">
        <f>D22</f>
        <v/>
      </c>
    </row>
    <row r="9" ht="15.75" customHeight="1" s="301">
      <c r="B9" s="342" t="inlineStr">
        <is>
          <t>Единица измерения  — 1 ед</t>
        </is>
      </c>
    </row>
    <row r="10">
      <c r="B10" s="342" t="n"/>
    </row>
    <row r="11">
      <c r="B11" s="345" t="inlineStr">
        <is>
          <t>№ п/п</t>
        </is>
      </c>
      <c r="C11" s="345" t="inlineStr">
        <is>
          <t>Параметр</t>
        </is>
      </c>
      <c r="D11" s="345" t="inlineStr">
        <is>
          <t>Объект-представитель</t>
        </is>
      </c>
      <c r="E11" s="228" t="n"/>
    </row>
    <row r="12">
      <c r="B12" s="345" t="n">
        <v>1</v>
      </c>
      <c r="C12" s="325" t="inlineStr">
        <is>
          <t>Наименование объекта-представителя</t>
        </is>
      </c>
      <c r="D12" s="300" t="inlineStr">
        <is>
          <t>ПС 500 кВ Преображенская (МЭС Урала)</t>
        </is>
      </c>
    </row>
    <row r="13">
      <c r="B13" s="345" t="n">
        <v>2</v>
      </c>
      <c r="C13" s="325" t="inlineStr">
        <is>
          <t>Наименование субъекта Российской Федерации</t>
        </is>
      </c>
      <c r="D13" s="300" t="inlineStr">
        <is>
          <t>Оренбургская область</t>
        </is>
      </c>
    </row>
    <row r="14">
      <c r="B14" s="345" t="n">
        <v>3</v>
      </c>
      <c r="C14" s="325" t="inlineStr">
        <is>
          <t>Климатический район и подрайон</t>
        </is>
      </c>
      <c r="D14" s="407" t="inlineStr">
        <is>
          <t>IIIА</t>
        </is>
      </c>
    </row>
    <row r="15">
      <c r="B15" s="345" t="n">
        <v>4</v>
      </c>
      <c r="C15" s="325" t="inlineStr">
        <is>
          <t>Мощность объекта</t>
        </is>
      </c>
      <c r="D15" s="300" t="n">
        <v>1</v>
      </c>
    </row>
    <row r="16" ht="63" customHeight="1" s="301">
      <c r="B16" s="345" t="n">
        <v>5</v>
      </c>
      <c r="C16" s="165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300" t="inlineStr">
        <is>
          <t>Дифференциальная защита сборных шин 110 – 220 кВ (9 присоединений с жесткой фиксацией)</t>
        </is>
      </c>
    </row>
    <row r="17" ht="63" customHeight="1" s="301">
      <c r="B17" s="345" t="n">
        <v>6</v>
      </c>
      <c r="C17" s="165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319">
        <f>D18+D19+D20+D21</f>
        <v/>
      </c>
      <c r="E17" s="250" t="n"/>
    </row>
    <row r="18">
      <c r="B18" s="227" t="inlineStr">
        <is>
          <t>6.1</t>
        </is>
      </c>
      <c r="C18" s="325" t="inlineStr">
        <is>
          <t>строительно-монтажные работы</t>
        </is>
      </c>
      <c r="D18" s="319">
        <f>'Прил.2 Расч стоим'!G13</f>
        <v/>
      </c>
    </row>
    <row r="19">
      <c r="B19" s="227" t="inlineStr">
        <is>
          <t>6.2</t>
        </is>
      </c>
      <c r="C19" s="325" t="inlineStr">
        <is>
          <t>оборудование и инвентарь</t>
        </is>
      </c>
      <c r="D19" s="319">
        <f>'Прил.2 Расч стоим'!H13</f>
        <v/>
      </c>
    </row>
    <row r="20">
      <c r="B20" s="227" t="inlineStr">
        <is>
          <t>6.3</t>
        </is>
      </c>
      <c r="C20" s="325" t="inlineStr">
        <is>
          <t>пусконаладочные работы</t>
        </is>
      </c>
      <c r="D20" s="319" t="n"/>
    </row>
    <row r="21">
      <c r="B21" s="227" t="inlineStr">
        <is>
          <t>6.4</t>
        </is>
      </c>
      <c r="C21" s="226" t="inlineStr">
        <is>
          <t>прочие и лимитированные затраты</t>
        </is>
      </c>
      <c r="D21" s="319">
        <f>D18*0.039+(D18*0.039+D18)*0.032</f>
        <v/>
      </c>
    </row>
    <row r="22">
      <c r="B22" s="345" t="n">
        <v>7</v>
      </c>
      <c r="C22" s="226" t="inlineStr">
        <is>
          <t>Сопоставимый уровень цен</t>
        </is>
      </c>
      <c r="D22" s="320" t="inlineStr">
        <is>
          <t>4 кв. 2016 г.</t>
        </is>
      </c>
      <c r="E22" s="224" t="n"/>
    </row>
    <row r="23" ht="78.75" customHeight="1" s="301">
      <c r="B23" s="345" t="n">
        <v>8</v>
      </c>
      <c r="C23" s="225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319">
        <f>D17</f>
        <v/>
      </c>
      <c r="E23" s="250" t="n"/>
    </row>
    <row r="24" ht="31.5" customHeight="1" s="301">
      <c r="B24" s="345" t="n">
        <v>9</v>
      </c>
      <c r="C24" s="165" t="inlineStr">
        <is>
          <t>Приведенная сметная стоимость на единицу мощности, тыс. руб. (строка 8/строку 4)</t>
        </is>
      </c>
      <c r="D24" s="319">
        <f>D23/D15</f>
        <v/>
      </c>
      <c r="E24" s="224" t="n"/>
    </row>
    <row r="25">
      <c r="B25" s="345" t="n">
        <v>10</v>
      </c>
      <c r="C25" s="325" t="inlineStr">
        <is>
          <t>Примечание</t>
        </is>
      </c>
      <c r="D25" s="345" t="n"/>
    </row>
    <row r="26">
      <c r="B26" s="222" t="n"/>
      <c r="C26" s="221" t="n"/>
      <c r="D26" s="221" t="n"/>
    </row>
    <row r="27">
      <c r="B27" s="272" t="n"/>
    </row>
    <row r="28">
      <c r="B28" s="303" t="inlineStr">
        <is>
          <t>Составил ______________________    Е. М. Добровольская</t>
        </is>
      </c>
    </row>
    <row r="29">
      <c r="B29" s="272" t="inlineStr">
        <is>
          <t xml:space="preserve">                         (подпись, инициалы, фамилия)</t>
        </is>
      </c>
    </row>
    <row r="31">
      <c r="B31" s="303" t="inlineStr">
        <is>
          <t>Проверил ______________________        А.В. Костянецкая</t>
        </is>
      </c>
    </row>
    <row r="32">
      <c r="B32" s="272" t="inlineStr">
        <is>
          <t xml:space="preserve">                        (подпись, инициалы, фамилия)</t>
        </is>
      </c>
    </row>
  </sheetData>
  <mergeCells count="5">
    <mergeCell ref="B3:D3"/>
    <mergeCell ref="B5:D5"/>
    <mergeCell ref="B4:D4"/>
    <mergeCell ref="B9:D9"/>
    <mergeCell ref="B7:D7"/>
  </mergeCells>
  <pageMargins left="0.7" right="0.7" top="0.75" bottom="0.75" header="0.3" footer="0.3"/>
  <pageSetup orientation="portrait" paperSize="9" scale="72" fitToHeight="0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L22"/>
  <sheetViews>
    <sheetView view="pageBreakPreview" zoomScaleNormal="70" workbookViewId="0">
      <selection activeCell="C18" sqref="C18"/>
    </sheetView>
  </sheetViews>
  <sheetFormatPr baseColWidth="8" defaultColWidth="9.140625" defaultRowHeight="15.75"/>
  <cols>
    <col width="5.5703125" customWidth="1" style="303" min="1" max="1"/>
    <col width="9.140625" customWidth="1" style="303" min="2" max="2"/>
    <col width="35.28515625" customWidth="1" style="303" min="3" max="3"/>
    <col width="13.85546875" customWidth="1" style="303" min="4" max="4"/>
    <col width="24.85546875" customWidth="1" style="303" min="5" max="5"/>
    <col width="15.5703125" customWidth="1" style="303" min="6" max="6"/>
    <col width="14.85546875" customWidth="1" style="303" min="7" max="7"/>
    <col width="16.7109375" customWidth="1" style="303" min="8" max="8"/>
    <col width="13" customWidth="1" style="303" min="9" max="10"/>
    <col width="11.42578125" customWidth="1" style="303" min="11" max="11"/>
    <col width="11.28515625" customWidth="1" style="303" min="12" max="12"/>
  </cols>
  <sheetData>
    <row r="3">
      <c r="B3" s="340" t="inlineStr">
        <is>
          <t>Приложение № 2</t>
        </is>
      </c>
      <c r="K3" s="272" t="n"/>
    </row>
    <row r="4">
      <c r="B4" s="341" t="inlineStr">
        <is>
          <t>Расчет стоимости основных видов работ для выбора объекта-представителя</t>
        </is>
      </c>
    </row>
    <row r="5">
      <c r="B5" s="229" t="n"/>
      <c r="C5" s="229" t="n"/>
      <c r="D5" s="229" t="n"/>
      <c r="E5" s="229" t="n"/>
      <c r="F5" s="229" t="n"/>
      <c r="G5" s="229" t="n"/>
      <c r="H5" s="229" t="n"/>
      <c r="I5" s="229" t="n"/>
      <c r="J5" s="229" t="n"/>
      <c r="K5" s="229" t="n"/>
    </row>
    <row r="6" ht="42" customHeight="1" s="301">
      <c r="B6" s="346" t="inlineStr">
        <is>
          <t>Наименование разрабатываемого показателя УНЦ — Шкафы РЗА 1 архитектуры. Дифференциальная защита сборных шин 110 – 220 кВ (9 присоединений с жесткой фиксацией)</t>
        </is>
      </c>
      <c r="K6" s="272" t="n"/>
    </row>
    <row r="7" ht="15.75" customHeight="1" s="301">
      <c r="B7" s="347" t="inlineStr">
        <is>
          <t>Единица измерения  — 1 ед</t>
        </is>
      </c>
      <c r="K7" s="272" t="n"/>
    </row>
    <row r="8" ht="18.75" customHeight="1" s="301">
      <c r="B8" s="252" t="n"/>
    </row>
    <row r="9" ht="15.75" customHeight="1" s="301">
      <c r="B9" s="345" t="inlineStr">
        <is>
          <t>№ п/п</t>
        </is>
      </c>
      <c r="C9" s="345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345" t="inlineStr">
        <is>
          <t>Объект-представитель 1</t>
        </is>
      </c>
      <c r="E9" s="436" t="n"/>
      <c r="F9" s="436" t="n"/>
      <c r="G9" s="436" t="n"/>
      <c r="H9" s="436" t="n"/>
      <c r="I9" s="436" t="n"/>
      <c r="J9" s="437" t="n"/>
      <c r="K9" s="303" t="n"/>
      <c r="L9" s="303" t="n"/>
    </row>
    <row r="10" ht="15.75" customHeight="1" s="301">
      <c r="B10" s="438" t="n"/>
      <c r="C10" s="438" t="n"/>
      <c r="D10" s="345" t="inlineStr">
        <is>
          <t>Номер сметы</t>
        </is>
      </c>
      <c r="E10" s="345" t="inlineStr">
        <is>
          <t>Наименование сметы</t>
        </is>
      </c>
      <c r="F10" s="345" t="inlineStr">
        <is>
          <t>Сметная стоимость в уровне цен 4 кв. 2016 г., тыс. руб.</t>
        </is>
      </c>
      <c r="G10" s="436" t="n"/>
      <c r="H10" s="436" t="n"/>
      <c r="I10" s="436" t="n"/>
      <c r="J10" s="437" t="n"/>
      <c r="K10" s="303" t="n"/>
      <c r="L10" s="303" t="n"/>
    </row>
    <row r="11" ht="64.5" customHeight="1" s="301">
      <c r="B11" s="439" t="n"/>
      <c r="C11" s="439" t="n"/>
      <c r="D11" s="439" t="n"/>
      <c r="E11" s="439" t="n"/>
      <c r="F11" s="345" t="inlineStr">
        <is>
          <t>Строительные работы</t>
        </is>
      </c>
      <c r="G11" s="345" t="inlineStr">
        <is>
          <t>Монтажные работы</t>
        </is>
      </c>
      <c r="H11" s="345" t="inlineStr">
        <is>
          <t>Оборудование</t>
        </is>
      </c>
      <c r="I11" s="345" t="inlineStr">
        <is>
          <t>Прочее</t>
        </is>
      </c>
      <c r="J11" s="345" t="inlineStr">
        <is>
          <t>Всего</t>
        </is>
      </c>
      <c r="K11" s="303" t="n"/>
      <c r="L11" s="303" t="n"/>
    </row>
    <row r="12" ht="63" customHeight="1" s="301">
      <c r="B12" s="322" t="n">
        <v>1</v>
      </c>
      <c r="C12" s="323">
        <f>'Прил.1 Сравнит табл'!D16</f>
        <v/>
      </c>
      <c r="D12" s="324" t="inlineStr">
        <is>
          <t>02-10-03-2</t>
        </is>
      </c>
      <c r="E12" s="325" t="inlineStr">
        <is>
          <t>ОРУ 220 кВ. Устройства автоматики. 2 этап</t>
        </is>
      </c>
      <c r="F12" s="326" t="n"/>
      <c r="G12" s="326" t="n">
        <v>1122.8369889</v>
      </c>
      <c r="H12" s="326" t="n">
        <v>2361.5802224</v>
      </c>
      <c r="I12" s="326" t="n"/>
      <c r="J12" s="327">
        <f>SUM(F12:I12)</f>
        <v/>
      </c>
      <c r="K12" s="328" t="n"/>
      <c r="L12" s="328" t="n"/>
    </row>
    <row r="13" ht="15" customHeight="1" s="301">
      <c r="B13" s="344" t="inlineStr">
        <is>
          <t>Всего по объекту:</t>
        </is>
      </c>
      <c r="C13" s="436" t="n"/>
      <c r="D13" s="436" t="n"/>
      <c r="E13" s="437" t="n"/>
      <c r="F13" s="330">
        <f>SUM(F12:F12)</f>
        <v/>
      </c>
      <c r="G13" s="330">
        <f>SUM(G12:G12)</f>
        <v/>
      </c>
      <c r="H13" s="330">
        <f>SUM(H12:H12)</f>
        <v/>
      </c>
      <c r="I13" s="330" t="n"/>
      <c r="J13" s="330">
        <f>SUM(F13:I13)</f>
        <v/>
      </c>
      <c r="K13" s="328" t="n"/>
      <c r="L13" s="328" t="n"/>
    </row>
    <row r="14" ht="15.75" customHeight="1" s="301">
      <c r="B14" s="344" t="inlineStr">
        <is>
          <t>Всего по объекту в сопоставимом уровне цен 4 кв. 2016 г. :</t>
        </is>
      </c>
      <c r="C14" s="436" t="n"/>
      <c r="D14" s="436" t="n"/>
      <c r="E14" s="437" t="n"/>
      <c r="F14" s="330">
        <f>F13</f>
        <v/>
      </c>
      <c r="G14" s="330">
        <f>G13</f>
        <v/>
      </c>
      <c r="H14" s="330">
        <f>H13</f>
        <v/>
      </c>
      <c r="I14" s="330">
        <f>'Прил.1 Сравнит табл'!D21</f>
        <v/>
      </c>
      <c r="J14" s="330">
        <f>SUM(F14:I14)</f>
        <v/>
      </c>
      <c r="K14" s="303" t="n"/>
      <c r="L14" s="328" t="n"/>
    </row>
    <row r="15" ht="15" customHeight="1" s="301"/>
    <row r="16" ht="15" customHeight="1" s="301"/>
    <row r="17" ht="15" customHeight="1" s="301"/>
    <row r="18" ht="15" customHeight="1" s="301">
      <c r="C18" s="291" t="inlineStr">
        <is>
          <t>Составил ______________________     Е. М. Добровольская</t>
        </is>
      </c>
      <c r="D18" s="292" t="n"/>
      <c r="E18" s="292" t="n"/>
    </row>
    <row r="19" ht="15" customHeight="1" s="301">
      <c r="C19" s="294" t="inlineStr">
        <is>
          <t xml:space="preserve">                         (подпись, инициалы, фамилия)</t>
        </is>
      </c>
      <c r="D19" s="292" t="n"/>
      <c r="E19" s="292" t="n"/>
    </row>
    <row r="20" ht="15" customHeight="1" s="301">
      <c r="C20" s="291" t="n"/>
      <c r="D20" s="292" t="n"/>
      <c r="E20" s="292" t="n"/>
    </row>
    <row r="21" ht="15" customHeight="1" s="301">
      <c r="C21" s="291" t="inlineStr">
        <is>
          <t>Проверил ______________________        А.В. Костянецкая</t>
        </is>
      </c>
      <c r="D21" s="292" t="n"/>
      <c r="E21" s="292" t="n"/>
    </row>
    <row r="22" ht="15" customHeight="1" s="301">
      <c r="C22" s="294" t="inlineStr">
        <is>
          <t xml:space="preserve">                        (подпись, инициалы, фамилия)</t>
        </is>
      </c>
      <c r="D22" s="292" t="n"/>
      <c r="E22" s="292" t="n"/>
    </row>
    <row r="23" ht="15" customHeight="1" s="301"/>
    <row r="24" ht="15" customHeight="1" s="301"/>
    <row r="25" ht="15" customHeight="1" s="301"/>
    <row r="26" ht="15" customHeight="1" s="301"/>
    <row r="27" ht="15" customHeight="1" s="301"/>
    <row r="28" ht="15" customHeight="1" s="301"/>
  </sheetData>
  <mergeCells count="12">
    <mergeCell ref="B7:J7"/>
    <mergeCell ref="B3:J3"/>
    <mergeCell ref="D10:D11"/>
    <mergeCell ref="B4:K4"/>
    <mergeCell ref="D9:J9"/>
    <mergeCell ref="B13:E13"/>
    <mergeCell ref="F10:J10"/>
    <mergeCell ref="B9:B11"/>
    <mergeCell ref="C9:C11"/>
    <mergeCell ref="E10:E11"/>
    <mergeCell ref="B6:J6"/>
    <mergeCell ref="B14:E14"/>
  </mergeCells>
  <pageMargins left="0.7" right="0.7" top="0.75" bottom="0.75" header="0.3" footer="0.3"/>
  <pageSetup orientation="portrait" paperSize="9" scale="54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K61"/>
  <sheetViews>
    <sheetView view="pageBreakPreview" topLeftCell="A39" workbookViewId="0">
      <selection activeCell="C57" sqref="C57"/>
    </sheetView>
  </sheetViews>
  <sheetFormatPr baseColWidth="8" defaultColWidth="9.140625" defaultRowHeight="15.75"/>
  <cols>
    <col width="9.140625" customWidth="1" style="303" min="1" max="1"/>
    <col width="12.5703125" customWidth="1" style="303" min="2" max="2"/>
    <col width="22.42578125" customWidth="1" style="303" min="3" max="3"/>
    <col width="49.7109375" customWidth="1" style="303" min="4" max="4"/>
    <col width="10.140625" customWidth="1" style="303" min="5" max="5"/>
    <col width="20.7109375" customWidth="1" style="303" min="6" max="6"/>
    <col width="20" customWidth="1" style="303" min="7" max="7"/>
    <col width="16.7109375" customWidth="1" style="303" min="8" max="8"/>
    <col width="10.42578125" customWidth="1" style="303" min="9" max="9"/>
    <col width="12.140625" customWidth="1" style="301" min="10" max="10"/>
  </cols>
  <sheetData>
    <row r="2">
      <c r="A2" s="340" t="inlineStr">
        <is>
          <t xml:space="preserve">Приложение № 3 </t>
        </is>
      </c>
    </row>
    <row r="3">
      <c r="A3" s="341" t="inlineStr">
        <is>
          <t>Объектная ресурсная ведомость</t>
        </is>
      </c>
    </row>
    <row r="4" ht="18.75" customHeight="1" s="301">
      <c r="A4" s="266" t="n"/>
      <c r="B4" s="266" t="n"/>
      <c r="C4" s="352" t="n"/>
    </row>
    <row r="5">
      <c r="A5" s="342" t="n"/>
    </row>
    <row r="6" ht="42.75" customHeight="1" s="301">
      <c r="A6" s="346" t="inlineStr">
        <is>
          <t>Наименование разрабатываемого показателя УНЦ — Шкафы РЗА 1 архитектуры. Дифференциальная защита сборных шин 110 – 220 кВ (9 присоединений с жесткой фиксацией)</t>
        </is>
      </c>
    </row>
    <row r="7" s="301">
      <c r="A7" s="347" t="n"/>
      <c r="B7" s="347" t="n"/>
      <c r="C7" s="347" t="n"/>
      <c r="D7" s="347" t="n"/>
      <c r="E7" s="347" t="n"/>
      <c r="F7" s="347" t="n"/>
      <c r="G7" s="347" t="n"/>
      <c r="H7" s="347" t="n"/>
      <c r="I7" s="303" t="n"/>
    </row>
    <row r="8">
      <c r="A8" s="347" t="n"/>
      <c r="B8" s="347" t="n"/>
      <c r="C8" s="347" t="n"/>
      <c r="D8" s="347" t="n"/>
      <c r="E8" s="347" t="n"/>
      <c r="F8" s="347" t="n"/>
      <c r="G8" s="347" t="n"/>
      <c r="H8" s="347" t="n"/>
    </row>
    <row r="9" ht="38.25" customHeight="1" s="301">
      <c r="A9" s="345" t="inlineStr">
        <is>
          <t>п/п</t>
        </is>
      </c>
      <c r="B9" s="345" t="inlineStr">
        <is>
          <t>№ЛСР</t>
        </is>
      </c>
      <c r="C9" s="345" t="inlineStr">
        <is>
          <t>Код ресурса</t>
        </is>
      </c>
      <c r="D9" s="345" t="inlineStr">
        <is>
          <t>Наименование ресурса</t>
        </is>
      </c>
      <c r="E9" s="345" t="inlineStr">
        <is>
          <t>Ед. изм.</t>
        </is>
      </c>
      <c r="F9" s="345" t="inlineStr">
        <is>
          <t>Кол-во единиц по данным объекта-представителя</t>
        </is>
      </c>
      <c r="G9" s="345" t="inlineStr">
        <is>
          <t>Сметная стоимость в ценах на 01.01.2000 (руб.)</t>
        </is>
      </c>
      <c r="H9" s="437" t="n"/>
    </row>
    <row r="10" ht="40.5" customHeight="1" s="301">
      <c r="A10" s="439" t="n"/>
      <c r="B10" s="439" t="n"/>
      <c r="C10" s="439" t="n"/>
      <c r="D10" s="439" t="n"/>
      <c r="E10" s="439" t="n"/>
      <c r="F10" s="439" t="n"/>
      <c r="G10" s="345" t="inlineStr">
        <is>
          <t>на ед.изм.</t>
        </is>
      </c>
      <c r="H10" s="345" t="inlineStr">
        <is>
          <t>общая</t>
        </is>
      </c>
    </row>
    <row r="11">
      <c r="A11" s="323" t="n">
        <v>1</v>
      </c>
      <c r="B11" s="323" t="n"/>
      <c r="C11" s="323" t="n">
        <v>2</v>
      </c>
      <c r="D11" s="323" t="inlineStr">
        <is>
          <t>З</t>
        </is>
      </c>
      <c r="E11" s="323" t="n">
        <v>4</v>
      </c>
      <c r="F11" s="323" t="n">
        <v>5</v>
      </c>
      <c r="G11" s="323" t="n">
        <v>6</v>
      </c>
      <c r="H11" s="323" t="n">
        <v>7</v>
      </c>
    </row>
    <row r="12" customFormat="1" s="286">
      <c r="A12" s="349" t="inlineStr">
        <is>
          <t>Затраты труда рабочих</t>
        </is>
      </c>
      <c r="B12" s="436" t="n"/>
      <c r="C12" s="436" t="n"/>
      <c r="D12" s="436" t="n"/>
      <c r="E12" s="437" t="n"/>
      <c r="F12" s="440" t="n">
        <v>459.2</v>
      </c>
      <c r="G12" s="260" t="n"/>
      <c r="H12" s="440">
        <f>SUM(H13:H16)</f>
        <v/>
      </c>
      <c r="I12" s="441" t="n"/>
      <c r="J12" s="441" t="n"/>
    </row>
    <row r="13">
      <c r="A13" s="277" t="n">
        <v>1</v>
      </c>
      <c r="B13" s="235" t="n"/>
      <c r="C13" s="277" t="inlineStr">
        <is>
          <t>1-3-8</t>
        </is>
      </c>
      <c r="D13" s="274" t="inlineStr">
        <is>
          <t>Затраты труда рабочих (ср 3,8)</t>
        </is>
      </c>
      <c r="E13" s="384" t="inlineStr">
        <is>
          <t>чел.-ч</t>
        </is>
      </c>
      <c r="F13" s="442" t="n">
        <v>413.93</v>
      </c>
      <c r="G13" s="258" t="n">
        <v>9.4</v>
      </c>
      <c r="H13" s="258">
        <f>ROUND(F13*G13,2)</f>
        <v/>
      </c>
    </row>
    <row r="14">
      <c r="A14" s="384" t="n">
        <v>2</v>
      </c>
      <c r="B14" s="235" t="n"/>
      <c r="C14" s="277" t="inlineStr">
        <is>
          <t>1-4-1</t>
        </is>
      </c>
      <c r="D14" s="274" t="inlineStr">
        <is>
          <t>Затраты труда рабочих (ср 4,1)</t>
        </is>
      </c>
      <c r="E14" s="384" t="inlineStr">
        <is>
          <t>чел.-ч</t>
        </is>
      </c>
      <c r="F14" s="442" t="n">
        <v>25.95</v>
      </c>
      <c r="G14" s="258" t="n">
        <v>9.76</v>
      </c>
      <c r="H14" s="258">
        <f>ROUND(F14*G14,2)</f>
        <v/>
      </c>
    </row>
    <row r="15">
      <c r="A15" s="277" t="n">
        <v>3</v>
      </c>
      <c r="B15" s="235" t="n"/>
      <c r="C15" s="277" t="inlineStr">
        <is>
          <t>1-3-6</t>
        </is>
      </c>
      <c r="D15" s="274" t="inlineStr">
        <is>
          <t>Затраты труда рабочих (ср 3,6)</t>
        </is>
      </c>
      <c r="E15" s="384" t="inlineStr">
        <is>
          <t>чел.-ч</t>
        </is>
      </c>
      <c r="F15" s="442" t="n">
        <v>15.2</v>
      </c>
      <c r="G15" s="258" t="n">
        <v>9.18</v>
      </c>
      <c r="H15" s="258">
        <f>ROUND(F15*G15,2)</f>
        <v/>
      </c>
    </row>
    <row r="16">
      <c r="A16" s="384" t="n">
        <v>4</v>
      </c>
      <c r="B16" s="235" t="n"/>
      <c r="C16" s="277" t="inlineStr">
        <is>
          <t>1-4-2</t>
        </is>
      </c>
      <c r="D16" s="274" t="inlineStr">
        <is>
          <t>Затраты труда рабочих (ср 4,2)</t>
        </is>
      </c>
      <c r="E16" s="384" t="inlineStr">
        <is>
          <t>чел.-ч</t>
        </is>
      </c>
      <c r="F16" s="442" t="n">
        <v>4.12</v>
      </c>
      <c r="G16" s="258" t="n">
        <v>9.92</v>
      </c>
      <c r="H16" s="258">
        <f>ROUND(F16*G16,2)</f>
        <v/>
      </c>
    </row>
    <row r="17">
      <c r="A17" s="348" t="inlineStr">
        <is>
          <t>Затраты труда машинистов</t>
        </is>
      </c>
      <c r="B17" s="436" t="n"/>
      <c r="C17" s="436" t="n"/>
      <c r="D17" s="436" t="n"/>
      <c r="E17" s="437" t="n"/>
      <c r="F17" s="349" t="n"/>
      <c r="G17" s="233" t="n"/>
      <c r="H17" s="440">
        <f>H18</f>
        <v/>
      </c>
    </row>
    <row r="18">
      <c r="A18" s="384" t="n">
        <v>5</v>
      </c>
      <c r="B18" s="350" t="n"/>
      <c r="C18" s="277" t="n">
        <v>2</v>
      </c>
      <c r="D18" s="274" t="inlineStr">
        <is>
          <t>Затраты труда машинистов</t>
        </is>
      </c>
      <c r="E18" s="384" t="inlineStr">
        <is>
          <t>чел.-ч</t>
        </is>
      </c>
      <c r="F18" s="443" t="n">
        <v>21.16</v>
      </c>
      <c r="G18" s="258" t="n">
        <v>0</v>
      </c>
      <c r="H18" s="444" t="n">
        <v>265.56</v>
      </c>
    </row>
    <row r="19" customFormat="1" s="286">
      <c r="A19" s="349" t="inlineStr">
        <is>
          <t>Машины и механизмы</t>
        </is>
      </c>
      <c r="B19" s="436" t="n"/>
      <c r="C19" s="436" t="n"/>
      <c r="D19" s="436" t="n"/>
      <c r="E19" s="437" t="n"/>
      <c r="F19" s="349" t="n"/>
      <c r="G19" s="233" t="n"/>
      <c r="H19" s="440">
        <f>SUM(H20:H24)</f>
        <v/>
      </c>
      <c r="I19" s="441" t="n"/>
      <c r="J19" s="441" t="n"/>
    </row>
    <row r="20" ht="25.5" customHeight="1" s="301">
      <c r="A20" s="384" t="n">
        <v>6</v>
      </c>
      <c r="B20" s="350" t="n"/>
      <c r="C20" s="277" t="inlineStr">
        <is>
          <t>91.05.05-015</t>
        </is>
      </c>
      <c r="D20" s="274" t="inlineStr">
        <is>
          <t>Краны на автомобильном ходу, грузоподъемность 16 т</t>
        </is>
      </c>
      <c r="E20" s="384" t="inlineStr">
        <is>
          <t>маш.час</t>
        </is>
      </c>
      <c r="F20" s="277" t="n">
        <v>10.58</v>
      </c>
      <c r="G20" s="276" t="n">
        <v>115.4</v>
      </c>
      <c r="H20" s="258">
        <f>ROUND(F20*G20,2)</f>
        <v/>
      </c>
      <c r="I20" s="237" t="n"/>
    </row>
    <row r="21">
      <c r="A21" s="384" t="n">
        <v>7</v>
      </c>
      <c r="B21" s="350" t="n"/>
      <c r="C21" s="277" t="inlineStr">
        <is>
          <t>91.14.02-001</t>
        </is>
      </c>
      <c r="D21" s="274" t="inlineStr">
        <is>
          <t>Автомобили бортовые, грузоподъемность до 5 т</t>
        </is>
      </c>
      <c r="E21" s="384" t="inlineStr">
        <is>
          <t>маш.час</t>
        </is>
      </c>
      <c r="F21" s="277" t="n">
        <v>10.58</v>
      </c>
      <c r="G21" s="276" t="n">
        <v>65.70999999999999</v>
      </c>
      <c r="H21" s="258">
        <f>ROUND(F21*G21,2)</f>
        <v/>
      </c>
      <c r="I21" s="237" t="n"/>
    </row>
    <row r="22" ht="25.5" customHeight="1" s="301">
      <c r="A22" s="384" t="n">
        <v>8</v>
      </c>
      <c r="B22" s="350" t="n"/>
      <c r="C22" s="277" t="inlineStr">
        <is>
          <t>91.06.03-061</t>
        </is>
      </c>
      <c r="D22" s="274" t="inlineStr">
        <is>
          <t>Лебедки электрические тяговым усилием до 12,26 кН (1,25 т)</t>
        </is>
      </c>
      <c r="E22" s="384" t="inlineStr">
        <is>
          <t>маш.час</t>
        </is>
      </c>
      <c r="F22" s="277" t="n">
        <v>92.28</v>
      </c>
      <c r="G22" s="276" t="n">
        <v>3.28</v>
      </c>
      <c r="H22" s="258">
        <f>ROUND(F22*G22,2)</f>
        <v/>
      </c>
      <c r="I22" s="237" t="n"/>
    </row>
    <row r="23" ht="25.5" customHeight="1" s="301">
      <c r="A23" s="384" t="n">
        <v>9</v>
      </c>
      <c r="B23" s="350" t="n"/>
      <c r="C23" s="277" t="inlineStr">
        <is>
          <t>91.06.01-003</t>
        </is>
      </c>
      <c r="D23" s="274" t="inlineStr">
        <is>
          <t>Домкраты гидравлические, грузоподъемность 63-100 т</t>
        </is>
      </c>
      <c r="E23" s="384" t="inlineStr">
        <is>
          <t>маш.час</t>
        </is>
      </c>
      <c r="F23" s="277" t="n">
        <v>92.28</v>
      </c>
      <c r="G23" s="276" t="n">
        <v>0.9</v>
      </c>
      <c r="H23" s="258">
        <f>ROUND(F23*G23,2)</f>
        <v/>
      </c>
      <c r="I23" s="237" t="n"/>
    </row>
    <row r="24" ht="25.5" customHeight="1" s="301">
      <c r="A24" s="384" t="n">
        <v>10</v>
      </c>
      <c r="B24" s="350" t="n"/>
      <c r="C24" s="277" t="inlineStr">
        <is>
          <t>91.17.04-233</t>
        </is>
      </c>
      <c r="D24" s="274" t="inlineStr">
        <is>
          <t>Установки для сварки ручной дуговой (постоянного тока)</t>
        </is>
      </c>
      <c r="E24" s="384" t="inlineStr">
        <is>
          <t>маш.час</t>
        </is>
      </c>
      <c r="F24" s="277" t="n">
        <v>0.9</v>
      </c>
      <c r="G24" s="276" t="n">
        <v>8.1</v>
      </c>
      <c r="H24" s="258">
        <f>ROUND(F24*G24,2)</f>
        <v/>
      </c>
      <c r="I24" s="237" t="n"/>
    </row>
    <row r="25">
      <c r="A25" s="349" t="inlineStr">
        <is>
          <t>Оборудование</t>
        </is>
      </c>
      <c r="B25" s="436" t="n"/>
      <c r="C25" s="436" t="n"/>
      <c r="D25" s="436" t="n"/>
      <c r="E25" s="437" t="n"/>
      <c r="F25" s="349" t="n"/>
      <c r="G25" s="233" t="n"/>
      <c r="H25" s="440">
        <f>SUM(H26:H26)</f>
        <v/>
      </c>
      <c r="I25" s="441" t="n"/>
      <c r="J25" s="441" t="n"/>
    </row>
    <row r="26" ht="38.25" customHeight="1" s="301">
      <c r="A26" s="384" t="n">
        <v>11</v>
      </c>
      <c r="B26" s="350" t="n"/>
      <c r="C26" s="277" t="inlineStr">
        <is>
          <t>Прайс из СД ОП</t>
        </is>
      </c>
      <c r="D26" s="274" t="inlineStr">
        <is>
          <t>Дифференциальная защита сборных шин 110 – 220 кВ (9 присоединений с жесткой фиксацией)</t>
        </is>
      </c>
      <c r="E26" s="384" t="inlineStr">
        <is>
          <t>шт</t>
        </is>
      </c>
      <c r="F26" s="384" t="n">
        <v>1</v>
      </c>
      <c r="G26" s="258" t="n">
        <v>551771.08</v>
      </c>
      <c r="H26" s="258">
        <f>ROUND(F26*G26,2)</f>
        <v/>
      </c>
      <c r="I26" s="237" t="n"/>
    </row>
    <row r="27">
      <c r="A27" s="349" t="inlineStr">
        <is>
          <t>Материалы</t>
        </is>
      </c>
      <c r="B27" s="436" t="n"/>
      <c r="C27" s="436" t="n"/>
      <c r="D27" s="436" t="n"/>
      <c r="E27" s="437" t="n"/>
      <c r="F27" s="349" t="n"/>
      <c r="G27" s="233" t="n"/>
      <c r="H27" s="440">
        <f>SUM(H28:H54)</f>
        <v/>
      </c>
      <c r="I27" s="441" t="n"/>
      <c r="J27" s="441" t="n"/>
    </row>
    <row r="28">
      <c r="A28" s="265" t="n">
        <v>12</v>
      </c>
      <c r="B28" s="350" t="n"/>
      <c r="C28" s="277" t="inlineStr">
        <is>
          <t>21.1.08.03-0579</t>
        </is>
      </c>
      <c r="D28" s="274" t="inlineStr">
        <is>
          <t>Кабель контрольный КВВГЭнг(A)-LS 5х2,5</t>
        </is>
      </c>
      <c r="E28" s="384" t="inlineStr">
        <is>
          <t>1000 м</t>
        </is>
      </c>
      <c r="F28" s="277" t="n">
        <v>3.06</v>
      </c>
      <c r="G28" s="258" t="n">
        <v>38348.22</v>
      </c>
      <c r="H28" s="258">
        <f>ROUND(F28*G28,2)</f>
        <v/>
      </c>
      <c r="I28" s="441" t="n"/>
      <c r="J28" s="441" t="n"/>
      <c r="K28" s="243" t="n"/>
    </row>
    <row r="29">
      <c r="A29" s="265" t="n">
        <v>13</v>
      </c>
      <c r="B29" s="350" t="n"/>
      <c r="C29" s="277" t="inlineStr">
        <is>
          <t>21.1.08.03-0581</t>
        </is>
      </c>
      <c r="D29" s="274" t="inlineStr">
        <is>
          <t>Кабель контрольный КВВГЭнг(A)-LS 7х1,5</t>
        </is>
      </c>
      <c r="E29" s="384" t="inlineStr">
        <is>
          <t>1000 м</t>
        </is>
      </c>
      <c r="F29" s="277" t="n">
        <v>2.04</v>
      </c>
      <c r="G29" s="258" t="n">
        <v>37014.5</v>
      </c>
      <c r="H29" s="258">
        <f>ROUND(F29*G29,2)</f>
        <v/>
      </c>
    </row>
    <row r="30" ht="51" customHeight="1" s="301">
      <c r="A30" s="265" t="n">
        <v>14</v>
      </c>
      <c r="B30" s="350" t="n"/>
      <c r="C30" s="277" t="inlineStr">
        <is>
          <t>21.1.01.01-0001</t>
        </is>
      </c>
      <c r="D30" s="274" t="inlineStr">
        <is>
          <t>Кабель волоконно-оптический самонесущий биэлектрический ДСт-49-6z-6/32 (прим. Патч-корд волоконно-оптический Vimcom LC-LC duplex 50/125 50m)</t>
        </is>
      </c>
      <c r="E30" s="384" t="inlineStr">
        <is>
          <t>1000 м</t>
        </is>
      </c>
      <c r="F30" s="277" t="n">
        <v>0.1</v>
      </c>
      <c r="G30" s="258" t="n">
        <v>45920.85</v>
      </c>
      <c r="H30" s="258">
        <f>ROUND(F30*G30,2)</f>
        <v/>
      </c>
    </row>
    <row r="31">
      <c r="A31" s="265" t="n">
        <v>15</v>
      </c>
      <c r="B31" s="350" t="n"/>
      <c r="C31" s="277" t="inlineStr">
        <is>
          <t>21.1.08.03-0574</t>
        </is>
      </c>
      <c r="D31" s="274" t="inlineStr">
        <is>
          <t>Кабель контрольный КВВГЭнг(A)-LS 4х2,5</t>
        </is>
      </c>
      <c r="E31" s="384" t="inlineStr">
        <is>
          <t>1000 м</t>
        </is>
      </c>
      <c r="F31" s="277" t="n">
        <v>0.102</v>
      </c>
      <c r="G31" s="258" t="n">
        <v>32828.83</v>
      </c>
      <c r="H31" s="258">
        <f>ROUND(F31*G31,2)</f>
        <v/>
      </c>
    </row>
    <row r="32" ht="25.5" customHeight="1" s="301">
      <c r="A32" s="265" t="n">
        <v>16</v>
      </c>
      <c r="B32" s="350" t="n"/>
      <c r="C32" s="277" t="inlineStr">
        <is>
          <t>10.3.02.03-0011</t>
        </is>
      </c>
      <c r="D32" s="274" t="inlineStr">
        <is>
          <t>Припои оловянно-свинцовые бессурьмянистые, марка ПОС30</t>
        </is>
      </c>
      <c r="E32" s="384" t="inlineStr">
        <is>
          <t>т</t>
        </is>
      </c>
      <c r="F32" s="277" t="n">
        <v>0.02212</v>
      </c>
      <c r="G32" s="258" t="n">
        <v>68050</v>
      </c>
      <c r="H32" s="258">
        <f>ROUND(F32*G32,2)</f>
        <v/>
      </c>
    </row>
    <row r="33" ht="25.5" customHeight="1" s="301">
      <c r="A33" s="265" t="n">
        <v>17</v>
      </c>
      <c r="B33" s="350" t="n"/>
      <c r="C33" s="277" t="inlineStr">
        <is>
          <t>24.3.01.02-0002</t>
        </is>
      </c>
      <c r="D33" s="274" t="inlineStr">
        <is>
          <t>Трубы гибкие гофрированные из самозатухающего ПВХ легкие с протяжкой, диаметр 25 мм</t>
        </is>
      </c>
      <c r="E33" s="384" t="inlineStr">
        <is>
          <t>м</t>
        </is>
      </c>
      <c r="F33" s="277" t="n">
        <v>102</v>
      </c>
      <c r="G33" s="258" t="n">
        <v>3.43</v>
      </c>
      <c r="H33" s="258">
        <f>ROUND(F33*G33,2)</f>
        <v/>
      </c>
    </row>
    <row r="34" ht="25.5" customHeight="1" s="301">
      <c r="A34" s="265" t="n">
        <v>18</v>
      </c>
      <c r="B34" s="350" t="n"/>
      <c r="C34" s="277" t="inlineStr">
        <is>
          <t>07.2.07.04-0007</t>
        </is>
      </c>
      <c r="D34" s="274" t="inlineStr">
        <is>
          <t>Конструкции стальные индивидуальные решетчатые сварные, масса до 0,1 т</t>
        </is>
      </c>
      <c r="E34" s="384" t="inlineStr">
        <is>
          <t>т</t>
        </is>
      </c>
      <c r="F34" s="277" t="n">
        <v>0.03</v>
      </c>
      <c r="G34" s="258" t="n">
        <v>11500</v>
      </c>
      <c r="H34" s="258">
        <f>ROUND(F34*G34,2)</f>
        <v/>
      </c>
    </row>
    <row r="35">
      <c r="A35" s="265" t="n">
        <v>19</v>
      </c>
      <c r="B35" s="350" t="n"/>
      <c r="C35" s="277" t="inlineStr">
        <is>
          <t>01.7.06.07-0002</t>
        </is>
      </c>
      <c r="D35" s="274" t="inlineStr">
        <is>
          <t>Лента монтажная, тип ЛМ-5</t>
        </is>
      </c>
      <c r="E35" s="384" t="inlineStr">
        <is>
          <t>10 м</t>
        </is>
      </c>
      <c r="F35" s="277" t="n">
        <v>29.655</v>
      </c>
      <c r="G35" s="258" t="n">
        <v>6.9</v>
      </c>
      <c r="H35" s="258">
        <f>ROUND(F35*G35,2)</f>
        <v/>
      </c>
    </row>
    <row r="36">
      <c r="A36" s="265" t="n">
        <v>20</v>
      </c>
      <c r="B36" s="350" t="n"/>
      <c r="C36" s="277" t="inlineStr">
        <is>
          <t>14.4.03.03-0002</t>
        </is>
      </c>
      <c r="D36" s="274" t="inlineStr">
        <is>
          <t>Лак битумный БТ-123</t>
        </is>
      </c>
      <c r="E36" s="384" t="inlineStr">
        <is>
          <t>т</t>
        </is>
      </c>
      <c r="F36" s="277" t="n">
        <v>0.02088</v>
      </c>
      <c r="G36" s="258" t="n">
        <v>7826.9</v>
      </c>
      <c r="H36" s="258">
        <f>ROUND(F36*G36,2)</f>
        <v/>
      </c>
    </row>
    <row r="37">
      <c r="A37" s="265" t="n">
        <v>21</v>
      </c>
      <c r="B37" s="350" t="n"/>
      <c r="C37" s="277" t="inlineStr">
        <is>
          <t>20.1.02.06-0001</t>
        </is>
      </c>
      <c r="D37" s="274" t="inlineStr">
        <is>
          <t>Жир паяльный</t>
        </is>
      </c>
      <c r="E37" s="384" t="inlineStr">
        <is>
          <t>кг</t>
        </is>
      </c>
      <c r="F37" s="277" t="n">
        <v>1.24</v>
      </c>
      <c r="G37" s="258" t="n">
        <v>100.8</v>
      </c>
      <c r="H37" s="258">
        <f>ROUND(F37*G37,2)</f>
        <v/>
      </c>
    </row>
    <row r="38" ht="25.5" customHeight="1" s="301">
      <c r="A38" s="265" t="n">
        <v>22</v>
      </c>
      <c r="B38" s="350" t="n"/>
      <c r="C38" s="277" t="inlineStr">
        <is>
          <t>999-9950</t>
        </is>
      </c>
      <c r="D38" s="274" t="inlineStr">
        <is>
          <t>Вспомогательные ненормируемые ресурсы (2% от Оплаты труда рабочих)</t>
        </is>
      </c>
      <c r="E38" s="384" t="inlineStr">
        <is>
          <t>руб</t>
        </is>
      </c>
      <c r="F38" s="277" t="n">
        <v>86.538</v>
      </c>
      <c r="G38" s="258" t="n">
        <v>1</v>
      </c>
      <c r="H38" s="258">
        <f>ROUND(F38*G38,2)</f>
        <v/>
      </c>
    </row>
    <row r="39">
      <c r="A39" s="265" t="n">
        <v>23</v>
      </c>
      <c r="B39" s="350" t="n"/>
      <c r="C39" s="277" t="inlineStr">
        <is>
          <t>25.2.01.01-0017</t>
        </is>
      </c>
      <c r="D39" s="274" t="inlineStr">
        <is>
          <t>Бирки маркировочные пластмассовые</t>
        </is>
      </c>
      <c r="E39" s="384" t="inlineStr">
        <is>
          <t>100 шт</t>
        </is>
      </c>
      <c r="F39" s="277" t="n">
        <v>2.8</v>
      </c>
      <c r="G39" s="258" t="n">
        <v>30.74</v>
      </c>
      <c r="H39" s="258">
        <f>ROUND(F39*G39,2)</f>
        <v/>
      </c>
    </row>
    <row r="40">
      <c r="A40" s="265" t="n">
        <v>24</v>
      </c>
      <c r="B40" s="350" t="n"/>
      <c r="C40" s="277" t="inlineStr">
        <is>
          <t>01.7.15.14-0165</t>
        </is>
      </c>
      <c r="D40" s="274" t="inlineStr">
        <is>
          <t>Шурупы с полукруглой головкой 4х40 мм</t>
        </is>
      </c>
      <c r="E40" s="384" t="inlineStr">
        <is>
          <t>т</t>
        </is>
      </c>
      <c r="F40" s="277" t="n">
        <v>0.00297</v>
      </c>
      <c r="G40" s="258" t="n">
        <v>12430</v>
      </c>
      <c r="H40" s="258">
        <f>ROUND(F40*G40,2)</f>
        <v/>
      </c>
    </row>
    <row r="41" ht="25.5" customHeight="1" s="301">
      <c r="A41" s="265" t="n">
        <v>25</v>
      </c>
      <c r="B41" s="350" t="n"/>
      <c r="C41" s="277" t="inlineStr">
        <is>
          <t>10.3.02.03-0013</t>
        </is>
      </c>
      <c r="D41" s="274" t="inlineStr">
        <is>
          <t>Припои оловянно-свинцовые бессурьмянистые, марка ПОС61</t>
        </is>
      </c>
      <c r="E41" s="384" t="inlineStr">
        <is>
          <t>т</t>
        </is>
      </c>
      <c r="F41" s="277" t="n">
        <v>0.000224</v>
      </c>
      <c r="G41" s="258" t="n">
        <v>114220</v>
      </c>
      <c r="H41" s="258">
        <f>ROUND(F41*G41,2)</f>
        <v/>
      </c>
    </row>
    <row r="42" ht="25.5" customHeight="1" s="301">
      <c r="A42" s="265" t="n">
        <v>26</v>
      </c>
      <c r="B42" s="350" t="n"/>
      <c r="C42" s="277" t="inlineStr">
        <is>
          <t>01.7.06.05-0041</t>
        </is>
      </c>
      <c r="D42" s="274" t="inlineStr">
        <is>
          <t>Лента изоляционная прорезиненная односторонняя, ширина 20 мм, толщина 0,25-0,35 мм</t>
        </is>
      </c>
      <c r="E42" s="384" t="inlineStr">
        <is>
          <t>кг</t>
        </is>
      </c>
      <c r="F42" s="277" t="n">
        <v>0.78</v>
      </c>
      <c r="G42" s="258" t="n">
        <v>30.4</v>
      </c>
      <c r="H42" s="258">
        <f>ROUND(F42*G42,2)</f>
        <v/>
      </c>
    </row>
    <row r="43">
      <c r="A43" s="265" t="n">
        <v>27</v>
      </c>
      <c r="B43" s="350" t="n"/>
      <c r="C43" s="277" t="inlineStr">
        <is>
          <t>01.7.15.07-0152</t>
        </is>
      </c>
      <c r="D43" s="274" t="inlineStr">
        <is>
          <t>Дюбели с шурупом, размер 6х35 мм</t>
        </is>
      </c>
      <c r="E43" s="384" t="inlineStr">
        <is>
          <t>100 шт</t>
        </is>
      </c>
      <c r="F43" s="277" t="n">
        <v>1.75</v>
      </c>
      <c r="G43" s="258" t="n">
        <v>8</v>
      </c>
      <c r="H43" s="258">
        <f>ROUND(F43*G43,2)</f>
        <v/>
      </c>
    </row>
    <row r="44">
      <c r="A44" s="265" t="n">
        <v>28</v>
      </c>
      <c r="B44" s="350" t="n"/>
      <c r="C44" s="277" t="inlineStr">
        <is>
          <t>01.3.01.05-0009</t>
        </is>
      </c>
      <c r="D44" s="274" t="inlineStr">
        <is>
          <t>Парафин нефтяной твердый Т-1</t>
        </is>
      </c>
      <c r="E44" s="384" t="inlineStr">
        <is>
          <t>т</t>
        </is>
      </c>
      <c r="F44" s="277" t="n">
        <v>0.00062</v>
      </c>
      <c r="G44" s="258" t="n">
        <v>8105.71</v>
      </c>
      <c r="H44" s="258">
        <f>ROUND(F44*G44,2)</f>
        <v/>
      </c>
    </row>
    <row r="45">
      <c r="A45" s="265" t="n">
        <v>29</v>
      </c>
      <c r="B45" s="350" t="n"/>
      <c r="C45" s="277" t="inlineStr">
        <is>
          <t>24.3.01.01-0002</t>
        </is>
      </c>
      <c r="D45" s="274" t="inlineStr">
        <is>
          <t>Трубка полихлорвиниловая</t>
        </is>
      </c>
      <c r="E45" s="384" t="inlineStr">
        <is>
          <t>кг</t>
        </is>
      </c>
      <c r="F45" s="277" t="n">
        <v>0.112</v>
      </c>
      <c r="G45" s="258" t="n">
        <v>35.7</v>
      </c>
      <c r="H45" s="258">
        <f>ROUND(F45*G45,2)</f>
        <v/>
      </c>
    </row>
    <row r="46">
      <c r="A46" s="265" t="n">
        <v>30</v>
      </c>
      <c r="B46" s="350" t="n"/>
      <c r="C46" s="277" t="inlineStr">
        <is>
          <t>20.2.01.05-0001</t>
        </is>
      </c>
      <c r="D46" s="274" t="inlineStr">
        <is>
          <t>Гильзы кабельные медные ГМ 2,5</t>
        </is>
      </c>
      <c r="E46" s="384" t="inlineStr">
        <is>
          <t>100 шт</t>
        </is>
      </c>
      <c r="F46" s="277" t="n">
        <v>0.05</v>
      </c>
      <c r="G46" s="258" t="n">
        <v>66</v>
      </c>
      <c r="H46" s="258">
        <f>ROUND(F46*G46,2)</f>
        <v/>
      </c>
    </row>
    <row r="47">
      <c r="A47" s="265" t="n">
        <v>31</v>
      </c>
      <c r="B47" s="350" t="n"/>
      <c r="C47" s="277" t="inlineStr">
        <is>
          <t>01.7.11.07-0034</t>
        </is>
      </c>
      <c r="D47" s="274" t="inlineStr">
        <is>
          <t>Электроды сварочные Э42А, диаметр 4 мм</t>
        </is>
      </c>
      <c r="E47" s="384" t="inlineStr">
        <is>
          <t>кг</t>
        </is>
      </c>
      <c r="F47" s="277" t="n">
        <v>0.3</v>
      </c>
      <c r="G47" s="258" t="n">
        <v>10.57</v>
      </c>
      <c r="H47" s="258">
        <f>ROUND(F47*G47,2)</f>
        <v/>
      </c>
    </row>
    <row r="48">
      <c r="A48" s="265" t="n">
        <v>32</v>
      </c>
      <c r="B48" s="350" t="n"/>
      <c r="C48" s="277" t="inlineStr">
        <is>
          <t>01.3.01.07-0009</t>
        </is>
      </c>
      <c r="D48" s="274" t="inlineStr">
        <is>
          <t>Спирт этиловый ректификованный технический, сорт I</t>
        </is>
      </c>
      <c r="E48" s="384" t="inlineStr">
        <is>
          <t>кг</t>
        </is>
      </c>
      <c r="F48" s="277" t="n">
        <v>0.08119999999999999</v>
      </c>
      <c r="G48" s="258" t="n">
        <v>38.89</v>
      </c>
      <c r="H48" s="258">
        <f>ROUND(F48*G48,2)</f>
        <v/>
      </c>
    </row>
    <row r="49">
      <c r="A49" s="265" t="n">
        <v>33</v>
      </c>
      <c r="B49" s="350" t="n"/>
      <c r="C49" s="277" t="inlineStr">
        <is>
          <t>14.4.02.09-0001</t>
        </is>
      </c>
      <c r="D49" s="274" t="inlineStr">
        <is>
          <t>Краска</t>
        </is>
      </c>
      <c r="E49" s="384" t="inlineStr">
        <is>
          <t>кг</t>
        </is>
      </c>
      <c r="F49" s="277" t="n">
        <v>0.07000000000000001</v>
      </c>
      <c r="G49" s="258" t="n">
        <v>28.6</v>
      </c>
      <c r="H49" s="258">
        <f>ROUND(F49*G49,2)</f>
        <v/>
      </c>
    </row>
    <row r="50">
      <c r="A50" s="265" t="n">
        <v>34</v>
      </c>
      <c r="B50" s="350" t="n"/>
      <c r="C50" s="277" t="inlineStr">
        <is>
          <t>01.3.05.17-0002</t>
        </is>
      </c>
      <c r="D50" s="274" t="inlineStr">
        <is>
          <t>Канифоль сосновая</t>
        </is>
      </c>
      <c r="E50" s="384" t="inlineStr">
        <is>
          <t>кг</t>
        </is>
      </c>
      <c r="F50" s="277" t="n">
        <v>0.0532</v>
      </c>
      <c r="G50" s="258" t="n">
        <v>27.74</v>
      </c>
      <c r="H50" s="258">
        <f>ROUND(F50*G50,2)</f>
        <v/>
      </c>
    </row>
    <row r="51">
      <c r="A51" s="265" t="n">
        <v>35</v>
      </c>
      <c r="B51" s="350" t="n"/>
      <c r="C51" s="277" t="inlineStr">
        <is>
          <t>20.2.02.01-0011</t>
        </is>
      </c>
      <c r="D51" s="274" t="inlineStr">
        <is>
          <t>Втулки, диаметр 17 мм</t>
        </is>
      </c>
      <c r="E51" s="384" t="inlineStr">
        <is>
          <t>1000 шт</t>
        </is>
      </c>
      <c r="F51" s="277" t="n">
        <v>0.0122</v>
      </c>
      <c r="G51" s="258" t="n">
        <v>75.40000000000001</v>
      </c>
      <c r="H51" s="258">
        <f>ROUND(F51*G51,2)</f>
        <v/>
      </c>
    </row>
    <row r="52">
      <c r="A52" s="265" t="n">
        <v>36</v>
      </c>
      <c r="B52" s="350" t="n"/>
      <c r="C52" s="277" t="inlineStr">
        <is>
          <t>01.7.07.20-0002</t>
        </is>
      </c>
      <c r="D52" s="274" t="inlineStr">
        <is>
          <t>Тальк молотый, сорт I</t>
        </is>
      </c>
      <c r="E52" s="384" t="inlineStr">
        <is>
          <t>т</t>
        </is>
      </c>
      <c r="F52" s="277" t="n">
        <v>0.00043</v>
      </c>
      <c r="G52" s="258" t="n">
        <v>1820</v>
      </c>
      <c r="H52" s="258">
        <f>ROUND(F52*G52,2)</f>
        <v/>
      </c>
    </row>
    <row r="53">
      <c r="A53" s="265" t="n">
        <v>37</v>
      </c>
      <c r="B53" s="350" t="n"/>
      <c r="C53" s="277" t="inlineStr">
        <is>
          <t>01.7.15.03-0042</t>
        </is>
      </c>
      <c r="D53" s="274" t="inlineStr">
        <is>
          <t>Болты с гайками и шайбами строительные</t>
        </is>
      </c>
      <c r="E53" s="384" t="inlineStr">
        <is>
          <t>кг</t>
        </is>
      </c>
      <c r="F53" s="277" t="n">
        <v>0.06</v>
      </c>
      <c r="G53" s="258" t="n">
        <v>9.039999999999999</v>
      </c>
      <c r="H53" s="258">
        <f>ROUND(F53*G53,2)</f>
        <v/>
      </c>
    </row>
    <row r="54">
      <c r="A54" s="265" t="n">
        <v>38</v>
      </c>
      <c r="B54" s="350" t="n"/>
      <c r="C54" s="277" t="inlineStr">
        <is>
          <t>01.3.05.11-0001</t>
        </is>
      </c>
      <c r="D54" s="274" t="inlineStr">
        <is>
          <t>Дихлорэтан технический, сорт I</t>
        </is>
      </c>
      <c r="E54" s="384" t="inlineStr">
        <is>
          <t>т</t>
        </is>
      </c>
      <c r="F54" s="277" t="n">
        <v>5.6e-05</v>
      </c>
      <c r="G54" s="258" t="n">
        <v>4934.48</v>
      </c>
      <c r="H54" s="258">
        <f>ROUND(F54*G54,2)</f>
        <v/>
      </c>
    </row>
    <row r="57">
      <c r="B57" s="303" t="inlineStr">
        <is>
          <t>Составил ______________________     Е. М. Добровольская</t>
        </is>
      </c>
    </row>
    <row r="58">
      <c r="B58" s="272" t="inlineStr">
        <is>
          <t xml:space="preserve">                         (подпись, инициалы, фамилия)</t>
        </is>
      </c>
    </row>
    <row r="60">
      <c r="B60" s="303" t="inlineStr">
        <is>
          <t>Проверил ______________________        А.В. Костянецкая</t>
        </is>
      </c>
    </row>
    <row r="61">
      <c r="B61" s="272" t="inlineStr">
        <is>
          <t xml:space="preserve">                        (подпись, инициалы, фамилия)</t>
        </is>
      </c>
    </row>
  </sheetData>
  <mergeCells count="16">
    <mergeCell ref="C9:C10"/>
    <mergeCell ref="B9:B10"/>
    <mergeCell ref="A3:H3"/>
    <mergeCell ref="A12:E12"/>
    <mergeCell ref="D9:D10"/>
    <mergeCell ref="E9:E10"/>
    <mergeCell ref="F9:F10"/>
    <mergeCell ref="A9:A10"/>
    <mergeCell ref="A2:H2"/>
    <mergeCell ref="A25:E25"/>
    <mergeCell ref="A19:E19"/>
    <mergeCell ref="C4:H4"/>
    <mergeCell ref="G9:H9"/>
    <mergeCell ref="A17:E17"/>
    <mergeCell ref="A6:H6"/>
    <mergeCell ref="A27:E27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  <rowBreaks count="1" manualBreakCount="1">
    <brk id="49" min="0" max="7" man="1"/>
  </rowBreaks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28" workbookViewId="0">
      <selection activeCell="B43" sqref="B43"/>
    </sheetView>
  </sheetViews>
  <sheetFormatPr baseColWidth="8" defaultRowHeight="15"/>
  <cols>
    <col width="4.140625" customWidth="1" style="301" min="1" max="1"/>
    <col width="36.28515625" customWidth="1" style="301" min="2" max="2"/>
    <col width="18.85546875" customWidth="1" style="301" min="3" max="3"/>
    <col width="18.28515625" customWidth="1" style="301" min="4" max="4"/>
    <col width="18.85546875" customWidth="1" style="301" min="5" max="5"/>
    <col width="9.140625" customWidth="1" style="301" min="6" max="6"/>
    <col width="13.42578125" customWidth="1" style="301" min="7" max="7"/>
    <col width="9.140625" customWidth="1" style="301" min="8" max="11"/>
    <col width="13.5703125" customWidth="1" style="301" min="12" max="12"/>
    <col width="9.140625" customWidth="1" style="301" min="13" max="13"/>
  </cols>
  <sheetData>
    <row r="1">
      <c r="B1" s="291" t="n"/>
      <c r="C1" s="291" t="n"/>
      <c r="D1" s="291" t="n"/>
      <c r="E1" s="291" t="n"/>
    </row>
    <row r="2">
      <c r="B2" s="291" t="n"/>
      <c r="C2" s="291" t="n"/>
      <c r="D2" s="291" t="n"/>
      <c r="E2" s="379" t="inlineStr">
        <is>
          <t>Приложение № 4</t>
        </is>
      </c>
    </row>
    <row r="3">
      <c r="B3" s="291" t="n"/>
      <c r="C3" s="291" t="n"/>
      <c r="D3" s="291" t="n"/>
      <c r="E3" s="291" t="n"/>
    </row>
    <row r="4">
      <c r="B4" s="291" t="n"/>
      <c r="C4" s="291" t="n"/>
      <c r="D4" s="291" t="n"/>
      <c r="E4" s="291" t="n"/>
    </row>
    <row r="5">
      <c r="B5" s="333" t="inlineStr">
        <is>
          <t>Ресурсная модель</t>
        </is>
      </c>
    </row>
    <row r="6">
      <c r="B6" s="248" t="n"/>
      <c r="C6" s="291" t="n"/>
      <c r="D6" s="291" t="n"/>
      <c r="E6" s="291" t="n"/>
    </row>
    <row r="7" ht="25.5" customHeight="1" s="301">
      <c r="B7" s="353" t="inlineStr">
        <is>
          <t>Наименование разрабатываемого показателя УНЦ — Шкафы РЗА 1 архитектуры. Дифференциальная защита сборных шин 110 – 220 кВ (9 присоединений с жесткой фиксацией)</t>
        </is>
      </c>
    </row>
    <row r="8">
      <c r="B8" s="354" t="inlineStr">
        <is>
          <t>Единица измерения  — 1 ед</t>
        </is>
      </c>
    </row>
    <row r="9">
      <c r="B9" s="248" t="n"/>
      <c r="C9" s="291" t="n"/>
      <c r="D9" s="291" t="n"/>
      <c r="E9" s="291" t="n"/>
    </row>
    <row r="10" ht="51" customHeight="1" s="301">
      <c r="B10" s="361" t="inlineStr">
        <is>
          <t>Наименование</t>
        </is>
      </c>
      <c r="C10" s="361" t="inlineStr">
        <is>
          <t>Сметная стоимость в ценах на 01.01.2023
 (руб.)</t>
        </is>
      </c>
      <c r="D10" s="361" t="inlineStr">
        <is>
          <t>Удельный вес, 
(в СМР)</t>
        </is>
      </c>
      <c r="E10" s="361" t="inlineStr">
        <is>
          <t>Удельный вес, % 
(от всего по РМ)</t>
        </is>
      </c>
    </row>
    <row r="11">
      <c r="B11" s="240" t="inlineStr">
        <is>
          <t>Оплата труда рабочих</t>
        </is>
      </c>
      <c r="C11" s="241">
        <f>'Прил.5 Расчет СМР и ОБ'!J14</f>
        <v/>
      </c>
      <c r="D11" s="242">
        <f>C11/$C$24</f>
        <v/>
      </c>
      <c r="E11" s="242">
        <f>C11/$C$40</f>
        <v/>
      </c>
    </row>
    <row r="12">
      <c r="B12" s="240" t="inlineStr">
        <is>
          <t>Эксплуатация машин основных</t>
        </is>
      </c>
      <c r="C12" s="241">
        <f>'Прил.5 Расчет СМР и ОБ'!J22</f>
        <v/>
      </c>
      <c r="D12" s="242">
        <f>C12/$C$24</f>
        <v/>
      </c>
      <c r="E12" s="242">
        <f>C12/$C$40</f>
        <v/>
      </c>
    </row>
    <row r="13">
      <c r="B13" s="240" t="inlineStr">
        <is>
          <t>Эксплуатация машин прочих</t>
        </is>
      </c>
      <c r="C13" s="241">
        <f>'Прил.5 Расчет СМР и ОБ'!J25</f>
        <v/>
      </c>
      <c r="D13" s="242">
        <f>C13/$C$24</f>
        <v/>
      </c>
      <c r="E13" s="242">
        <f>C13/$C$40</f>
        <v/>
      </c>
    </row>
    <row r="14">
      <c r="B14" s="240" t="inlineStr">
        <is>
          <t>ЭКСПЛУАТАЦИЯ МАШИН, ВСЕГО:</t>
        </is>
      </c>
      <c r="C14" s="241">
        <f>C13+C12</f>
        <v/>
      </c>
      <c r="D14" s="242">
        <f>C14/$C$24</f>
        <v/>
      </c>
      <c r="E14" s="242">
        <f>C14/$C$40</f>
        <v/>
      </c>
    </row>
    <row r="15">
      <c r="B15" s="240" t="inlineStr">
        <is>
          <t>в том числе зарплата машинистов</t>
        </is>
      </c>
      <c r="C15" s="241">
        <f>'Прил.5 Расчет СМР и ОБ'!J16</f>
        <v/>
      </c>
      <c r="D15" s="242">
        <f>C15/$C$24</f>
        <v/>
      </c>
      <c r="E15" s="242">
        <f>C15/$C$40</f>
        <v/>
      </c>
    </row>
    <row r="16">
      <c r="B16" s="240" t="inlineStr">
        <is>
          <t>Материалы основные</t>
        </is>
      </c>
      <c r="C16" s="241">
        <f>'Прил.5 Расчет СМР и ОБ'!J38</f>
        <v/>
      </c>
      <c r="D16" s="242">
        <f>C16/$C$24</f>
        <v/>
      </c>
      <c r="E16" s="242">
        <f>C16/$C$40</f>
        <v/>
      </c>
    </row>
    <row r="17">
      <c r="B17" s="240" t="inlineStr">
        <is>
          <t>Материалы прочие</t>
        </is>
      </c>
      <c r="C17" s="241">
        <f>'Прил.5 Расчет СМР и ОБ'!J64</f>
        <v/>
      </c>
      <c r="D17" s="242">
        <f>C17/$C$24</f>
        <v/>
      </c>
      <c r="E17" s="242">
        <f>C17/$C$40</f>
        <v/>
      </c>
      <c r="G17" s="445" t="n"/>
    </row>
    <row r="18">
      <c r="B18" s="240" t="inlineStr">
        <is>
          <t>МАТЕРИАЛЫ, ВСЕГО:</t>
        </is>
      </c>
      <c r="C18" s="241">
        <f>C17+C16</f>
        <v/>
      </c>
      <c r="D18" s="242">
        <f>C18/$C$24</f>
        <v/>
      </c>
      <c r="E18" s="242">
        <f>C18/$C$40</f>
        <v/>
      </c>
    </row>
    <row r="19">
      <c r="B19" s="240" t="inlineStr">
        <is>
          <t>ИТОГО</t>
        </is>
      </c>
      <c r="C19" s="241">
        <f>C18+C14+C11</f>
        <v/>
      </c>
      <c r="D19" s="242" t="n"/>
      <c r="E19" s="240" t="n"/>
    </row>
    <row r="20">
      <c r="B20" s="240" t="inlineStr">
        <is>
          <t>Сметная прибыль, руб.</t>
        </is>
      </c>
      <c r="C20" s="241">
        <f>ROUND(C21*(C11+C15),2)</f>
        <v/>
      </c>
      <c r="D20" s="242">
        <f>C20/$C$24</f>
        <v/>
      </c>
      <c r="E20" s="242">
        <f>C20/$C$40</f>
        <v/>
      </c>
    </row>
    <row r="21">
      <c r="B21" s="240" t="inlineStr">
        <is>
          <t>Сметная прибыль, %</t>
        </is>
      </c>
      <c r="C21" s="245">
        <f>'Прил.5 Расчет СМР и ОБ'!D68</f>
        <v/>
      </c>
      <c r="D21" s="242" t="n"/>
      <c r="E21" s="240" t="n"/>
    </row>
    <row r="22">
      <c r="B22" s="240" t="inlineStr">
        <is>
          <t>Накладные расходы, руб.</t>
        </is>
      </c>
      <c r="C22" s="241">
        <f>ROUND(C23*(C11+C15),2)</f>
        <v/>
      </c>
      <c r="D22" s="242">
        <f>C22/$C$24</f>
        <v/>
      </c>
      <c r="E22" s="242">
        <f>C22/$C$40</f>
        <v/>
      </c>
    </row>
    <row r="23">
      <c r="B23" s="240" t="inlineStr">
        <is>
          <t>Накладные расходы, %</t>
        </is>
      </c>
      <c r="C23" s="245">
        <f>'Прил.5 Расчет СМР и ОБ'!D67</f>
        <v/>
      </c>
      <c r="D23" s="242" t="n"/>
      <c r="E23" s="240" t="n"/>
    </row>
    <row r="24">
      <c r="B24" s="240" t="inlineStr">
        <is>
          <t>ВСЕГО СМР с НР и СП</t>
        </is>
      </c>
      <c r="C24" s="241">
        <f>C19+C20+C22</f>
        <v/>
      </c>
      <c r="D24" s="242">
        <f>C24/$C$24</f>
        <v/>
      </c>
      <c r="E24" s="242">
        <f>C24/$C$40</f>
        <v/>
      </c>
    </row>
    <row r="25" ht="25.5" customHeight="1" s="301">
      <c r="B25" s="240" t="inlineStr">
        <is>
          <t>ВСЕГО стоимость оборудования, в том числе</t>
        </is>
      </c>
      <c r="C25" s="241">
        <f>'Прил.5 Расчет СМР и ОБ'!J32</f>
        <v/>
      </c>
      <c r="D25" s="242" t="n"/>
      <c r="E25" s="242">
        <f>C25/$C$40</f>
        <v/>
      </c>
    </row>
    <row r="26" ht="25.5" customHeight="1" s="301">
      <c r="B26" s="240" t="inlineStr">
        <is>
          <t>стоимость оборудования технологического</t>
        </is>
      </c>
      <c r="C26" s="241">
        <f>'Прил.5 Расчет СМР и ОБ'!J33</f>
        <v/>
      </c>
      <c r="D26" s="242" t="n"/>
      <c r="E26" s="242">
        <f>C26/$C$40</f>
        <v/>
      </c>
    </row>
    <row r="27">
      <c r="B27" s="240" t="inlineStr">
        <is>
          <t>ИТОГО (СМР + ОБОРУДОВАНИЕ)</t>
        </is>
      </c>
      <c r="C27" s="244">
        <f>C24+C25</f>
        <v/>
      </c>
      <c r="D27" s="242" t="n"/>
      <c r="E27" s="242">
        <f>C27/$C$40</f>
        <v/>
      </c>
      <c r="G27" s="243" t="n"/>
    </row>
    <row r="28" ht="33" customHeight="1" s="301">
      <c r="B28" s="240" t="inlineStr">
        <is>
          <t>ПРОЧ. ЗАТР., УЧТЕННЫЕ ПОКАЗАТЕЛЕМ,  в том числе</t>
        </is>
      </c>
      <c r="C28" s="240" t="n"/>
      <c r="D28" s="240" t="n"/>
      <c r="E28" s="240" t="n"/>
    </row>
    <row r="29" ht="25.5" customHeight="1" s="301">
      <c r="B29" s="240" t="inlineStr">
        <is>
          <t>Временные здания и сооружения - 3,9%</t>
        </is>
      </c>
      <c r="C29" s="244">
        <f>ROUND(C24*3.3%,2)</f>
        <v/>
      </c>
      <c r="D29" s="240" t="n"/>
      <c r="E29" s="242" t="n">
        <v>0.039</v>
      </c>
    </row>
    <row r="30" ht="38.25" customHeight="1" s="301">
      <c r="B30" s="240" t="inlineStr">
        <is>
          <t>Дополнительные затраты при производстве строительно-монтажных работ в зимнее время - 2,1%</t>
        </is>
      </c>
      <c r="C30" s="244">
        <f>ROUND((C24+C29)*2.1%,2)</f>
        <v/>
      </c>
      <c r="D30" s="240" t="n"/>
      <c r="E30" s="242" t="n">
        <v>0.021</v>
      </c>
    </row>
    <row r="31">
      <c r="B31" s="240" t="inlineStr">
        <is>
          <t>Пусконаладочные работы</t>
        </is>
      </c>
      <c r="C31" s="244" t="n">
        <v>105140</v>
      </c>
      <c r="D31" s="240" t="n"/>
      <c r="E31" s="242">
        <f>C31/$C$40</f>
        <v/>
      </c>
    </row>
    <row r="32" ht="25.5" customHeight="1" s="301">
      <c r="B32" s="240" t="inlineStr">
        <is>
          <t>Затраты по перевозке работников к месту работы и обратно</t>
        </is>
      </c>
      <c r="C32" s="244" t="n">
        <v>0</v>
      </c>
      <c r="D32" s="240" t="n"/>
      <c r="E32" s="242">
        <f>C32/$C$40</f>
        <v/>
      </c>
    </row>
    <row r="33" ht="25.5" customHeight="1" s="301">
      <c r="B33" s="240" t="inlineStr">
        <is>
          <t>Затраты, связанные с осуществлением работ вахтовым методом</t>
        </is>
      </c>
      <c r="C33" s="244">
        <f>ROUND(C27*0%,2)</f>
        <v/>
      </c>
      <c r="D33" s="240" t="n"/>
      <c r="E33" s="242">
        <f>C33/$C$40</f>
        <v/>
      </c>
    </row>
    <row r="34" ht="51" customHeight="1" s="301">
      <c r="B34" s="240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44" t="n">
        <v>0</v>
      </c>
      <c r="D34" s="240" t="n"/>
      <c r="E34" s="242">
        <f>C34/$C$40</f>
        <v/>
      </c>
    </row>
    <row r="35" ht="76.5" customHeight="1" s="301">
      <c r="B35" s="240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44">
        <f>ROUND(C27*0%,2)</f>
        <v/>
      </c>
      <c r="D35" s="240" t="n"/>
      <c r="E35" s="242">
        <f>C35/$C$40</f>
        <v/>
      </c>
    </row>
    <row r="36" ht="25.5" customHeight="1" s="301">
      <c r="B36" s="240" t="inlineStr">
        <is>
          <t>Строительный контроль и содержание службы заказчика - 2,14%</t>
        </is>
      </c>
      <c r="C36" s="244">
        <f>ROUND((C27+C32+C33+C34+C35+C29+C31+C30)*2.14%,2)</f>
        <v/>
      </c>
      <c r="D36" s="240" t="n"/>
      <c r="E36" s="242">
        <f>C36/$C$40</f>
        <v/>
      </c>
      <c r="G36" s="298" t="n"/>
      <c r="L36" s="243" t="n"/>
    </row>
    <row r="37">
      <c r="B37" s="240" t="inlineStr">
        <is>
          <t>Авторский надзор - 0,2%</t>
        </is>
      </c>
      <c r="C37" s="244">
        <f>ROUND((C27+C32+C33+C34+C35+C29+C31+C30)*0.2%,2)</f>
        <v/>
      </c>
      <c r="D37" s="240" t="n"/>
      <c r="E37" s="242">
        <f>C37/$C$40</f>
        <v/>
      </c>
      <c r="G37" s="299" t="n"/>
      <c r="L37" s="243" t="n"/>
    </row>
    <row r="38" ht="38.25" customHeight="1" s="301">
      <c r="B38" s="240" t="inlineStr">
        <is>
          <t>ИТОГО (СМР+ОБОРУДОВАНИЕ+ПРОЧ. ЗАТР., УЧТЕННЫЕ ПОКАЗАТЕЛЕМ)</t>
        </is>
      </c>
      <c r="C38" s="241">
        <f>C27+C32+C33+C34+C35+C29+C31+C30+C36+C37</f>
        <v/>
      </c>
      <c r="D38" s="240" t="n"/>
      <c r="E38" s="242">
        <f>C38/$C$40</f>
        <v/>
      </c>
    </row>
    <row r="39" ht="13.5" customHeight="1" s="301">
      <c r="B39" s="240" t="inlineStr">
        <is>
          <t>Непредвиденные расходы</t>
        </is>
      </c>
      <c r="C39" s="241">
        <f>ROUND(C38*3%,2)</f>
        <v/>
      </c>
      <c r="D39" s="240" t="n"/>
      <c r="E39" s="242">
        <f>C39/$C$38</f>
        <v/>
      </c>
    </row>
    <row r="40">
      <c r="B40" s="240" t="inlineStr">
        <is>
          <t>ВСЕГО:</t>
        </is>
      </c>
      <c r="C40" s="241">
        <f>C39+C38</f>
        <v/>
      </c>
      <c r="D40" s="240" t="n"/>
      <c r="E40" s="242">
        <f>C40/$C$40</f>
        <v/>
      </c>
    </row>
    <row r="41">
      <c r="B41" s="240" t="inlineStr">
        <is>
          <t>ИТОГО ПОКАЗАТЕЛЬ НА ЕД. ИЗМ.</t>
        </is>
      </c>
      <c r="C41" s="241">
        <f>C40/'Прил.5 Расчет СМР и ОБ'!E71</f>
        <v/>
      </c>
      <c r="D41" s="240" t="n"/>
      <c r="E41" s="240" t="n"/>
    </row>
    <row r="42">
      <c r="B42" s="239" t="n"/>
      <c r="C42" s="291" t="n"/>
      <c r="D42" s="291" t="n"/>
      <c r="E42" s="291" t="n"/>
    </row>
    <row r="43">
      <c r="B43" s="239" t="inlineStr">
        <is>
          <t>Составил ____________________________  Е. М. Добровольская</t>
        </is>
      </c>
      <c r="C43" s="291" t="n"/>
      <c r="D43" s="291" t="n"/>
      <c r="E43" s="291" t="n"/>
    </row>
    <row r="44">
      <c r="B44" s="239" t="inlineStr">
        <is>
          <t xml:space="preserve">(должность, подпись, инициалы, фамилия) </t>
        </is>
      </c>
      <c r="C44" s="291" t="n"/>
      <c r="D44" s="291" t="n"/>
      <c r="E44" s="291" t="n"/>
    </row>
    <row r="45">
      <c r="B45" s="239" t="n"/>
      <c r="C45" s="291" t="n"/>
      <c r="D45" s="291" t="n"/>
      <c r="E45" s="291" t="n"/>
    </row>
    <row r="46">
      <c r="B46" s="239" t="inlineStr">
        <is>
          <t>Проверил ____________________________ А.В. Костянецкая</t>
        </is>
      </c>
      <c r="C46" s="291" t="n"/>
      <c r="D46" s="291" t="n"/>
      <c r="E46" s="291" t="n"/>
    </row>
    <row r="47">
      <c r="B47" s="354" t="inlineStr">
        <is>
          <t>(должность, подпись, инициалы, фамилия)</t>
        </is>
      </c>
      <c r="D47" s="291" t="n"/>
      <c r="E47" s="291" t="n"/>
    </row>
    <row r="49">
      <c r="B49" s="291" t="n"/>
      <c r="C49" s="291" t="n"/>
      <c r="D49" s="291" t="n"/>
      <c r="E49" s="291" t="n"/>
    </row>
    <row r="50">
      <c r="B50" s="291" t="n"/>
      <c r="C50" s="291" t="n"/>
      <c r="D50" s="291" t="n"/>
      <c r="E50" s="291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6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77"/>
  <sheetViews>
    <sheetView view="pageBreakPreview" topLeftCell="A28" workbookViewId="0">
      <selection activeCell="B73" sqref="B73"/>
    </sheetView>
  </sheetViews>
  <sheetFormatPr baseColWidth="8" defaultColWidth="9.140625" defaultRowHeight="15" outlineLevelRow="1"/>
  <cols>
    <col width="5.7109375" customWidth="1" style="292" min="1" max="1"/>
    <col width="22.5703125" customWidth="1" style="292" min="2" max="2"/>
    <col width="39.140625" customWidth="1" style="292" min="3" max="3"/>
    <col width="10.7109375" customWidth="1" style="292" min="4" max="4"/>
    <col width="14.5703125" customWidth="1" style="292" min="5" max="6"/>
    <col width="15.85546875" customWidth="1" style="292" min="7" max="7"/>
    <col width="12.7109375" customWidth="1" style="292" min="8" max="8"/>
    <col width="13.85546875" customWidth="1" style="292" min="9" max="9"/>
    <col width="17.5703125" customWidth="1" style="292" min="10" max="10"/>
    <col width="10.85546875" customWidth="1" style="292" min="11" max="11"/>
    <col width="13.85546875" customWidth="1" style="292" min="12" max="12"/>
    <col width="9.140625" customWidth="1" style="301" min="13" max="13"/>
  </cols>
  <sheetData>
    <row r="1" s="301">
      <c r="A1" s="292" t="n"/>
      <c r="B1" s="292" t="n"/>
      <c r="C1" s="292" t="n"/>
      <c r="D1" s="292" t="n"/>
      <c r="E1" s="292" t="n"/>
      <c r="F1" s="292" t="n"/>
      <c r="G1" s="292" t="n"/>
      <c r="H1" s="292" t="n"/>
      <c r="I1" s="292" t="n"/>
      <c r="J1" s="292" t="n"/>
      <c r="K1" s="292" t="n"/>
      <c r="L1" s="292" t="n"/>
      <c r="M1" s="292" t="n"/>
      <c r="N1" s="292" t="n"/>
    </row>
    <row r="2" ht="15.75" customHeight="1" s="301">
      <c r="A2" s="292" t="n"/>
      <c r="B2" s="292" t="n"/>
      <c r="C2" s="292" t="n"/>
      <c r="D2" s="292" t="n"/>
      <c r="E2" s="292" t="n"/>
      <c r="F2" s="292" t="n"/>
      <c r="G2" s="292" t="n"/>
      <c r="H2" s="375" t="inlineStr">
        <is>
          <t>Приложение №5</t>
        </is>
      </c>
      <c r="K2" s="292" t="n"/>
      <c r="L2" s="292" t="n"/>
      <c r="M2" s="292" t="n"/>
      <c r="N2" s="292" t="n"/>
    </row>
    <row r="3" s="301">
      <c r="A3" s="292" t="n"/>
      <c r="B3" s="292" t="n"/>
      <c r="C3" s="292" t="n"/>
      <c r="D3" s="292" t="n"/>
      <c r="E3" s="292" t="n"/>
      <c r="F3" s="292" t="n"/>
      <c r="G3" s="292" t="n"/>
      <c r="H3" s="292" t="n"/>
      <c r="I3" s="292" t="n"/>
      <c r="J3" s="292" t="n"/>
      <c r="K3" s="292" t="n"/>
      <c r="L3" s="292" t="n"/>
      <c r="M3" s="292" t="n"/>
      <c r="N3" s="292" t="n"/>
    </row>
    <row r="4" ht="12.75" customFormat="1" customHeight="1" s="291">
      <c r="A4" s="333" t="inlineStr">
        <is>
          <t>Расчет стоимости СМР и оборудования</t>
        </is>
      </c>
    </row>
    <row r="5" ht="12.75" customFormat="1" customHeight="1" s="291">
      <c r="A5" s="333" t="n"/>
      <c r="B5" s="333" t="n"/>
      <c r="C5" s="387" t="n"/>
      <c r="D5" s="333" t="n"/>
      <c r="E5" s="333" t="n"/>
      <c r="F5" s="333" t="n"/>
      <c r="G5" s="333" t="n"/>
      <c r="H5" s="333" t="n"/>
      <c r="I5" s="333" t="n"/>
      <c r="J5" s="333" t="n"/>
    </row>
    <row r="6" ht="33.75" customFormat="1" customHeight="1" s="291">
      <c r="A6" s="273" t="inlineStr">
        <is>
          <t>Наименование разрабатываемого показателя УНЦ</t>
        </is>
      </c>
      <c r="B6" s="208" t="n"/>
      <c r="C6" s="208" t="n"/>
      <c r="D6" s="336" t="inlineStr">
        <is>
          <t>Шкафы РЗА 1 архитектуры. Дифференциальная защита сборных шин 110 – 220 кВ (9 присоединений с жесткой фиксацией)</t>
        </is>
      </c>
    </row>
    <row r="7" ht="12.75" customFormat="1" customHeight="1" s="291">
      <c r="A7" s="336" t="inlineStr">
        <is>
          <t>Единица измерения  — 1 ед</t>
        </is>
      </c>
      <c r="I7" s="353" t="n"/>
      <c r="J7" s="353" t="n"/>
    </row>
    <row r="8" ht="13.5" customFormat="1" customHeight="1" s="291">
      <c r="A8" s="336" t="n"/>
    </row>
    <row r="9" ht="27" customHeight="1" s="301">
      <c r="A9" s="361" t="inlineStr">
        <is>
          <t>№ пп.</t>
        </is>
      </c>
      <c r="B9" s="361" t="inlineStr">
        <is>
          <t>Код ресурса</t>
        </is>
      </c>
      <c r="C9" s="361" t="inlineStr">
        <is>
          <t>Наименование</t>
        </is>
      </c>
      <c r="D9" s="361" t="inlineStr">
        <is>
          <t>Ед. изм.</t>
        </is>
      </c>
      <c r="E9" s="361" t="inlineStr">
        <is>
          <t>Кол-во единиц по проектным данным</t>
        </is>
      </c>
      <c r="F9" s="361" t="inlineStr">
        <is>
          <t>Сметная стоимость в ценах на 01.01.2000 (руб.)</t>
        </is>
      </c>
      <c r="G9" s="437" t="n"/>
      <c r="H9" s="361" t="inlineStr">
        <is>
          <t>Удельный вес, %</t>
        </is>
      </c>
      <c r="I9" s="361" t="inlineStr">
        <is>
          <t>Сметная стоимость в ценах на 01.01.2023 (руб.)</t>
        </is>
      </c>
      <c r="J9" s="437" t="n"/>
      <c r="K9" s="292" t="n"/>
      <c r="L9" s="292" t="n"/>
      <c r="M9" s="292" t="n"/>
      <c r="N9" s="292" t="n"/>
    </row>
    <row r="10" ht="28.5" customHeight="1" s="301">
      <c r="A10" s="439" t="n"/>
      <c r="B10" s="439" t="n"/>
      <c r="C10" s="439" t="n"/>
      <c r="D10" s="439" t="n"/>
      <c r="E10" s="439" t="n"/>
      <c r="F10" s="361" t="inlineStr">
        <is>
          <t>на ед. изм.</t>
        </is>
      </c>
      <c r="G10" s="361" t="inlineStr">
        <is>
          <t>общая</t>
        </is>
      </c>
      <c r="H10" s="439" t="n"/>
      <c r="I10" s="361" t="inlineStr">
        <is>
          <t>на ед. изм.</t>
        </is>
      </c>
      <c r="J10" s="361" t="inlineStr">
        <is>
          <t>общая</t>
        </is>
      </c>
      <c r="K10" s="292" t="n"/>
      <c r="L10" s="292" t="n"/>
      <c r="M10" s="292" t="n"/>
      <c r="N10" s="292" t="n"/>
    </row>
    <row r="11" s="301">
      <c r="A11" s="361" t="n">
        <v>1</v>
      </c>
      <c r="B11" s="361" t="n">
        <v>2</v>
      </c>
      <c r="C11" s="361" t="n">
        <v>3</v>
      </c>
      <c r="D11" s="361" t="n">
        <v>4</v>
      </c>
      <c r="E11" s="361" t="n">
        <v>5</v>
      </c>
      <c r="F11" s="361" t="n">
        <v>6</v>
      </c>
      <c r="G11" s="361" t="n">
        <v>7</v>
      </c>
      <c r="H11" s="361" t="n">
        <v>8</v>
      </c>
      <c r="I11" s="356" t="n">
        <v>9</v>
      </c>
      <c r="J11" s="356" t="n">
        <v>10</v>
      </c>
      <c r="K11" s="292" t="n"/>
      <c r="L11" s="292" t="n"/>
      <c r="M11" s="292" t="n"/>
      <c r="N11" s="292" t="n"/>
    </row>
    <row r="12">
      <c r="A12" s="361" t="n"/>
      <c r="B12" s="348" t="inlineStr">
        <is>
          <t>Затраты труда рабочих-строителей</t>
        </is>
      </c>
      <c r="C12" s="436" t="n"/>
      <c r="D12" s="436" t="n"/>
      <c r="E12" s="436" t="n"/>
      <c r="F12" s="436" t="n"/>
      <c r="G12" s="436" t="n"/>
      <c r="H12" s="437" t="n"/>
      <c r="I12" s="194" t="n"/>
      <c r="J12" s="194" t="n"/>
    </row>
    <row r="13" ht="25.5" customHeight="1" s="301">
      <c r="A13" s="361" t="n">
        <v>1</v>
      </c>
      <c r="B13" s="282" t="inlineStr">
        <is>
          <t>1-3-8</t>
        </is>
      </c>
      <c r="C13" s="360" t="inlineStr">
        <is>
          <t>Затраты труда рабочих-строителей среднего разряда (3,8)</t>
        </is>
      </c>
      <c r="D13" s="361" t="inlineStr">
        <is>
          <t>чел.-ч.</t>
        </is>
      </c>
      <c r="E13" s="446">
        <f>G13/F13</f>
        <v/>
      </c>
      <c r="F13" s="281" t="n">
        <v>9.4</v>
      </c>
      <c r="G13" s="281">
        <f>Прил.3!H12</f>
        <v/>
      </c>
      <c r="H13" s="270">
        <f>G13/G14</f>
        <v/>
      </c>
      <c r="I13" s="281">
        <f>ФОТр.тек.!E13</f>
        <v/>
      </c>
      <c r="J13" s="281">
        <f>ROUND(I13*E13,2)</f>
        <v/>
      </c>
    </row>
    <row r="14" ht="25.5" customFormat="1" customHeight="1" s="292">
      <c r="A14" s="361" t="n"/>
      <c r="B14" s="361" t="n"/>
      <c r="C14" s="348" t="inlineStr">
        <is>
          <t>Итого по разделу "Затраты труда рабочих-строителей"</t>
        </is>
      </c>
      <c r="D14" s="361" t="inlineStr">
        <is>
          <t>чел.-ч.</t>
        </is>
      </c>
      <c r="E14" s="446">
        <f>SUM(E13:E13)</f>
        <v/>
      </c>
      <c r="F14" s="281" t="n"/>
      <c r="G14" s="281">
        <f>SUM(G13:G13)</f>
        <v/>
      </c>
      <c r="H14" s="364" t="n">
        <v>1</v>
      </c>
      <c r="I14" s="194" t="n"/>
      <c r="J14" s="281">
        <f>SUM(J13:J13)</f>
        <v/>
      </c>
    </row>
    <row r="15" ht="14.25" customFormat="1" customHeight="1" s="292">
      <c r="A15" s="361" t="n"/>
      <c r="B15" s="360" t="inlineStr">
        <is>
          <t>Затраты труда машинистов</t>
        </is>
      </c>
      <c r="C15" s="436" t="n"/>
      <c r="D15" s="436" t="n"/>
      <c r="E15" s="436" t="n"/>
      <c r="F15" s="436" t="n"/>
      <c r="G15" s="436" t="n"/>
      <c r="H15" s="437" t="n"/>
      <c r="I15" s="194" t="n"/>
      <c r="J15" s="194" t="n"/>
    </row>
    <row r="16" ht="14.25" customFormat="1" customHeight="1" s="292">
      <c r="A16" s="361" t="n">
        <v>2</v>
      </c>
      <c r="B16" s="361" t="n">
        <v>2</v>
      </c>
      <c r="C16" s="360" t="inlineStr">
        <is>
          <t>Затраты труда машинистов</t>
        </is>
      </c>
      <c r="D16" s="361" t="inlineStr">
        <is>
          <t>чел.-ч.</t>
        </is>
      </c>
      <c r="E16" s="446">
        <f>Прил.3!F18</f>
        <v/>
      </c>
      <c r="F16" s="281">
        <f>G16/E16</f>
        <v/>
      </c>
      <c r="G16" s="281">
        <f>Прил.3!H17</f>
        <v/>
      </c>
      <c r="H16" s="364" t="n">
        <v>1</v>
      </c>
      <c r="I16" s="281">
        <f>ROUND(F16*Прил.10!D11,2)</f>
        <v/>
      </c>
      <c r="J16" s="281">
        <f>ROUND(I16*E16,2)</f>
        <v/>
      </c>
    </row>
    <row r="17" ht="14.25" customFormat="1" customHeight="1" s="292">
      <c r="A17" s="361" t="n"/>
      <c r="B17" s="348" t="inlineStr">
        <is>
          <t>Машины и механизмы</t>
        </is>
      </c>
      <c r="C17" s="436" t="n"/>
      <c r="D17" s="436" t="n"/>
      <c r="E17" s="436" t="n"/>
      <c r="F17" s="436" t="n"/>
      <c r="G17" s="436" t="n"/>
      <c r="H17" s="437" t="n"/>
      <c r="I17" s="194" t="n"/>
      <c r="J17" s="194" t="n"/>
    </row>
    <row r="18" ht="14.25" customFormat="1" customHeight="1" s="292">
      <c r="A18" s="361" t="n"/>
      <c r="B18" s="360" t="inlineStr">
        <is>
          <t>Основные машины и механизмы</t>
        </is>
      </c>
      <c r="C18" s="436" t="n"/>
      <c r="D18" s="436" t="n"/>
      <c r="E18" s="436" t="n"/>
      <c r="F18" s="436" t="n"/>
      <c r="G18" s="436" t="n"/>
      <c r="H18" s="437" t="n"/>
      <c r="I18" s="194" t="n"/>
      <c r="J18" s="194" t="n"/>
    </row>
    <row r="19" ht="25.5" customFormat="1" customHeight="1" s="292">
      <c r="A19" s="361" t="n">
        <v>3</v>
      </c>
      <c r="B19" s="282" t="inlineStr">
        <is>
          <t>91.05.05-015</t>
        </is>
      </c>
      <c r="C19" s="360" t="inlineStr">
        <is>
          <t>Краны на автомобильном ходу, грузоподъемность 16 т</t>
        </is>
      </c>
      <c r="D19" s="361" t="inlineStr">
        <is>
          <t>маш.час</t>
        </is>
      </c>
      <c r="E19" s="446" t="n">
        <v>10.58</v>
      </c>
      <c r="F19" s="363" t="n">
        <v>115.4</v>
      </c>
      <c r="G19" s="281">
        <f>ROUND(E19*F19,2)</f>
        <v/>
      </c>
      <c r="H19" s="270">
        <f>G19/$G$26</f>
        <v/>
      </c>
      <c r="I19" s="281">
        <f>ROUND(F19*Прил.10!$D$12,2)</f>
        <v/>
      </c>
      <c r="J19" s="281">
        <f>ROUND(I19*E19,2)</f>
        <v/>
      </c>
    </row>
    <row r="20" ht="25.5" customFormat="1" customHeight="1" s="292">
      <c r="A20" s="361" t="n">
        <v>4</v>
      </c>
      <c r="B20" s="282" t="inlineStr">
        <is>
          <t>91.14.02-001</t>
        </is>
      </c>
      <c r="C20" s="360" t="inlineStr">
        <is>
          <t>Автомобили бортовые, грузоподъемность до 5 т</t>
        </is>
      </c>
      <c r="D20" s="361" t="inlineStr">
        <is>
          <t>маш.час</t>
        </is>
      </c>
      <c r="E20" s="446" t="n">
        <v>10.58</v>
      </c>
      <c r="F20" s="363" t="n">
        <v>65.70999999999999</v>
      </c>
      <c r="G20" s="281">
        <f>ROUND(E20*F20,2)</f>
        <v/>
      </c>
      <c r="H20" s="270">
        <f>G20/$G$26</f>
        <v/>
      </c>
      <c r="I20" s="281">
        <f>ROUND(F20*Прил.10!$D$12,2)</f>
        <v/>
      </c>
      <c r="J20" s="281">
        <f>ROUND(I20*E20,2)</f>
        <v/>
      </c>
    </row>
    <row r="21" ht="25.5" customFormat="1" customHeight="1" s="292">
      <c r="A21" s="361" t="n">
        <v>5</v>
      </c>
      <c r="B21" s="282" t="inlineStr">
        <is>
          <t>91.06.03-061</t>
        </is>
      </c>
      <c r="C21" s="360" t="inlineStr">
        <is>
          <t>Лебедки электрические тяговым усилием до 12,26 кН (1,25 т)</t>
        </is>
      </c>
      <c r="D21" s="361" t="inlineStr">
        <is>
          <t>маш.час</t>
        </is>
      </c>
      <c r="E21" s="446" t="n">
        <v>92.28</v>
      </c>
      <c r="F21" s="363" t="n">
        <v>3.28</v>
      </c>
      <c r="G21" s="281">
        <f>ROUND(E21*F21,2)</f>
        <v/>
      </c>
      <c r="H21" s="270">
        <f>G21/$G$26</f>
        <v/>
      </c>
      <c r="I21" s="281">
        <f>ROUND(F21*Прил.10!$D$12,2)</f>
        <v/>
      </c>
      <c r="J21" s="281">
        <f>ROUND(I21*E21,2)</f>
        <v/>
      </c>
    </row>
    <row r="22" ht="14.25" customFormat="1" customHeight="1" s="292">
      <c r="A22" s="361" t="n"/>
      <c r="B22" s="361" t="n"/>
      <c r="C22" s="360" t="inlineStr">
        <is>
          <t>Итого основные машины и механизмы</t>
        </is>
      </c>
      <c r="D22" s="361" t="n"/>
      <c r="E22" s="446" t="n"/>
      <c r="F22" s="281" t="n"/>
      <c r="G22" s="281">
        <f>SUM(G19:G21)</f>
        <v/>
      </c>
      <c r="H22" s="364">
        <f>G22/G26</f>
        <v/>
      </c>
      <c r="I22" s="195" t="n"/>
      <c r="J22" s="281">
        <f>SUM(J19:J21)</f>
        <v/>
      </c>
    </row>
    <row r="23" hidden="1" outlineLevel="1" ht="25.5" customFormat="1" customHeight="1" s="292">
      <c r="A23" s="361" t="n">
        <v>6</v>
      </c>
      <c r="B23" s="282" t="inlineStr">
        <is>
          <t>91.06.01-003</t>
        </is>
      </c>
      <c r="C23" s="360" t="inlineStr">
        <is>
          <t>Домкраты гидравлические, грузоподъемность 63-100 т</t>
        </is>
      </c>
      <c r="D23" s="361" t="inlineStr">
        <is>
          <t>маш.час</t>
        </is>
      </c>
      <c r="E23" s="446" t="n">
        <v>92.28</v>
      </c>
      <c r="F23" s="363" t="n">
        <v>0.9</v>
      </c>
      <c r="G23" s="281">
        <f>ROUND(E23*F23,2)</f>
        <v/>
      </c>
      <c r="H23" s="270">
        <f>G23/$G$26</f>
        <v/>
      </c>
      <c r="I23" s="281">
        <f>ROUND(F23*Прил.10!$D$12,2)</f>
        <v/>
      </c>
      <c r="J23" s="281">
        <f>ROUND(I23*E23,2)</f>
        <v/>
      </c>
    </row>
    <row r="24" hidden="1" outlineLevel="1" ht="25.5" customFormat="1" customHeight="1" s="292">
      <c r="A24" s="361" t="n">
        <v>7</v>
      </c>
      <c r="B24" s="282" t="inlineStr">
        <is>
          <t>91.17.04-233</t>
        </is>
      </c>
      <c r="C24" s="360" t="inlineStr">
        <is>
          <t>Установки для сварки ручной дуговой (постоянного тока)</t>
        </is>
      </c>
      <c r="D24" s="361" t="inlineStr">
        <is>
          <t>маш.час</t>
        </is>
      </c>
      <c r="E24" s="446" t="n">
        <v>0.9</v>
      </c>
      <c r="F24" s="363" t="n">
        <v>8.1</v>
      </c>
      <c r="G24" s="281">
        <f>ROUND(E24*F24,2)</f>
        <v/>
      </c>
      <c r="H24" s="270">
        <f>G24/$G$26</f>
        <v/>
      </c>
      <c r="I24" s="281">
        <f>ROUND(F24*Прил.10!$D$12,2)</f>
        <v/>
      </c>
      <c r="J24" s="281">
        <f>ROUND(I24*E24,2)</f>
        <v/>
      </c>
    </row>
    <row r="25" collapsed="1" ht="14.25" customFormat="1" customHeight="1" s="292">
      <c r="A25" s="361" t="n"/>
      <c r="B25" s="361" t="n"/>
      <c r="C25" s="360" t="inlineStr">
        <is>
          <t>Итого прочие машины и механизмы</t>
        </is>
      </c>
      <c r="D25" s="361" t="n"/>
      <c r="E25" s="362" t="n"/>
      <c r="F25" s="281" t="n"/>
      <c r="G25" s="195">
        <f>SUM(G23:G24)</f>
        <v/>
      </c>
      <c r="H25" s="270">
        <f>G25/G26</f>
        <v/>
      </c>
      <c r="I25" s="281" t="n"/>
      <c r="J25" s="195">
        <f>SUM(J23:J24)</f>
        <v/>
      </c>
    </row>
    <row r="26" ht="25.5" customFormat="1" customHeight="1" s="292">
      <c r="A26" s="361" t="n"/>
      <c r="B26" s="361" t="n"/>
      <c r="C26" s="348" t="inlineStr">
        <is>
          <t>Итого по разделу «Машины и механизмы»</t>
        </is>
      </c>
      <c r="D26" s="361" t="n"/>
      <c r="E26" s="362" t="n"/>
      <c r="F26" s="281" t="n"/>
      <c r="G26" s="281">
        <f>G25+G22</f>
        <v/>
      </c>
      <c r="H26" s="188" t="n">
        <v>1</v>
      </c>
      <c r="I26" s="189" t="n"/>
      <c r="J26" s="215">
        <f>J25+J22</f>
        <v/>
      </c>
    </row>
    <row r="27" ht="14.25" customFormat="1" customHeight="1" s="292">
      <c r="A27" s="361" t="n"/>
      <c r="B27" s="348" t="inlineStr">
        <is>
          <t>Оборудование</t>
        </is>
      </c>
      <c r="C27" s="436" t="n"/>
      <c r="D27" s="436" t="n"/>
      <c r="E27" s="436" t="n"/>
      <c r="F27" s="436" t="n"/>
      <c r="G27" s="436" t="n"/>
      <c r="H27" s="437" t="n"/>
      <c r="I27" s="194" t="n"/>
      <c r="J27" s="194" t="n"/>
    </row>
    <row r="28">
      <c r="A28" s="361" t="n"/>
      <c r="B28" s="355" t="inlineStr">
        <is>
          <t>Основное оборудование</t>
        </is>
      </c>
      <c r="C28" s="447" t="n"/>
      <c r="D28" s="447" t="n"/>
      <c r="E28" s="447" t="n"/>
      <c r="F28" s="447" t="n"/>
      <c r="G28" s="447" t="n"/>
      <c r="H28" s="448" t="n"/>
      <c r="I28" s="194" t="n"/>
      <c r="J28" s="194" t="n"/>
      <c r="K28" s="292" t="n"/>
      <c r="L28" s="292" t="n"/>
    </row>
    <row r="29" ht="38.25" customHeight="1" s="301">
      <c r="A29" s="361" t="n">
        <v>8</v>
      </c>
      <c r="B29" s="282" t="inlineStr">
        <is>
          <t>БЦ.30_1.11</t>
        </is>
      </c>
      <c r="C29" s="360" t="inlineStr">
        <is>
          <t>Дифференциальная защита сборных шин 110 – 220 кВ (9 присоединений с жесткой фиксацией)</t>
        </is>
      </c>
      <c r="D29" s="361" t="inlineStr">
        <is>
          <t>шт</t>
        </is>
      </c>
      <c r="E29" s="446" t="n">
        <v>1</v>
      </c>
      <c r="F29" s="281">
        <f>ROUND(I29/Прил.10!D14,2)</f>
        <v/>
      </c>
      <c r="G29" s="281">
        <f>ROUND(E29*F29,2)</f>
        <v/>
      </c>
      <c r="H29" s="270">
        <f>G29/G32</f>
        <v/>
      </c>
      <c r="I29" s="281" t="n">
        <v>3795700</v>
      </c>
      <c r="J29" s="281">
        <f>ROUND(I29*E29,2)</f>
        <v/>
      </c>
      <c r="K29" s="292" t="n"/>
      <c r="L29" s="292" t="n"/>
    </row>
    <row r="30">
      <c r="A30" s="361" t="n"/>
      <c r="B30" s="361" t="n"/>
      <c r="C30" s="360" t="inlineStr">
        <is>
          <t>Итого основное оборудование</t>
        </is>
      </c>
      <c r="D30" s="361" t="n"/>
      <c r="E30" s="446" t="n"/>
      <c r="F30" s="363" t="n"/>
      <c r="G30" s="281">
        <f>G29</f>
        <v/>
      </c>
      <c r="H30" s="364" t="n">
        <v>0</v>
      </c>
      <c r="I30" s="195" t="n"/>
      <c r="J30" s="281">
        <f>J29</f>
        <v/>
      </c>
      <c r="K30" s="292" t="n"/>
      <c r="L30" s="292" t="n"/>
    </row>
    <row r="31">
      <c r="A31" s="361" t="n"/>
      <c r="B31" s="361" t="n"/>
      <c r="C31" s="360" t="inlineStr">
        <is>
          <t>Итого прочее оборудование</t>
        </is>
      </c>
      <c r="D31" s="361" t="n"/>
      <c r="E31" s="446" t="n"/>
      <c r="F31" s="363" t="n"/>
      <c r="G31" s="281" t="n">
        <v>0</v>
      </c>
      <c r="H31" s="364" t="n">
        <v>0</v>
      </c>
      <c r="I31" s="195" t="n"/>
      <c r="J31" s="281" t="n">
        <v>0</v>
      </c>
      <c r="K31" s="292" t="n"/>
      <c r="L31" s="292" t="n"/>
    </row>
    <row r="32">
      <c r="A32" s="361" t="n"/>
      <c r="B32" s="361" t="n"/>
      <c r="C32" s="348" t="inlineStr">
        <is>
          <t>Итого по разделу «Оборудование»</t>
        </is>
      </c>
      <c r="D32" s="361" t="n"/>
      <c r="E32" s="362" t="n"/>
      <c r="F32" s="363" t="n"/>
      <c r="G32" s="281">
        <f>G31+G30</f>
        <v/>
      </c>
      <c r="H32" s="364">
        <f>H31+H30</f>
        <v/>
      </c>
      <c r="I32" s="195" t="n"/>
      <c r="J32" s="281">
        <f>J31+J30</f>
        <v/>
      </c>
      <c r="K32" s="292" t="n"/>
      <c r="L32" s="292" t="n"/>
    </row>
    <row r="33" ht="25.5" customHeight="1" s="301">
      <c r="A33" s="361" t="n"/>
      <c r="B33" s="361" t="n"/>
      <c r="C33" s="360" t="inlineStr">
        <is>
          <t>в том числе технологическое оборудование</t>
        </is>
      </c>
      <c r="D33" s="361" t="n"/>
      <c r="E33" s="449" t="n"/>
      <c r="F33" s="363" t="n"/>
      <c r="G33" s="281">
        <f>G32</f>
        <v/>
      </c>
      <c r="H33" s="364" t="n"/>
      <c r="I33" s="195" t="n"/>
      <c r="J33" s="281">
        <f>J32</f>
        <v/>
      </c>
      <c r="K33" s="292" t="n"/>
      <c r="L33" s="292" t="n"/>
    </row>
    <row r="34" ht="14.25" customFormat="1" customHeight="1" s="292">
      <c r="A34" s="361" t="n"/>
      <c r="B34" s="348" t="inlineStr">
        <is>
          <t>Материалы</t>
        </is>
      </c>
      <c r="C34" s="436" t="n"/>
      <c r="D34" s="436" t="n"/>
      <c r="E34" s="436" t="n"/>
      <c r="F34" s="436" t="n"/>
      <c r="G34" s="436" t="n"/>
      <c r="H34" s="437" t="n"/>
      <c r="I34" s="194" t="n"/>
      <c r="J34" s="194" t="n"/>
    </row>
    <row r="35" ht="14.25" customFormat="1" customHeight="1" s="292">
      <c r="A35" s="356" t="n"/>
      <c r="B35" s="355" t="inlineStr">
        <is>
          <t>Основные материалы</t>
        </is>
      </c>
      <c r="C35" s="447" t="n"/>
      <c r="D35" s="447" t="n"/>
      <c r="E35" s="447" t="n"/>
      <c r="F35" s="447" t="n"/>
      <c r="G35" s="447" t="n"/>
      <c r="H35" s="448" t="n"/>
      <c r="I35" s="210" t="n"/>
      <c r="J35" s="210" t="n"/>
    </row>
    <row r="36" ht="27.75" customFormat="1" customHeight="1" s="292">
      <c r="A36" s="361" t="n">
        <v>9</v>
      </c>
      <c r="B36" s="282" t="inlineStr">
        <is>
          <t>21.1.08.03-0579</t>
        </is>
      </c>
      <c r="C36" s="360" t="inlineStr">
        <is>
          <t>Кабель контрольный КВВГЭнг(A)-LS 5х2,5</t>
        </is>
      </c>
      <c r="D36" s="361" t="inlineStr">
        <is>
          <t>1000 м</t>
        </is>
      </c>
      <c r="E36" s="446" t="n">
        <v>3.06</v>
      </c>
      <c r="F36" s="363" t="n">
        <v>38348.22</v>
      </c>
      <c r="G36" s="281">
        <f>ROUND(E36*F36,2)</f>
        <v/>
      </c>
      <c r="H36" s="270">
        <f>G36/$G$65</f>
        <v/>
      </c>
      <c r="I36" s="281">
        <f>ROUND(F36*Прил.10!$D$13,2)</f>
        <v/>
      </c>
      <c r="J36" s="281">
        <f>ROUND(I36*E36,2)</f>
        <v/>
      </c>
    </row>
    <row r="37" ht="14.25" customFormat="1" customHeight="1" s="292">
      <c r="A37" s="361" t="n">
        <v>10</v>
      </c>
      <c r="B37" s="282" t="inlineStr">
        <is>
          <t>21.1.08.03-0581</t>
        </is>
      </c>
      <c r="C37" s="360" t="inlineStr">
        <is>
          <t>Кабель контрольный КВВГЭнг(A)-LS 7х1,5</t>
        </is>
      </c>
      <c r="D37" s="361" t="inlineStr">
        <is>
          <t>1000 м</t>
        </is>
      </c>
      <c r="E37" s="446" t="n">
        <v>2.04</v>
      </c>
      <c r="F37" s="363" t="n">
        <v>37014.5</v>
      </c>
      <c r="G37" s="281">
        <f>ROUND(E37*F37,2)</f>
        <v/>
      </c>
      <c r="H37" s="270">
        <f>G37/$G$65</f>
        <v/>
      </c>
      <c r="I37" s="281">
        <f>ROUND(F37*Прил.10!$D$13,2)</f>
        <v/>
      </c>
      <c r="J37" s="281">
        <f>ROUND(I37*E37,2)</f>
        <v/>
      </c>
    </row>
    <row r="38" ht="14.25" customFormat="1" customHeight="1" s="292">
      <c r="A38" s="361" t="n"/>
      <c r="B38" s="211" t="n"/>
      <c r="C38" s="212" t="inlineStr">
        <is>
          <t>Итого основные материалы</t>
        </is>
      </c>
      <c r="D38" s="378" t="n"/>
      <c r="E38" s="446" t="n"/>
      <c r="F38" s="215" t="n"/>
      <c r="G38" s="215">
        <f>SUM(G36:G37)</f>
        <v/>
      </c>
      <c r="H38" s="270">
        <f>G38/$G$65</f>
        <v/>
      </c>
      <c r="I38" s="281" t="n"/>
      <c r="J38" s="215">
        <f>SUM(J36:J37)</f>
        <v/>
      </c>
    </row>
    <row r="39" hidden="1" outlineLevel="1" ht="63.75" customFormat="1" customHeight="1" s="292">
      <c r="A39" s="361" t="n">
        <v>11</v>
      </c>
      <c r="B39" s="282" t="inlineStr">
        <is>
          <t>21.1.01.01-0001</t>
        </is>
      </c>
      <c r="C39" s="360" t="inlineStr">
        <is>
          <t>Кабель волоконно-оптический самонесущий биэлектрический ДСт-49-6z-6/32 (прим. Патч-корд волоконно-оптический Vimcom LC-LC duplex 50/125 50m)</t>
        </is>
      </c>
      <c r="D39" s="361" t="inlineStr">
        <is>
          <t>1000 м</t>
        </is>
      </c>
      <c r="E39" s="446" t="n">
        <v>0.1</v>
      </c>
      <c r="F39" s="363" t="n">
        <v>45920.85</v>
      </c>
      <c r="G39" s="281">
        <f>ROUND(E39*F39,2)</f>
        <v/>
      </c>
      <c r="H39" s="270">
        <f>G39/$G$65</f>
        <v/>
      </c>
      <c r="I39" s="281">
        <f>ROUND(F39*Прил.10!$D$13,2)</f>
        <v/>
      </c>
      <c r="J39" s="281">
        <f>ROUND(I39*E39,2)</f>
        <v/>
      </c>
    </row>
    <row r="40" hidden="1" outlineLevel="1" ht="14.25" customFormat="1" customHeight="1" s="292">
      <c r="A40" s="361" t="n">
        <v>12</v>
      </c>
      <c r="B40" s="282" t="inlineStr">
        <is>
          <t>21.1.08.03-0574</t>
        </is>
      </c>
      <c r="C40" s="360" t="inlineStr">
        <is>
          <t>Кабель контрольный КВВГЭнг(A)-LS 4х2,5</t>
        </is>
      </c>
      <c r="D40" s="361" t="inlineStr">
        <is>
          <t>1000 м</t>
        </is>
      </c>
      <c r="E40" s="446" t="n">
        <v>0.102</v>
      </c>
      <c r="F40" s="363" t="n">
        <v>32828.83</v>
      </c>
      <c r="G40" s="281">
        <f>ROUND(E40*F40,2)</f>
        <v/>
      </c>
      <c r="H40" s="270">
        <f>G40/$G$65</f>
        <v/>
      </c>
      <c r="I40" s="281">
        <f>ROUND(F40*Прил.10!$D$13,2)</f>
        <v/>
      </c>
      <c r="J40" s="281">
        <f>ROUND(I40*E40,2)</f>
        <v/>
      </c>
    </row>
    <row r="41" hidden="1" outlineLevel="1" ht="25.5" customFormat="1" customHeight="1" s="292">
      <c r="A41" s="361" t="n">
        <v>13</v>
      </c>
      <c r="B41" s="282" t="inlineStr">
        <is>
          <t>10.3.02.03-0011</t>
        </is>
      </c>
      <c r="C41" s="360" t="inlineStr">
        <is>
          <t>Припои оловянно-свинцовые бессурьмянистые, марка ПОС30</t>
        </is>
      </c>
      <c r="D41" s="361" t="inlineStr">
        <is>
          <t>т</t>
        </is>
      </c>
      <c r="E41" s="446" t="n">
        <v>0.02212</v>
      </c>
      <c r="F41" s="363" t="n">
        <v>68050</v>
      </c>
      <c r="G41" s="281">
        <f>ROUND(E41*F41,2)</f>
        <v/>
      </c>
      <c r="H41" s="270">
        <f>G41/$G$65</f>
        <v/>
      </c>
      <c r="I41" s="281">
        <f>ROUND(F41*Прил.10!$D$13,2)</f>
        <v/>
      </c>
      <c r="J41" s="281">
        <f>ROUND(I41*E41,2)</f>
        <v/>
      </c>
    </row>
    <row r="42" hidden="1" outlineLevel="1" ht="38.25" customFormat="1" customHeight="1" s="292">
      <c r="A42" s="361" t="n">
        <v>14</v>
      </c>
      <c r="B42" s="282" t="inlineStr">
        <is>
          <t>24.3.01.02-0002</t>
        </is>
      </c>
      <c r="C42" s="360" t="inlineStr">
        <is>
          <t>Трубы гибкие гофрированные из самозатухающего ПВХ легкие с протяжкой, диаметр 25 мм</t>
        </is>
      </c>
      <c r="D42" s="361" t="inlineStr">
        <is>
          <t>м</t>
        </is>
      </c>
      <c r="E42" s="446" t="n">
        <v>102</v>
      </c>
      <c r="F42" s="363" t="n">
        <v>3.43</v>
      </c>
      <c r="G42" s="281">
        <f>ROUND(E42*F42,2)</f>
        <v/>
      </c>
      <c r="H42" s="270">
        <f>G42/$G$65</f>
        <v/>
      </c>
      <c r="I42" s="281">
        <f>ROUND(F42*Прил.10!$D$13,2)</f>
        <v/>
      </c>
      <c r="J42" s="281">
        <f>ROUND(I42*E42,2)</f>
        <v/>
      </c>
    </row>
    <row r="43" hidden="1" outlineLevel="1" ht="25.5" customFormat="1" customHeight="1" s="292">
      <c r="A43" s="361" t="n">
        <v>15</v>
      </c>
      <c r="B43" s="282" t="inlineStr">
        <is>
          <t>07.2.07.04-0007</t>
        </is>
      </c>
      <c r="C43" s="360" t="inlineStr">
        <is>
          <t>Конструкции стальные индивидуальные решетчатые сварные, масса до 0,1 т</t>
        </is>
      </c>
      <c r="D43" s="361" t="inlineStr">
        <is>
          <t>т</t>
        </is>
      </c>
      <c r="E43" s="446" t="n">
        <v>0.03</v>
      </c>
      <c r="F43" s="363" t="n">
        <v>11500</v>
      </c>
      <c r="G43" s="281">
        <f>ROUND(E43*F43,2)</f>
        <v/>
      </c>
      <c r="H43" s="270">
        <f>G43/$G$65</f>
        <v/>
      </c>
      <c r="I43" s="281">
        <f>ROUND(F43*Прил.10!$D$13,2)</f>
        <v/>
      </c>
      <c r="J43" s="281">
        <f>ROUND(I43*E43,2)</f>
        <v/>
      </c>
    </row>
    <row r="44" hidden="1" outlineLevel="1" ht="14.25" customFormat="1" customHeight="1" s="292">
      <c r="A44" s="361" t="n">
        <v>16</v>
      </c>
      <c r="B44" s="282" t="inlineStr">
        <is>
          <t>01.7.06.07-0002</t>
        </is>
      </c>
      <c r="C44" s="360" t="inlineStr">
        <is>
          <t>Лента монтажная, тип ЛМ-5</t>
        </is>
      </c>
      <c r="D44" s="361" t="inlineStr">
        <is>
          <t>10 м</t>
        </is>
      </c>
      <c r="E44" s="446" t="n">
        <v>29.655</v>
      </c>
      <c r="F44" s="363" t="n">
        <v>6.9</v>
      </c>
      <c r="G44" s="281">
        <f>ROUND(E44*F44,2)</f>
        <v/>
      </c>
      <c r="H44" s="270">
        <f>G44/$G$65</f>
        <v/>
      </c>
      <c r="I44" s="281">
        <f>ROUND(F44*Прил.10!$D$13,2)</f>
        <v/>
      </c>
      <c r="J44" s="281">
        <f>ROUND(I44*E44,2)</f>
        <v/>
      </c>
    </row>
    <row r="45" hidden="1" outlineLevel="1" ht="14.25" customFormat="1" customHeight="1" s="292">
      <c r="A45" s="361" t="n">
        <v>17</v>
      </c>
      <c r="B45" s="282" t="inlineStr">
        <is>
          <t>14.4.03.03-0002</t>
        </is>
      </c>
      <c r="C45" s="360" t="inlineStr">
        <is>
          <t>Лак битумный БТ-123</t>
        </is>
      </c>
      <c r="D45" s="361" t="inlineStr">
        <is>
          <t>т</t>
        </is>
      </c>
      <c r="E45" s="446" t="n">
        <v>0.02088</v>
      </c>
      <c r="F45" s="363" t="n">
        <v>7826.9</v>
      </c>
      <c r="G45" s="281">
        <f>ROUND(E45*F45,2)</f>
        <v/>
      </c>
      <c r="H45" s="270">
        <f>G45/$G$65</f>
        <v/>
      </c>
      <c r="I45" s="281">
        <f>ROUND(F45*Прил.10!$D$13,2)</f>
        <v/>
      </c>
      <c r="J45" s="281">
        <f>ROUND(I45*E45,2)</f>
        <v/>
      </c>
    </row>
    <row r="46" hidden="1" outlineLevel="1" ht="14.25" customFormat="1" customHeight="1" s="292">
      <c r="A46" s="361" t="n">
        <v>18</v>
      </c>
      <c r="B46" s="282" t="inlineStr">
        <is>
          <t>20.1.02.06-0001</t>
        </is>
      </c>
      <c r="C46" s="360" t="inlineStr">
        <is>
          <t>Жир паяльный</t>
        </is>
      </c>
      <c r="D46" s="361" t="inlineStr">
        <is>
          <t>кг</t>
        </is>
      </c>
      <c r="E46" s="446" t="n">
        <v>1.24</v>
      </c>
      <c r="F46" s="363" t="n">
        <v>100.8</v>
      </c>
      <c r="G46" s="281">
        <f>ROUND(E46*F46,2)</f>
        <v/>
      </c>
      <c r="H46" s="270">
        <f>G46/$G$65</f>
        <v/>
      </c>
      <c r="I46" s="281">
        <f>ROUND(F46*Прил.10!$D$13,2)</f>
        <v/>
      </c>
      <c r="J46" s="281">
        <f>ROUND(I46*E46,2)</f>
        <v/>
      </c>
    </row>
    <row r="47" hidden="1" outlineLevel="1" ht="25.5" customFormat="1" customHeight="1" s="292">
      <c r="A47" s="361" t="n">
        <v>19</v>
      </c>
      <c r="B47" s="282" t="inlineStr">
        <is>
          <t>999-9950</t>
        </is>
      </c>
      <c r="C47" s="360" t="inlineStr">
        <is>
          <t>Вспомогательные ненормируемые ресурсы (2% от Оплаты труда рабочих)</t>
        </is>
      </c>
      <c r="D47" s="361" t="inlineStr">
        <is>
          <t>руб</t>
        </is>
      </c>
      <c r="E47" s="446" t="n">
        <v>86.538</v>
      </c>
      <c r="F47" s="363" t="n">
        <v>1</v>
      </c>
      <c r="G47" s="281">
        <f>ROUND(E47*F47,2)</f>
        <v/>
      </c>
      <c r="H47" s="270">
        <f>G47/$G$65</f>
        <v/>
      </c>
      <c r="I47" s="281">
        <f>ROUND(F47*Прил.10!$D$13,2)</f>
        <v/>
      </c>
      <c r="J47" s="281">
        <f>ROUND(I47*E47,2)</f>
        <v/>
      </c>
    </row>
    <row r="48" hidden="1" outlineLevel="1" ht="14.25" customFormat="1" customHeight="1" s="292">
      <c r="A48" s="361" t="n">
        <v>20</v>
      </c>
      <c r="B48" s="282" t="inlineStr">
        <is>
          <t>25.2.01.01-0017</t>
        </is>
      </c>
      <c r="C48" s="360" t="inlineStr">
        <is>
          <t>Бирки маркировочные пластмассовые</t>
        </is>
      </c>
      <c r="D48" s="361" t="inlineStr">
        <is>
          <t>100 шт</t>
        </is>
      </c>
      <c r="E48" s="446" t="n">
        <v>2.8</v>
      </c>
      <c r="F48" s="363" t="n">
        <v>30.74</v>
      </c>
      <c r="G48" s="281">
        <f>ROUND(E48*F48,2)</f>
        <v/>
      </c>
      <c r="H48" s="270">
        <f>G48/$G$65</f>
        <v/>
      </c>
      <c r="I48" s="281">
        <f>ROUND(F48*Прил.10!$D$13,2)</f>
        <v/>
      </c>
      <c r="J48" s="281">
        <f>ROUND(I48*E48,2)</f>
        <v/>
      </c>
    </row>
    <row r="49" hidden="1" outlineLevel="1" ht="14.25" customFormat="1" customHeight="1" s="292">
      <c r="A49" s="361" t="n">
        <v>21</v>
      </c>
      <c r="B49" s="282" t="inlineStr">
        <is>
          <t>01.7.15.14-0165</t>
        </is>
      </c>
      <c r="C49" s="360" t="inlineStr">
        <is>
          <t>Шурупы с полукруглой головкой 4х40 мм</t>
        </is>
      </c>
      <c r="D49" s="361" t="inlineStr">
        <is>
          <t>т</t>
        </is>
      </c>
      <c r="E49" s="446" t="n">
        <v>0.00297</v>
      </c>
      <c r="F49" s="363" t="n">
        <v>12430</v>
      </c>
      <c r="G49" s="281">
        <f>ROUND(E49*F49,2)</f>
        <v/>
      </c>
      <c r="H49" s="270">
        <f>G49/$G$65</f>
        <v/>
      </c>
      <c r="I49" s="281">
        <f>ROUND(F49*Прил.10!$D$13,2)</f>
        <v/>
      </c>
      <c r="J49" s="281">
        <f>ROUND(I49*E49,2)</f>
        <v/>
      </c>
    </row>
    <row r="50" hidden="1" outlineLevel="1" ht="25.5" customFormat="1" customHeight="1" s="292">
      <c r="A50" s="361" t="n">
        <v>22</v>
      </c>
      <c r="B50" s="282" t="inlineStr">
        <is>
          <t>10.3.02.03-0013</t>
        </is>
      </c>
      <c r="C50" s="360" t="inlineStr">
        <is>
          <t>Припои оловянно-свинцовые бессурьмянистые, марка ПОС61</t>
        </is>
      </c>
      <c r="D50" s="361" t="inlineStr">
        <is>
          <t>т</t>
        </is>
      </c>
      <c r="E50" s="446" t="n">
        <v>0.000224</v>
      </c>
      <c r="F50" s="363" t="n">
        <v>114220</v>
      </c>
      <c r="G50" s="281">
        <f>ROUND(E50*F50,2)</f>
        <v/>
      </c>
      <c r="H50" s="270">
        <f>G50/$G$65</f>
        <v/>
      </c>
      <c r="I50" s="281">
        <f>ROUND(F50*Прил.10!$D$13,2)</f>
        <v/>
      </c>
      <c r="J50" s="281">
        <f>ROUND(I50*E50,2)</f>
        <v/>
      </c>
    </row>
    <row r="51" hidden="1" outlineLevel="1" ht="38.25" customFormat="1" customHeight="1" s="292">
      <c r="A51" s="361" t="n">
        <v>23</v>
      </c>
      <c r="B51" s="282" t="inlineStr">
        <is>
          <t>01.7.06.05-0041</t>
        </is>
      </c>
      <c r="C51" s="360" t="inlineStr">
        <is>
          <t>Лента изоляционная прорезиненная односторонняя, ширина 20 мм, толщина 0,25-0,35 мм</t>
        </is>
      </c>
      <c r="D51" s="361" t="inlineStr">
        <is>
          <t>кг</t>
        </is>
      </c>
      <c r="E51" s="446" t="n">
        <v>0.78</v>
      </c>
      <c r="F51" s="363" t="n">
        <v>30.4</v>
      </c>
      <c r="G51" s="281">
        <f>ROUND(E51*F51,2)</f>
        <v/>
      </c>
      <c r="H51" s="270">
        <f>G51/$G$65</f>
        <v/>
      </c>
      <c r="I51" s="281">
        <f>ROUND(F51*Прил.10!$D$13,2)</f>
        <v/>
      </c>
      <c r="J51" s="281">
        <f>ROUND(I51*E51,2)</f>
        <v/>
      </c>
    </row>
    <row r="52" hidden="1" outlineLevel="1" ht="14.25" customFormat="1" customHeight="1" s="292">
      <c r="A52" s="361" t="n">
        <v>24</v>
      </c>
      <c r="B52" s="282" t="inlineStr">
        <is>
          <t>01.7.15.07-0152</t>
        </is>
      </c>
      <c r="C52" s="360" t="inlineStr">
        <is>
          <t>Дюбели с шурупом, размер 6х35 мм</t>
        </is>
      </c>
      <c r="D52" s="361" t="inlineStr">
        <is>
          <t>100 шт</t>
        </is>
      </c>
      <c r="E52" s="446" t="n">
        <v>1.75</v>
      </c>
      <c r="F52" s="363" t="n">
        <v>8</v>
      </c>
      <c r="G52" s="281">
        <f>ROUND(E52*F52,2)</f>
        <v/>
      </c>
      <c r="H52" s="270">
        <f>G52/$G$65</f>
        <v/>
      </c>
      <c r="I52" s="281">
        <f>ROUND(F52*Прил.10!$D$13,2)</f>
        <v/>
      </c>
      <c r="J52" s="281">
        <f>ROUND(I52*E52,2)</f>
        <v/>
      </c>
    </row>
    <row r="53" hidden="1" outlineLevel="1" ht="14.25" customFormat="1" customHeight="1" s="292">
      <c r="A53" s="361" t="n">
        <v>25</v>
      </c>
      <c r="B53" s="282" t="inlineStr">
        <is>
          <t>01.3.01.05-0009</t>
        </is>
      </c>
      <c r="C53" s="360" t="inlineStr">
        <is>
          <t>Парафин нефтяной твердый Т-1</t>
        </is>
      </c>
      <c r="D53" s="361" t="inlineStr">
        <is>
          <t>т</t>
        </is>
      </c>
      <c r="E53" s="446" t="n">
        <v>0.00062</v>
      </c>
      <c r="F53" s="363" t="n">
        <v>8105.71</v>
      </c>
      <c r="G53" s="281">
        <f>ROUND(E53*F53,2)</f>
        <v/>
      </c>
      <c r="H53" s="270">
        <f>G53/$G$65</f>
        <v/>
      </c>
      <c r="I53" s="281">
        <f>ROUND(F53*Прил.10!$D$13,2)</f>
        <v/>
      </c>
      <c r="J53" s="281">
        <f>ROUND(I53*E53,2)</f>
        <v/>
      </c>
    </row>
    <row r="54" hidden="1" outlineLevel="1" ht="14.25" customFormat="1" customHeight="1" s="292">
      <c r="A54" s="361" t="n">
        <v>26</v>
      </c>
      <c r="B54" s="282" t="inlineStr">
        <is>
          <t>24.3.01.01-0002</t>
        </is>
      </c>
      <c r="C54" s="360" t="inlineStr">
        <is>
          <t>Трубка полихлорвиниловая</t>
        </is>
      </c>
      <c r="D54" s="361" t="inlineStr">
        <is>
          <t>кг</t>
        </is>
      </c>
      <c r="E54" s="446" t="n">
        <v>0.112</v>
      </c>
      <c r="F54" s="363" t="n">
        <v>35.7</v>
      </c>
      <c r="G54" s="281">
        <f>ROUND(E54*F54,2)</f>
        <v/>
      </c>
      <c r="H54" s="270">
        <f>G54/$G$65</f>
        <v/>
      </c>
      <c r="I54" s="281">
        <f>ROUND(F54*Прил.10!$D$13,2)</f>
        <v/>
      </c>
      <c r="J54" s="281">
        <f>ROUND(I54*E54,2)</f>
        <v/>
      </c>
    </row>
    <row r="55" hidden="1" outlineLevel="1" ht="14.25" customFormat="1" customHeight="1" s="292">
      <c r="A55" s="361" t="n">
        <v>27</v>
      </c>
      <c r="B55" s="282" t="inlineStr">
        <is>
          <t>20.2.01.05-0001</t>
        </is>
      </c>
      <c r="C55" s="360" t="inlineStr">
        <is>
          <t>Гильзы кабельные медные ГМ 2,5</t>
        </is>
      </c>
      <c r="D55" s="361" t="inlineStr">
        <is>
          <t>100 шт</t>
        </is>
      </c>
      <c r="E55" s="446" t="n">
        <v>0.05</v>
      </c>
      <c r="F55" s="363" t="n">
        <v>66</v>
      </c>
      <c r="G55" s="281">
        <f>ROUND(E55*F55,2)</f>
        <v/>
      </c>
      <c r="H55" s="270">
        <f>G55/$G$65</f>
        <v/>
      </c>
      <c r="I55" s="281">
        <f>ROUND(F55*Прил.10!$D$13,2)</f>
        <v/>
      </c>
      <c r="J55" s="281">
        <f>ROUND(I55*E55,2)</f>
        <v/>
      </c>
    </row>
    <row r="56" hidden="1" outlineLevel="1" ht="25.5" customFormat="1" customHeight="1" s="292">
      <c r="A56" s="361" t="n">
        <v>28</v>
      </c>
      <c r="B56" s="282" t="inlineStr">
        <is>
          <t>01.7.11.07-0034</t>
        </is>
      </c>
      <c r="C56" s="360" t="inlineStr">
        <is>
          <t>Электроды сварочные Э42А, диаметр 4 мм</t>
        </is>
      </c>
      <c r="D56" s="361" t="inlineStr">
        <is>
          <t>кг</t>
        </is>
      </c>
      <c r="E56" s="446" t="n">
        <v>0.3</v>
      </c>
      <c r="F56" s="363" t="n">
        <v>10.57</v>
      </c>
      <c r="G56" s="281">
        <f>ROUND(E56*F56,2)</f>
        <v/>
      </c>
      <c r="H56" s="270">
        <f>G56/$G$65</f>
        <v/>
      </c>
      <c r="I56" s="281">
        <f>ROUND(F56*Прил.10!$D$13,2)</f>
        <v/>
      </c>
      <c r="J56" s="281">
        <f>ROUND(I56*E56,2)</f>
        <v/>
      </c>
    </row>
    <row r="57" hidden="1" outlineLevel="1" ht="25.5" customFormat="1" customHeight="1" s="292">
      <c r="A57" s="361" t="n">
        <v>29</v>
      </c>
      <c r="B57" s="282" t="inlineStr">
        <is>
          <t>01.3.01.07-0009</t>
        </is>
      </c>
      <c r="C57" s="360" t="inlineStr">
        <is>
          <t>Спирт этиловый ректификованный технический, сорт I</t>
        </is>
      </c>
      <c r="D57" s="361" t="inlineStr">
        <is>
          <t>кг</t>
        </is>
      </c>
      <c r="E57" s="446" t="n">
        <v>0.08119999999999999</v>
      </c>
      <c r="F57" s="363" t="n">
        <v>38.89</v>
      </c>
      <c r="G57" s="281">
        <f>ROUND(E57*F57,2)</f>
        <v/>
      </c>
      <c r="H57" s="270">
        <f>G57/$G$65</f>
        <v/>
      </c>
      <c r="I57" s="281">
        <f>ROUND(F57*Прил.10!$D$13,2)</f>
        <v/>
      </c>
      <c r="J57" s="281">
        <f>ROUND(I57*E57,2)</f>
        <v/>
      </c>
    </row>
    <row r="58" hidden="1" outlineLevel="1" ht="14.25" customFormat="1" customHeight="1" s="292">
      <c r="A58" s="361" t="n">
        <v>30</v>
      </c>
      <c r="B58" s="282" t="inlineStr">
        <is>
          <t>14.4.02.09-0001</t>
        </is>
      </c>
      <c r="C58" s="360" t="inlineStr">
        <is>
          <t>Краска</t>
        </is>
      </c>
      <c r="D58" s="361" t="inlineStr">
        <is>
          <t>кг</t>
        </is>
      </c>
      <c r="E58" s="446" t="n">
        <v>0.07000000000000001</v>
      </c>
      <c r="F58" s="363" t="n">
        <v>28.6</v>
      </c>
      <c r="G58" s="281">
        <f>ROUND(E58*F58,2)</f>
        <v/>
      </c>
      <c r="H58" s="270">
        <f>G58/$G$65</f>
        <v/>
      </c>
      <c r="I58" s="281">
        <f>ROUND(F58*Прил.10!$D$13,2)</f>
        <v/>
      </c>
      <c r="J58" s="281">
        <f>ROUND(I58*E58,2)</f>
        <v/>
      </c>
    </row>
    <row r="59" hidden="1" outlineLevel="1" ht="14.25" customFormat="1" customHeight="1" s="292">
      <c r="A59" s="361" t="n">
        <v>31</v>
      </c>
      <c r="B59" s="282" t="inlineStr">
        <is>
          <t>01.3.05.17-0002</t>
        </is>
      </c>
      <c r="C59" s="360" t="inlineStr">
        <is>
          <t>Канифоль сосновая</t>
        </is>
      </c>
      <c r="D59" s="361" t="inlineStr">
        <is>
          <t>кг</t>
        </is>
      </c>
      <c r="E59" s="446" t="n">
        <v>0.0532</v>
      </c>
      <c r="F59" s="363" t="n">
        <v>27.74</v>
      </c>
      <c r="G59" s="281">
        <f>ROUND(E59*F59,2)</f>
        <v/>
      </c>
      <c r="H59" s="270">
        <f>G59/$G$65</f>
        <v/>
      </c>
      <c r="I59" s="281">
        <f>ROUND(F59*Прил.10!$D$13,2)</f>
        <v/>
      </c>
      <c r="J59" s="281">
        <f>ROUND(I59*E59,2)</f>
        <v/>
      </c>
    </row>
    <row r="60" hidden="1" outlineLevel="1" ht="14.25" customFormat="1" customHeight="1" s="292">
      <c r="A60" s="361" t="n">
        <v>32</v>
      </c>
      <c r="B60" s="282" t="inlineStr">
        <is>
          <t>20.2.02.01-0011</t>
        </is>
      </c>
      <c r="C60" s="360" t="inlineStr">
        <is>
          <t>Втулки, диаметр 17 мм</t>
        </is>
      </c>
      <c r="D60" s="361" t="inlineStr">
        <is>
          <t>1000 шт</t>
        </is>
      </c>
      <c r="E60" s="446" t="n">
        <v>0.0122</v>
      </c>
      <c r="F60" s="363" t="n">
        <v>75.40000000000001</v>
      </c>
      <c r="G60" s="281">
        <f>ROUND(E60*F60,2)</f>
        <v/>
      </c>
      <c r="H60" s="270">
        <f>G60/$G$65</f>
        <v/>
      </c>
      <c r="I60" s="281">
        <f>ROUND(F60*Прил.10!$D$13,2)</f>
        <v/>
      </c>
      <c r="J60" s="281">
        <f>ROUND(I60*E60,2)</f>
        <v/>
      </c>
    </row>
    <row r="61" hidden="1" outlineLevel="1" ht="14.25" customFormat="1" customHeight="1" s="292">
      <c r="A61" s="361" t="n">
        <v>33</v>
      </c>
      <c r="B61" s="282" t="inlineStr">
        <is>
          <t>01.7.07.20-0002</t>
        </is>
      </c>
      <c r="C61" s="360" t="inlineStr">
        <is>
          <t>Тальк молотый, сорт I</t>
        </is>
      </c>
      <c r="D61" s="361" t="inlineStr">
        <is>
          <t>т</t>
        </is>
      </c>
      <c r="E61" s="446" t="n">
        <v>0.00043</v>
      </c>
      <c r="F61" s="363" t="n">
        <v>1820</v>
      </c>
      <c r="G61" s="281">
        <f>ROUND(E61*F61,2)</f>
        <v/>
      </c>
      <c r="H61" s="270">
        <f>G61/$G$65</f>
        <v/>
      </c>
      <c r="I61" s="281">
        <f>ROUND(F61*Прил.10!$D$13,2)</f>
        <v/>
      </c>
      <c r="J61" s="281">
        <f>ROUND(I61*E61,2)</f>
        <v/>
      </c>
    </row>
    <row r="62" hidden="1" outlineLevel="1" ht="14.25" customFormat="1" customHeight="1" s="292">
      <c r="A62" s="361" t="n">
        <v>34</v>
      </c>
      <c r="B62" s="282" t="inlineStr">
        <is>
          <t>01.7.15.03-0042</t>
        </is>
      </c>
      <c r="C62" s="360" t="inlineStr">
        <is>
          <t>Болты с гайками и шайбами строительные</t>
        </is>
      </c>
      <c r="D62" s="361" t="inlineStr">
        <is>
          <t>кг</t>
        </is>
      </c>
      <c r="E62" s="446" t="n">
        <v>0.06</v>
      </c>
      <c r="F62" s="363" t="n">
        <v>9.039999999999999</v>
      </c>
      <c r="G62" s="281">
        <f>ROUND(E62*F62,2)</f>
        <v/>
      </c>
      <c r="H62" s="270">
        <f>G62/$G$65</f>
        <v/>
      </c>
      <c r="I62" s="281">
        <f>ROUND(F62*Прил.10!$D$13,2)</f>
        <v/>
      </c>
      <c r="J62" s="281">
        <f>ROUND(I62*E62,2)</f>
        <v/>
      </c>
    </row>
    <row r="63" hidden="1" outlineLevel="1" ht="14.25" customFormat="1" customHeight="1" s="292">
      <c r="A63" s="361" t="n">
        <v>35</v>
      </c>
      <c r="B63" s="282" t="inlineStr">
        <is>
          <t>01.3.05.11-0001</t>
        </is>
      </c>
      <c r="C63" s="360" t="inlineStr">
        <is>
          <t>Дихлорэтан технический, сорт I</t>
        </is>
      </c>
      <c r="D63" s="361" t="inlineStr">
        <is>
          <t>т</t>
        </is>
      </c>
      <c r="E63" s="446" t="n">
        <v>5.6e-05</v>
      </c>
      <c r="F63" s="363" t="n">
        <v>4934.48</v>
      </c>
      <c r="G63" s="281">
        <f>ROUND(E63*F63,2)</f>
        <v/>
      </c>
      <c r="H63" s="270">
        <f>G63/$G$65</f>
        <v/>
      </c>
      <c r="I63" s="281">
        <f>ROUND(F63*Прил.10!$D$13,2)</f>
        <v/>
      </c>
      <c r="J63" s="281">
        <f>ROUND(I63*E63,2)</f>
        <v/>
      </c>
    </row>
    <row r="64" collapsed="1" ht="14.25" customFormat="1" customHeight="1" s="292">
      <c r="A64" s="361" t="n"/>
      <c r="B64" s="361" t="n"/>
      <c r="C64" s="360" t="inlineStr">
        <is>
          <t>Итого прочие материалы</t>
        </is>
      </c>
      <c r="D64" s="361" t="n"/>
      <c r="E64" s="362" t="n"/>
      <c r="F64" s="363" t="n"/>
      <c r="G64" s="215">
        <f>SUM(G39:G63)</f>
        <v/>
      </c>
      <c r="H64" s="270">
        <f>G64/$G$65</f>
        <v/>
      </c>
      <c r="I64" s="281" t="n"/>
      <c r="J64" s="215">
        <f>SUM(J39:J63)</f>
        <v/>
      </c>
    </row>
    <row r="65" ht="14.25" customFormat="1" customHeight="1" s="292">
      <c r="A65" s="361" t="n"/>
      <c r="B65" s="361" t="n"/>
      <c r="C65" s="348" t="inlineStr">
        <is>
          <t>Итого по разделу «Материалы»</t>
        </is>
      </c>
      <c r="D65" s="361" t="n"/>
      <c r="E65" s="362" t="n"/>
      <c r="F65" s="363" t="n"/>
      <c r="G65" s="281">
        <f>G38+G64</f>
        <v/>
      </c>
      <c r="H65" s="270">
        <f>G65/$G$65</f>
        <v/>
      </c>
      <c r="I65" s="281" t="n"/>
      <c r="J65" s="281">
        <f>J38+J64</f>
        <v/>
      </c>
    </row>
    <row r="66" ht="14.25" customFormat="1" customHeight="1" s="292">
      <c r="A66" s="361" t="n"/>
      <c r="B66" s="361" t="n"/>
      <c r="C66" s="360" t="inlineStr">
        <is>
          <t>ИТОГО ПО РМ</t>
        </is>
      </c>
      <c r="D66" s="361" t="n"/>
      <c r="E66" s="362" t="n"/>
      <c r="F66" s="363" t="n"/>
      <c r="G66" s="281">
        <f>G14+G26+G65</f>
        <v/>
      </c>
      <c r="H66" s="364" t="n"/>
      <c r="I66" s="281" t="n"/>
      <c r="J66" s="281">
        <f>J14+J26+J65</f>
        <v/>
      </c>
    </row>
    <row r="67" ht="14.25" customFormat="1" customHeight="1" s="292">
      <c r="A67" s="361" t="n"/>
      <c r="B67" s="361" t="n"/>
      <c r="C67" s="360" t="inlineStr">
        <is>
          <t>Накладные расходы</t>
        </is>
      </c>
      <c r="D67" s="197">
        <f>ROUND(G67/(G$16+$G$14),2)</f>
        <v/>
      </c>
      <c r="E67" s="362" t="n"/>
      <c r="F67" s="363" t="n"/>
      <c r="G67" s="281" t="n">
        <v>4434.68</v>
      </c>
      <c r="H67" s="364" t="n"/>
      <c r="I67" s="281" t="n"/>
      <c r="J67" s="281">
        <f>ROUND(D67*(J14+J16),2)</f>
        <v/>
      </c>
    </row>
    <row r="68" ht="14.25" customFormat="1" customHeight="1" s="292">
      <c r="A68" s="361" t="n"/>
      <c r="B68" s="361" t="n"/>
      <c r="C68" s="360" t="inlineStr">
        <is>
          <t>Сметная прибыль</t>
        </is>
      </c>
      <c r="D68" s="197">
        <f>ROUND(G68/(G$14+G$16),2)</f>
        <v/>
      </c>
      <c r="E68" s="362" t="n"/>
      <c r="F68" s="363" t="n"/>
      <c r="G68" s="281" t="n">
        <v>2328.29</v>
      </c>
      <c r="H68" s="364" t="n"/>
      <c r="I68" s="281" t="n"/>
      <c r="J68" s="281">
        <f>ROUND(D68*(J14+J16),2)</f>
        <v/>
      </c>
    </row>
    <row r="69" ht="14.25" customFormat="1" customHeight="1" s="292">
      <c r="A69" s="361" t="n"/>
      <c r="B69" s="361" t="n"/>
      <c r="C69" s="360" t="inlineStr">
        <is>
          <t>Итого СМР (с НР и СП)</t>
        </is>
      </c>
      <c r="D69" s="361" t="n"/>
      <c r="E69" s="362" t="n"/>
      <c r="F69" s="363" t="n"/>
      <c r="G69" s="281">
        <f>G14+G26+G65+G67+G68</f>
        <v/>
      </c>
      <c r="H69" s="364" t="n"/>
      <c r="I69" s="281" t="n"/>
      <c r="J69" s="281">
        <f>J14+J26+J65+J67+J68</f>
        <v/>
      </c>
    </row>
    <row r="70" ht="14.25" customFormat="1" customHeight="1" s="292">
      <c r="A70" s="361" t="n"/>
      <c r="B70" s="361" t="n"/>
      <c r="C70" s="360" t="inlineStr">
        <is>
          <t>ВСЕГО СМР + ОБОРУДОВАНИЕ</t>
        </is>
      </c>
      <c r="D70" s="361" t="n"/>
      <c r="E70" s="362" t="n"/>
      <c r="F70" s="363" t="n"/>
      <c r="G70" s="281">
        <f>G69+G32</f>
        <v/>
      </c>
      <c r="H70" s="364" t="n"/>
      <c r="I70" s="281" t="n"/>
      <c r="J70" s="281">
        <f>J69+J32</f>
        <v/>
      </c>
    </row>
    <row r="71" ht="34.5" customFormat="1" customHeight="1" s="292">
      <c r="A71" s="361" t="n"/>
      <c r="B71" s="361" t="n"/>
      <c r="C71" s="360" t="inlineStr">
        <is>
          <t>ИТОГО ПОКАЗАТЕЛЬ НА ЕД. ИЗМ.</t>
        </is>
      </c>
      <c r="D71" s="361" t="inlineStr">
        <is>
          <t>ед</t>
        </is>
      </c>
      <c r="E71" s="449" t="n">
        <v>1</v>
      </c>
      <c r="F71" s="363" t="n"/>
      <c r="G71" s="281">
        <f>G70/E71</f>
        <v/>
      </c>
      <c r="H71" s="364" t="n"/>
      <c r="I71" s="281" t="n"/>
      <c r="J71" s="281">
        <f>J70/E71</f>
        <v/>
      </c>
    </row>
    <row r="73" ht="14.25" customFormat="1" customHeight="1" s="292">
      <c r="A73" s="291" t="inlineStr">
        <is>
          <t>Составил ______________________     Е. М. Добровольская</t>
        </is>
      </c>
    </row>
    <row r="74" ht="14.25" customFormat="1" customHeight="1" s="292">
      <c r="A74" s="294" t="inlineStr">
        <is>
          <t xml:space="preserve">                         (подпись, инициалы, фамилия)</t>
        </is>
      </c>
    </row>
    <row r="75" ht="14.25" customFormat="1" customHeight="1" s="292">
      <c r="A75" s="291" t="n"/>
    </row>
    <row r="76" ht="14.25" customFormat="1" customHeight="1" s="292">
      <c r="A76" s="291" t="inlineStr">
        <is>
          <t>Проверил ______________________        А.В. Костянецкая</t>
        </is>
      </c>
    </row>
    <row r="77" ht="14.25" customFormat="1" customHeight="1" s="292">
      <c r="A77" s="294" t="inlineStr">
        <is>
          <t xml:space="preserve">                        (подпись, инициалы, фамилия)</t>
        </is>
      </c>
    </row>
  </sheetData>
  <mergeCells count="21">
    <mergeCell ref="H9:H10"/>
    <mergeCell ref="A4:J4"/>
    <mergeCell ref="B15:H15"/>
    <mergeCell ref="H2:J2"/>
    <mergeCell ref="C9:C10"/>
    <mergeCell ref="E9:E10"/>
    <mergeCell ref="A7:H7"/>
    <mergeCell ref="B35:H35"/>
    <mergeCell ref="B9:B10"/>
    <mergeCell ref="D9:D10"/>
    <mergeCell ref="B18:H18"/>
    <mergeCell ref="B27:H27"/>
    <mergeCell ref="B12:H12"/>
    <mergeCell ref="D6:J6"/>
    <mergeCell ref="A8:H8"/>
    <mergeCell ref="F9:G9"/>
    <mergeCell ref="B17:H17"/>
    <mergeCell ref="A9:A10"/>
    <mergeCell ref="B34:H34"/>
    <mergeCell ref="I9:J9"/>
    <mergeCell ref="B28:H28"/>
  </mergeCells>
  <pageMargins left="0.7086614173228351" right="0.7086614173228351" top="0.748031496062992" bottom="0.748031496062992" header="0.31496062992126" footer="0.31496062992126"/>
  <pageSetup orientation="landscape" paperSize="9" scale="78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20"/>
  <sheetViews>
    <sheetView view="pageBreakPreview" workbookViewId="0">
      <selection activeCell="B16" sqref="B16"/>
    </sheetView>
  </sheetViews>
  <sheetFormatPr baseColWidth="8" defaultRowHeight="15"/>
  <cols>
    <col width="5.7109375" customWidth="1" style="301" min="1" max="1"/>
    <col width="17.5703125" customWidth="1" style="301" min="2" max="2"/>
    <col width="39.140625" customWidth="1" style="301" min="3" max="3"/>
    <col width="10.7109375" customWidth="1" style="301" min="4" max="4"/>
    <col width="13.85546875" customWidth="1" style="301" min="5" max="5"/>
    <col width="13.28515625" customWidth="1" style="301" min="6" max="6"/>
    <col width="14.140625" customWidth="1" style="301" min="7" max="7"/>
  </cols>
  <sheetData>
    <row r="1">
      <c r="A1" s="379" t="inlineStr">
        <is>
          <t>Приложение №6</t>
        </is>
      </c>
    </row>
    <row r="2" ht="21.75" customHeight="1" s="301">
      <c r="A2" s="379" t="n"/>
      <c r="B2" s="379" t="n"/>
      <c r="C2" s="379" t="n"/>
      <c r="D2" s="379" t="n"/>
      <c r="E2" s="379" t="n"/>
      <c r="F2" s="379" t="n"/>
      <c r="G2" s="379" t="n"/>
    </row>
    <row r="3">
      <c r="A3" s="333" t="inlineStr">
        <is>
          <t>Расчет стоимости оборудования</t>
        </is>
      </c>
    </row>
    <row r="4" ht="25.5" customHeight="1" s="301">
      <c r="A4" s="336" t="inlineStr">
        <is>
          <t>Наименование разрабатываемого показателя УНЦ — Шкафы РЗА 1 архитектуры. Дифференциальная защита сборных шин 110 – 220 кВ (9 присоединений с жесткой фиксацией)</t>
        </is>
      </c>
    </row>
    <row r="5">
      <c r="A5" s="291" t="n"/>
      <c r="B5" s="291" t="n"/>
      <c r="C5" s="291" t="n"/>
      <c r="D5" s="291" t="n"/>
      <c r="E5" s="291" t="n"/>
      <c r="F5" s="291" t="n"/>
      <c r="G5" s="291" t="n"/>
    </row>
    <row r="6" ht="30" customHeight="1" s="301">
      <c r="A6" s="384" t="inlineStr">
        <is>
          <t>№ пп.</t>
        </is>
      </c>
      <c r="B6" s="384" t="inlineStr">
        <is>
          <t>Код ресурса</t>
        </is>
      </c>
      <c r="C6" s="384" t="inlineStr">
        <is>
          <t>Наименование</t>
        </is>
      </c>
      <c r="D6" s="384" t="inlineStr">
        <is>
          <t>Ед. изм.</t>
        </is>
      </c>
      <c r="E6" s="361" t="inlineStr">
        <is>
          <t>Кол-во единиц по проектным данным</t>
        </is>
      </c>
      <c r="F6" s="384" t="inlineStr">
        <is>
          <t>Сметная стоимость в ценах на 01.01.2000 (руб.)</t>
        </is>
      </c>
      <c r="G6" s="437" t="n"/>
    </row>
    <row r="7">
      <c r="A7" s="439" t="n"/>
      <c r="B7" s="439" t="n"/>
      <c r="C7" s="439" t="n"/>
      <c r="D7" s="439" t="n"/>
      <c r="E7" s="439" t="n"/>
      <c r="F7" s="361" t="inlineStr">
        <is>
          <t>на ед. изм.</t>
        </is>
      </c>
      <c r="G7" s="361" t="inlineStr">
        <is>
          <t>общая</t>
        </is>
      </c>
    </row>
    <row r="8">
      <c r="A8" s="361" t="n">
        <v>1</v>
      </c>
      <c r="B8" s="361" t="n">
        <v>2</v>
      </c>
      <c r="C8" s="361" t="n">
        <v>3</v>
      </c>
      <c r="D8" s="361" t="n">
        <v>4</v>
      </c>
      <c r="E8" s="361" t="n">
        <v>5</v>
      </c>
      <c r="F8" s="361" t="n">
        <v>6</v>
      </c>
      <c r="G8" s="361" t="n">
        <v>7</v>
      </c>
    </row>
    <row r="9" ht="15" customHeight="1" s="301">
      <c r="A9" s="240" t="n"/>
      <c r="B9" s="360" t="inlineStr">
        <is>
          <t>ИНЖЕНЕРНОЕ ОБОРУДОВАНИЕ</t>
        </is>
      </c>
      <c r="C9" s="436" t="n"/>
      <c r="D9" s="436" t="n"/>
      <c r="E9" s="436" t="n"/>
      <c r="F9" s="436" t="n"/>
      <c r="G9" s="437" t="n"/>
    </row>
    <row r="10" ht="27" customHeight="1" s="301">
      <c r="A10" s="361" t="n"/>
      <c r="B10" s="348" t="n"/>
      <c r="C10" s="360" t="inlineStr">
        <is>
          <t>ИТОГО ИНЖЕНЕРНОЕ ОБОРУДОВАНИЕ</t>
        </is>
      </c>
      <c r="D10" s="348" t="n"/>
      <c r="E10" s="142" t="n"/>
      <c r="F10" s="363" t="n"/>
      <c r="G10" s="363" t="n">
        <v>0</v>
      </c>
    </row>
    <row r="11">
      <c r="A11" s="361" t="n"/>
      <c r="B11" s="360" t="inlineStr">
        <is>
          <t>ТЕХНОЛОГИЧЕСКОЕ ОБОРУДОВАНИЕ</t>
        </is>
      </c>
      <c r="C11" s="436" t="n"/>
      <c r="D11" s="436" t="n"/>
      <c r="E11" s="436" t="n"/>
      <c r="F11" s="436" t="n"/>
      <c r="G11" s="437" t="n"/>
    </row>
    <row r="12" ht="59.25" customHeight="1" s="301">
      <c r="A12" s="361" t="n">
        <v>1</v>
      </c>
      <c r="B12" s="279">
        <f>'Прил.5 Расчет СМР и ОБ'!B29</f>
        <v/>
      </c>
      <c r="C12" s="360">
        <f>'Прил.5 Расчет СМР и ОБ'!C29</f>
        <v/>
      </c>
      <c r="D12" s="361">
        <f>'Прил.5 Расчет СМР и ОБ'!D29</f>
        <v/>
      </c>
      <c r="E12" s="446">
        <f>'Прил.5 Расчет СМР и ОБ'!E29</f>
        <v/>
      </c>
      <c r="F12" s="281">
        <f>'Прил.5 Расчет СМР и ОБ'!F29</f>
        <v/>
      </c>
      <c r="G12" s="281">
        <f>ROUND(E12*F12,2)</f>
        <v/>
      </c>
    </row>
    <row r="13" ht="25.5" customHeight="1" s="301">
      <c r="A13" s="361" t="n"/>
      <c r="B13" s="360" t="n"/>
      <c r="C13" s="360" t="inlineStr">
        <is>
          <t>ИТОГО ТЕХНОЛОГИЧЕСКОЕ ОБОРУДОВАНИЕ</t>
        </is>
      </c>
      <c r="D13" s="360" t="n"/>
      <c r="E13" s="383" t="n"/>
      <c r="F13" s="363" t="n"/>
      <c r="G13" s="281">
        <f>SUM(G12:G12)</f>
        <v/>
      </c>
    </row>
    <row r="14" ht="19.5" customHeight="1" s="301">
      <c r="A14" s="361" t="n"/>
      <c r="B14" s="360" t="n"/>
      <c r="C14" s="360" t="inlineStr">
        <is>
          <t>Всего по разделу «Оборудование»</t>
        </is>
      </c>
      <c r="D14" s="360" t="n"/>
      <c r="E14" s="383" t="n"/>
      <c r="F14" s="363" t="n"/>
      <c r="G14" s="281">
        <f>G10+G13</f>
        <v/>
      </c>
    </row>
    <row r="15">
      <c r="A15" s="293" t="n"/>
      <c r="B15" s="145" t="n"/>
      <c r="C15" s="293" t="n"/>
      <c r="D15" s="293" t="n"/>
      <c r="E15" s="293" t="n"/>
      <c r="F15" s="293" t="n"/>
      <c r="G15" s="293" t="n"/>
    </row>
    <row r="16">
      <c r="A16" s="291" t="inlineStr">
        <is>
          <t>Составил ______________________    Е. М. Добровольская</t>
        </is>
      </c>
      <c r="B16" s="292" t="n"/>
      <c r="C16" s="292" t="n"/>
      <c r="D16" s="293" t="n"/>
      <c r="E16" s="293" t="n"/>
      <c r="F16" s="293" t="n"/>
      <c r="G16" s="293" t="n"/>
    </row>
    <row r="17">
      <c r="A17" s="294" t="inlineStr">
        <is>
          <t xml:space="preserve">                         (подпись, инициалы, фамилия)</t>
        </is>
      </c>
      <c r="B17" s="292" t="n"/>
      <c r="C17" s="292" t="n"/>
      <c r="D17" s="293" t="n"/>
      <c r="E17" s="293" t="n"/>
      <c r="F17" s="293" t="n"/>
      <c r="G17" s="293" t="n"/>
    </row>
    <row r="18">
      <c r="A18" s="291" t="n"/>
      <c r="B18" s="292" t="n"/>
      <c r="C18" s="292" t="n"/>
      <c r="D18" s="293" t="n"/>
      <c r="E18" s="293" t="n"/>
      <c r="F18" s="293" t="n"/>
      <c r="G18" s="293" t="n"/>
    </row>
    <row r="19">
      <c r="A19" s="291" t="inlineStr">
        <is>
          <t>Проверил ______________________        А.В. Костянецкая</t>
        </is>
      </c>
      <c r="B19" s="292" t="n"/>
      <c r="C19" s="292" t="n"/>
      <c r="D19" s="293" t="n"/>
      <c r="E19" s="293" t="n"/>
      <c r="F19" s="293" t="n"/>
      <c r="G19" s="293" t="n"/>
    </row>
    <row r="20">
      <c r="A20" s="294" t="inlineStr">
        <is>
          <t xml:space="preserve">                        (подпись, инициалы, фамилия)</t>
        </is>
      </c>
      <c r="B20" s="292" t="n"/>
      <c r="C20" s="292" t="n"/>
      <c r="D20" s="293" t="n"/>
      <c r="E20" s="293" t="n"/>
      <c r="F20" s="293" t="n"/>
      <c r="G20" s="293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view="pageBreakPreview" workbookViewId="0">
      <selection activeCell="B13" sqref="B13"/>
    </sheetView>
  </sheetViews>
  <sheetFormatPr baseColWidth="8" defaultRowHeight="15"/>
  <cols>
    <col width="12.7109375" customWidth="1" style="301" min="1" max="1"/>
    <col width="16.42578125" customWidth="1" style="301" min="2" max="2"/>
    <col width="41" customWidth="1" style="301" min="3" max="3"/>
    <col width="55.85546875" customWidth="1" style="301" min="4" max="4"/>
    <col width="9.140625" customWidth="1" style="301" min="5" max="5"/>
  </cols>
  <sheetData>
    <row r="1" ht="15.75" customHeight="1" s="301">
      <c r="A1" s="303" t="n"/>
      <c r="B1" s="303" t="n"/>
      <c r="C1" s="303" t="n"/>
      <c r="D1" s="303" t="inlineStr">
        <is>
          <t>Приложение №7</t>
        </is>
      </c>
    </row>
    <row r="2" ht="15.75" customHeight="1" s="301">
      <c r="A2" s="303" t="n"/>
      <c r="B2" s="303" t="n"/>
      <c r="C2" s="303" t="n"/>
      <c r="D2" s="303" t="n"/>
    </row>
    <row r="3" ht="15.75" customHeight="1" s="301">
      <c r="A3" s="303" t="n"/>
      <c r="B3" s="286" t="inlineStr">
        <is>
          <t>Расчет показателя УНЦ</t>
        </is>
      </c>
      <c r="C3" s="303" t="n"/>
      <c r="D3" s="303" t="n"/>
    </row>
    <row r="4" ht="15.75" customHeight="1" s="301">
      <c r="A4" s="303" t="n"/>
      <c r="B4" s="303" t="n"/>
      <c r="C4" s="303" t="n"/>
      <c r="D4" s="303" t="n"/>
    </row>
    <row r="5" ht="110.25" customHeight="1" s="301">
      <c r="A5" s="385" t="inlineStr">
        <is>
          <t xml:space="preserve">Наименование разрабатываемого показателя УНЦ - </t>
        </is>
      </c>
      <c r="D5" s="385">
        <f>'Прил.5 Расчет СМР и ОБ'!D6:J6</f>
        <v/>
      </c>
    </row>
    <row r="6" ht="15.75" customHeight="1" s="301">
      <c r="A6" s="303" t="inlineStr">
        <is>
          <t>Единица измерения  — 1 ед</t>
        </is>
      </c>
      <c r="B6" s="303" t="n"/>
      <c r="C6" s="303" t="n"/>
      <c r="D6" s="303" t="n"/>
    </row>
    <row r="7" ht="15.75" customHeight="1" s="301">
      <c r="A7" s="303" t="n"/>
      <c r="B7" s="303" t="n"/>
      <c r="C7" s="303" t="n"/>
      <c r="D7" s="303" t="n"/>
    </row>
    <row r="8">
      <c r="A8" s="345" t="inlineStr">
        <is>
          <t>Код показателя</t>
        </is>
      </c>
      <c r="B8" s="345" t="inlineStr">
        <is>
          <t>Наименование показателя</t>
        </is>
      </c>
      <c r="C8" s="345" t="inlineStr">
        <is>
          <t>Наименование РМ, входящих в состав показателя</t>
        </is>
      </c>
      <c r="D8" s="345" t="inlineStr">
        <is>
          <t>Норматив цены на 01.01.2023, тыс.руб.</t>
        </is>
      </c>
    </row>
    <row r="9">
      <c r="A9" s="439" t="n"/>
      <c r="B9" s="439" t="n"/>
      <c r="C9" s="439" t="n"/>
      <c r="D9" s="439" t="n"/>
    </row>
    <row r="10" ht="15.75" customHeight="1" s="301">
      <c r="A10" s="345" t="n">
        <v>1</v>
      </c>
      <c r="B10" s="345" t="n">
        <v>2</v>
      </c>
      <c r="C10" s="345" t="n">
        <v>3</v>
      </c>
      <c r="D10" s="345" t="n">
        <v>4</v>
      </c>
    </row>
    <row r="11" ht="110.25" customHeight="1" s="301">
      <c r="A11" s="345" t="inlineStr">
        <is>
          <t>И11-01</t>
        </is>
      </c>
      <c r="B11" s="345" t="inlineStr">
        <is>
          <t>УНЦ РЗА</t>
        </is>
      </c>
      <c r="C11" s="289">
        <f>D5</f>
        <v/>
      </c>
      <c r="D11" s="309">
        <f>'Прил.4 РМ'!C41/1000</f>
        <v/>
      </c>
    </row>
    <row r="13">
      <c r="A13" s="291" t="inlineStr">
        <is>
          <t>Составил ______________________      Е. М. Добровольская</t>
        </is>
      </c>
      <c r="B13" s="292" t="n"/>
      <c r="C13" s="292" t="n"/>
      <c r="D13" s="293" t="n"/>
    </row>
    <row r="14">
      <c r="A14" s="294" t="inlineStr">
        <is>
          <t xml:space="preserve">                         (подпись, инициалы, фамилия)</t>
        </is>
      </c>
      <c r="B14" s="292" t="n"/>
      <c r="C14" s="292" t="n"/>
      <c r="D14" s="293" t="n"/>
    </row>
    <row r="15">
      <c r="A15" s="291" t="n"/>
      <c r="B15" s="292" t="n"/>
      <c r="C15" s="292" t="n"/>
      <c r="D15" s="293" t="n"/>
    </row>
    <row r="16">
      <c r="A16" s="291" t="inlineStr">
        <is>
          <t>Проверил ______________________        А.В. Костянецкая</t>
        </is>
      </c>
      <c r="B16" s="292" t="n"/>
      <c r="C16" s="292" t="n"/>
      <c r="D16" s="293" t="n"/>
    </row>
    <row r="17">
      <c r="A17" s="294" t="inlineStr">
        <is>
          <t xml:space="preserve">                        (подпись, инициалы, фамилия)</t>
        </is>
      </c>
      <c r="B17" s="292" t="n"/>
      <c r="C17" s="292" t="n"/>
      <c r="D17" s="293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69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0"/>
  <sheetViews>
    <sheetView view="pageBreakPreview" zoomScale="60" zoomScaleNormal="85" workbookViewId="0">
      <selection activeCell="H33" sqref="H33"/>
    </sheetView>
  </sheetViews>
  <sheetFormatPr baseColWidth="8" defaultRowHeight="15"/>
  <cols>
    <col width="9.140625" customWidth="1" style="301" min="1" max="1"/>
    <col width="40.7109375" customWidth="1" style="301" min="2" max="2"/>
    <col width="37" customWidth="1" style="301" min="3" max="3"/>
    <col width="32" customWidth="1" style="301" min="4" max="4"/>
    <col width="9.140625" customWidth="1" style="301" min="5" max="5"/>
  </cols>
  <sheetData>
    <row r="4" ht="15.75" customHeight="1" s="301">
      <c r="B4" s="340" t="inlineStr">
        <is>
          <t>Приложение № 10</t>
        </is>
      </c>
    </row>
    <row r="5" ht="18.75" customHeight="1" s="301">
      <c r="B5" s="166" t="n"/>
    </row>
    <row r="6" ht="15.75" customHeight="1" s="301">
      <c r="B6" s="341" t="inlineStr">
        <is>
          <t>Используемые индексы изменений сметной стоимости и нормы сопутствующих затрат</t>
        </is>
      </c>
    </row>
    <row r="7">
      <c r="B7" s="386" t="n"/>
    </row>
    <row r="8">
      <c r="B8" s="386" t="n"/>
      <c r="C8" s="386" t="n"/>
      <c r="D8" s="386" t="n"/>
      <c r="E8" s="386" t="n"/>
    </row>
    <row r="9" ht="47.25" customHeight="1" s="301">
      <c r="B9" s="345" t="inlineStr">
        <is>
          <t>Наименование индекса / норм сопутствующих затрат</t>
        </is>
      </c>
      <c r="C9" s="345" t="inlineStr">
        <is>
          <t>Дата применения и обоснование индекса / норм сопутствующих затрат</t>
        </is>
      </c>
      <c r="D9" s="345" t="inlineStr">
        <is>
          <t>Размер индекса / норма сопутствующих затрат</t>
        </is>
      </c>
    </row>
    <row r="10" ht="15.75" customHeight="1" s="301">
      <c r="B10" s="345" t="n">
        <v>1</v>
      </c>
      <c r="C10" s="345" t="n">
        <v>2</v>
      </c>
      <c r="D10" s="345" t="n">
        <v>3</v>
      </c>
    </row>
    <row r="11" ht="45" customHeight="1" s="301">
      <c r="B11" s="345" t="inlineStr">
        <is>
          <t xml:space="preserve">Индекс изменения сметной стоимости на 1 квартал 2023 года. ОЗП </t>
        </is>
      </c>
      <c r="C11" s="345" t="inlineStr">
        <is>
          <t>Письмо Минстроя России от 01.04.2023г. №17772-ИФ/09 прил.9</t>
        </is>
      </c>
      <c r="D11" s="345" t="n">
        <v>44.29</v>
      </c>
    </row>
    <row r="12" ht="29.25" customHeight="1" s="301">
      <c r="B12" s="345" t="inlineStr">
        <is>
          <t>Индекс изменения сметной стоимости на 1 квартал 2023 года. ЭМ</t>
        </is>
      </c>
      <c r="C12" s="345" t="inlineStr">
        <is>
          <t>Письмо Минстроя России от 01.04.2023г. №17772-ИФ/09 прил.9</t>
        </is>
      </c>
      <c r="D12" s="345" t="n">
        <v>13.47</v>
      </c>
    </row>
    <row r="13" ht="29.25" customHeight="1" s="301">
      <c r="B13" s="345" t="inlineStr">
        <is>
          <t>Индекс изменения сметной стоимости на 1 квартал 2023 года. МАТ</t>
        </is>
      </c>
      <c r="C13" s="345" t="inlineStr">
        <is>
          <t>Письмо Минстроя России от 01.04.2023г. №17772-ИФ/09 прил.9</t>
        </is>
      </c>
      <c r="D13" s="345" t="n">
        <v>8.039999999999999</v>
      </c>
    </row>
    <row r="14" ht="30.75" customHeight="1" s="301">
      <c r="B14" s="345" t="inlineStr">
        <is>
          <t>Индекс изменения сметной стоимости на 1 квартал 2023 года. ОБ</t>
        </is>
      </c>
      <c r="C14" s="165" t="inlineStr">
        <is>
          <t>Письмо Минстроя России от 23.02.2023г. №9791-ИФ/09 прил.6</t>
        </is>
      </c>
      <c r="D14" s="345" t="n">
        <v>6.26</v>
      </c>
    </row>
    <row r="15" ht="89.25" customHeight="1" s="301">
      <c r="B15" s="345" t="inlineStr">
        <is>
          <t>Временные здания и сооружения</t>
        </is>
      </c>
      <c r="C15" s="345" t="inlineStr">
        <is>
      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69" t="n">
        <v>0.039</v>
      </c>
    </row>
    <row r="16" ht="78.75" customHeight="1" s="301">
      <c r="B16" s="345" t="inlineStr">
        <is>
          <t>Дополнительные затраты при производстве строительно-монтажных работ в зимнее время</t>
        </is>
      </c>
      <c r="C16" s="345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69" t="n">
        <v>0.021</v>
      </c>
    </row>
    <row r="17" ht="31.5" customHeight="1" s="301">
      <c r="B17" s="345" t="inlineStr">
        <is>
          <t>Строительный контроль</t>
        </is>
      </c>
      <c r="C17" s="345" t="inlineStr">
        <is>
          <t>Постановление Правительства РФ от 21.06.10 г. № 468</t>
        </is>
      </c>
      <c r="D17" s="169" t="n">
        <v>0.0214</v>
      </c>
    </row>
    <row r="18" ht="31.5" customHeight="1" s="301">
      <c r="B18" s="345" t="inlineStr">
        <is>
          <t>Авторский надзор - 0,2%</t>
        </is>
      </c>
      <c r="C18" s="345" t="inlineStr">
        <is>
          <t>Приказ от 4.08.2020 № 421/пр п.173</t>
        </is>
      </c>
      <c r="D18" s="169" t="n">
        <v>0.002</v>
      </c>
    </row>
    <row r="19" ht="24" customHeight="1" s="301">
      <c r="B19" s="345" t="inlineStr">
        <is>
          <t>Непредвиденные расходы</t>
        </is>
      </c>
      <c r="C19" s="345" t="inlineStr">
        <is>
          <t>Приказ от 4.08.2020 № 421/пр п.179</t>
        </is>
      </c>
      <c r="D19" s="169" t="n">
        <v>0.03</v>
      </c>
    </row>
    <row r="20" ht="18.75" customHeight="1" s="301">
      <c r="B20" s="252" t="n"/>
    </row>
    <row r="21" ht="18.75" customHeight="1" s="301">
      <c r="B21" s="252" t="n"/>
    </row>
    <row r="22" ht="18.75" customHeight="1" s="301">
      <c r="B22" s="252" t="n"/>
    </row>
    <row r="23" ht="18.75" customHeight="1" s="301">
      <c r="B23" s="252" t="n"/>
    </row>
    <row r="26">
      <c r="B26" s="291" t="inlineStr">
        <is>
          <t>Составил ______________________        Е.М. Добровольская</t>
        </is>
      </c>
      <c r="C26" s="292" t="n"/>
    </row>
    <row r="27">
      <c r="B27" s="294" t="inlineStr">
        <is>
          <t xml:space="preserve">                         (подпись, инициалы, фамилия)</t>
        </is>
      </c>
      <c r="C27" s="292" t="n"/>
    </row>
    <row r="28">
      <c r="B28" s="291" t="n"/>
      <c r="C28" s="292" t="n"/>
    </row>
    <row r="29">
      <c r="B29" s="291" t="inlineStr">
        <is>
          <t>Проверил ______________________        А.В. Костянецкая</t>
        </is>
      </c>
      <c r="C29" s="292" t="n"/>
    </row>
    <row r="30">
      <c r="B30" s="294" t="inlineStr">
        <is>
          <t xml:space="preserve">                        (подпись, инициалы, фамилия)</t>
        </is>
      </c>
      <c r="C30" s="292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8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zoomScale="60" zoomScaleNormal="100" workbookViewId="0">
      <selection activeCell="D16" sqref="D16"/>
    </sheetView>
  </sheetViews>
  <sheetFormatPr baseColWidth="8" defaultColWidth="9.140625" defaultRowHeight="15"/>
  <cols>
    <col width="44.85546875" customWidth="1" style="301" min="2" max="2"/>
    <col width="13" customWidth="1" style="301" min="3" max="3"/>
    <col width="22.85546875" customWidth="1" style="301" min="4" max="4"/>
    <col width="21.5703125" customWidth="1" style="301" min="5" max="5"/>
    <col width="43.85546875" customWidth="1" style="301" min="6" max="6"/>
  </cols>
  <sheetData>
    <row r="1" s="301"/>
    <row r="2" ht="17.25" customHeight="1" s="301">
      <c r="A2" s="341" t="inlineStr">
        <is>
          <t>Расчет размера средств на оплату труда рабочих-строителей в текущем уровне цен (ФОТр.тек.)</t>
        </is>
      </c>
    </row>
    <row r="3" s="301"/>
    <row r="4" ht="18" customHeight="1" s="301">
      <c r="A4" s="302" t="inlineStr">
        <is>
          <t>Составлен в уровне цен на 01.01.2023 г.</t>
        </is>
      </c>
      <c r="B4" s="303" t="n"/>
      <c r="C4" s="303" t="n"/>
      <c r="D4" s="303" t="n"/>
      <c r="E4" s="303" t="n"/>
      <c r="F4" s="303" t="n"/>
      <c r="G4" s="303" t="n"/>
    </row>
    <row r="5" ht="15.75" customHeight="1" s="301">
      <c r="A5" s="304" t="inlineStr">
        <is>
          <t>№ пп.</t>
        </is>
      </c>
      <c r="B5" s="304" t="inlineStr">
        <is>
          <t>Наименование элемента</t>
        </is>
      </c>
      <c r="C5" s="304" t="inlineStr">
        <is>
          <t>Обозначение</t>
        </is>
      </c>
      <c r="D5" s="304" t="inlineStr">
        <is>
          <t>Формула</t>
        </is>
      </c>
      <c r="E5" s="304" t="inlineStr">
        <is>
          <t>Величина элемента</t>
        </is>
      </c>
      <c r="F5" s="304" t="inlineStr">
        <is>
          <t>Наименования обосновывающих документов</t>
        </is>
      </c>
      <c r="G5" s="303" t="n"/>
    </row>
    <row r="6" ht="15.75" customHeight="1" s="301">
      <c r="A6" s="304" t="n">
        <v>1</v>
      </c>
      <c r="B6" s="304" t="n">
        <v>2</v>
      </c>
      <c r="C6" s="304" t="n">
        <v>3</v>
      </c>
      <c r="D6" s="304" t="n">
        <v>4</v>
      </c>
      <c r="E6" s="304" t="n">
        <v>5</v>
      </c>
      <c r="F6" s="304" t="n">
        <v>6</v>
      </c>
      <c r="G6" s="303" t="n"/>
    </row>
    <row r="7" ht="110.25" customHeight="1" s="301">
      <c r="A7" s="305" t="inlineStr">
        <is>
          <t>1.1</t>
        </is>
      </c>
      <c r="B7" s="310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345" t="inlineStr">
        <is>
          <t>С1ср</t>
        </is>
      </c>
      <c r="D7" s="345" t="inlineStr">
        <is>
          <t>-</t>
        </is>
      </c>
      <c r="E7" s="308" t="n">
        <v>47872.94</v>
      </c>
      <c r="F7" s="310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303" t="n"/>
    </row>
    <row r="8" ht="31.5" customHeight="1" s="301">
      <c r="A8" s="305" t="inlineStr">
        <is>
          <t>1.2</t>
        </is>
      </c>
      <c r="B8" s="310" t="inlineStr">
        <is>
          <t>Среднегодовое нормативное число часов работы одного рабочего в месяц, часы (ч.)</t>
        </is>
      </c>
      <c r="C8" s="345" t="inlineStr">
        <is>
          <t>tср</t>
        </is>
      </c>
      <c r="D8" s="345" t="inlineStr">
        <is>
          <t>1973ч/12мес.</t>
        </is>
      </c>
      <c r="E8" s="309">
        <f>1973/12</f>
        <v/>
      </c>
      <c r="F8" s="310" t="inlineStr">
        <is>
          <t>Производственный календарь 2023 год
(40-часов.неделя)</t>
        </is>
      </c>
      <c r="G8" s="312" t="n"/>
    </row>
    <row r="9" ht="15.75" customHeight="1" s="301">
      <c r="A9" s="305" t="inlineStr">
        <is>
          <t>1.3</t>
        </is>
      </c>
      <c r="B9" s="310" t="inlineStr">
        <is>
          <t>Коэффициент увеличения</t>
        </is>
      </c>
      <c r="C9" s="345" t="inlineStr">
        <is>
          <t>Кув</t>
        </is>
      </c>
      <c r="D9" s="345" t="inlineStr">
        <is>
          <t>-</t>
        </is>
      </c>
      <c r="E9" s="309" t="n">
        <v>1</v>
      </c>
      <c r="F9" s="310" t="n"/>
      <c r="G9" s="312" t="n"/>
    </row>
    <row r="10" ht="15.75" customHeight="1" s="301">
      <c r="A10" s="305" t="inlineStr">
        <is>
          <t>1.4</t>
        </is>
      </c>
      <c r="B10" s="310" t="inlineStr">
        <is>
          <t>Средний разряд работ</t>
        </is>
      </c>
      <c r="C10" s="345" t="n"/>
      <c r="D10" s="345" t="n"/>
      <c r="E10" s="450" t="n">
        <v>3.8</v>
      </c>
      <c r="F10" s="310" t="inlineStr">
        <is>
          <t>РТМ</t>
        </is>
      </c>
      <c r="G10" s="312" t="n"/>
    </row>
    <row r="11" ht="78.75" customHeight="1" s="301">
      <c r="A11" s="305" t="inlineStr">
        <is>
          <t>1.5</t>
        </is>
      </c>
      <c r="B11" s="310" t="inlineStr">
        <is>
          <t>Тарифный коэффициент среднего разряда работ</t>
        </is>
      </c>
      <c r="C11" s="345" t="inlineStr">
        <is>
          <t>КТ</t>
        </is>
      </c>
      <c r="D11" s="345" t="inlineStr">
        <is>
          <t>-</t>
        </is>
      </c>
      <c r="E11" s="451" t="n">
        <v>1.308</v>
      </c>
      <c r="F11" s="310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303" t="n"/>
    </row>
    <row r="12" ht="78.75" customHeight="1" s="301">
      <c r="A12" s="305" t="inlineStr">
        <is>
          <t>1.6</t>
        </is>
      </c>
      <c r="B12" s="325" t="inlineStr">
        <is>
          <t>Коэффициент инфляции, определяемый поквартально</t>
        </is>
      </c>
      <c r="C12" s="345" t="inlineStr">
        <is>
          <t>Кинф</t>
        </is>
      </c>
      <c r="D12" s="345" t="inlineStr">
        <is>
          <t>-</t>
        </is>
      </c>
      <c r="E12" s="452" t="n">
        <v>1.139</v>
      </c>
      <c r="F12" s="317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312" t="n"/>
    </row>
    <row r="13" ht="63" customHeight="1" s="301">
      <c r="A13" s="431" t="inlineStr">
        <is>
          <t>1.7</t>
        </is>
      </c>
      <c r="B13" s="432" t="inlineStr">
        <is>
          <t>Размер средств на оплату труда рабочих-строителей в текущем уровне цен (ФОТр.тек.), руб/чел.-ч</t>
        </is>
      </c>
      <c r="C13" s="433" t="inlineStr">
        <is>
          <t>ФОТр.тек.</t>
        </is>
      </c>
      <c r="D13" s="433" t="inlineStr">
        <is>
          <t>(С1ср/tср*КТ*Т*Кув)*Кинф</t>
        </is>
      </c>
      <c r="E13" s="434">
        <f>((E7*E9/E8)*E11)*E12</f>
        <v/>
      </c>
      <c r="F13" s="435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303" t="n"/>
    </row>
  </sheetData>
  <mergeCells count="1">
    <mergeCell ref="A2:F2"/>
  </mergeCells>
  <pageMargins left="0.7" right="0.7" top="0.75" bottom="0.75" header="0.3" footer="0.3"/>
  <pageSetup orientation="portrait" paperSize="9" scale="56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2025-01-24T12:00:36Z</dcterms:modified>
  <cp:lastModifiedBy>Nikolay Ivanov</cp:lastModifiedBy>
  <cp:lastPrinted>2023-11-26T08:33:52Z</cp:lastPrinted>
</cp:coreProperties>
</file>