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891" firstSheet="0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externalReferences>
    <externalReference r:id="rId10"/>
  </externalReference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'Прил.3'!$7:$9</definedName>
    <definedName name="_xlnm.Print_Area" localSheetId="2">'Прил.3'!$A$1:$H$61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мил" localSheetId="6">{0,"овz";1,"z";2,"аz";5,"овz"}</definedName>
    <definedName name="нр" localSheetId="6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С" localSheetId="6">{#N/A,#N/A,FALSE,"Шаблон_Спец1"}</definedName>
    <definedName name="тыс" localSheetId="6">{0,"тысячz";1,"тысячаz";2,"тысячиz";5,"тысячz"}</definedName>
    <definedName name="ЭКСПО" localSheetId="6">граж</definedName>
    <definedName name="ЭКСПОФОРУМ" localSheetId="6">граж</definedName>
    <definedName name="экт" localSheetId="6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#,##0.000"/>
    <numFmt numFmtId="168" formatCode="0.0"/>
    <numFmt numFmtId="169" formatCode="#,##0.0"/>
  </numFmts>
  <fonts count="25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Arial"/>
      <color rgb="FF0070C0"/>
      <sz val="10"/>
    </font>
    <font>
      <name val="Arial"/>
      <color rgb="FF0070C0"/>
      <sz val="11"/>
    </font>
    <font>
      <name val="Calibri"/>
      <color rgb="FF0563C1"/>
      <sz val="11"/>
      <u val="single"/>
    </font>
    <font>
      <name val="Times New Roman"/>
      <color rgb="FF0000FF"/>
      <sz val="12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imes New Roman"/>
      <charset val="204"/>
      <family val="1"/>
      <color rgb="FF000000"/>
      <sz val="12"/>
    </font>
    <font>
      <name val="Calibri"/>
      <charset val="204"/>
      <family val="2"/>
      <color rgb="FF000000"/>
      <sz val="11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rgb="FF000000"/>
      <sz val="14"/>
      <vertAlign val="superscript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0" fillId="0" borderId="0"/>
  </cellStyleXfs>
  <cellXfs count="28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right"/>
    </xf>
    <xf numFmtId="1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10" fontId="2" fillId="0" borderId="0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64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1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0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 wrapText="1"/>
    </xf>
    <xf numFmtId="0" fontId="0" fillId="0" borderId="1" pivotButton="0" quotePrefix="0" xfId="0"/>
    <xf numFmtId="2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6" fillId="0" borderId="1" pivotButton="0" quotePrefix="0" xfId="0"/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0" fontId="6" fillId="0" borderId="0" applyAlignment="1" pivotButton="0" quotePrefix="0" xfId="0">
      <alignment vertical="center"/>
    </xf>
    <xf numFmtId="167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justify" vertical="center" wrapText="1"/>
    </xf>
    <xf numFmtId="167" fontId="6" fillId="0" borderId="1" applyAlignment="1" pivotButton="0" quotePrefix="0" xfId="0">
      <alignment horizontal="center" vertical="center" wrapText="1"/>
    </xf>
    <xf numFmtId="167" fontId="6" fillId="0" borderId="1" applyAlignment="1" pivotButton="0" quotePrefix="0" xfId="0">
      <alignment horizontal="center" vertical="center" wrapText="1"/>
    </xf>
    <xf numFmtId="168" fontId="6" fillId="0" borderId="0" pivotButton="0" quotePrefix="0" xfId="0"/>
    <xf numFmtId="0" fontId="13" fillId="0" borderId="1" applyAlignment="1" pivotButton="0" quotePrefix="0" xfId="0">
      <alignment horizontal="center" vertical="center" wrapText="1"/>
    </xf>
    <xf numFmtId="49" fontId="13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left" vertical="center" wrapText="1"/>
    </xf>
    <xf numFmtId="0" fontId="13" fillId="0" borderId="1" applyAlignment="1" pivotButton="0" quotePrefix="0" xfId="0">
      <alignment horizontal="center" vertical="center" wrapText="1"/>
    </xf>
    <xf numFmtId="164" fontId="13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right" vertical="center" wrapText="1"/>
    </xf>
    <xf numFmtId="4" fontId="13" fillId="0" borderId="1" applyAlignment="1" pivotButton="0" quotePrefix="0" xfId="0">
      <alignment horizontal="right" vertical="center" wrapText="1"/>
    </xf>
    <xf numFmtId="10" fontId="13" fillId="0" borderId="1" applyAlignment="1" pivotButton="0" quotePrefix="0" xfId="0">
      <alignment horizontal="right" vertical="center" wrapText="1"/>
    </xf>
    <xf numFmtId="0" fontId="14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15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19" fillId="0" borderId="1" applyAlignment="1" pivotButton="0" quotePrefix="0" xfId="0">
      <alignment horizontal="center" vertical="center" wrapText="1"/>
    </xf>
    <xf numFmtId="4" fontId="19" fillId="0" borderId="1" applyAlignment="1" pivotButton="0" quotePrefix="0" xfId="0">
      <alignment horizontal="center" vertical="center" wrapText="1"/>
    </xf>
    <xf numFmtId="4" fontId="19" fillId="0" borderId="1" applyAlignment="1" pivotButton="0" quotePrefix="0" xfId="1">
      <alignment horizontal="center" vertical="center" wrapText="1"/>
    </xf>
    <xf numFmtId="14" fontId="19" fillId="0" borderId="1" applyAlignment="1" pivotButton="0" quotePrefix="0" xfId="1">
      <alignment horizontal="center" vertical="center" wrapText="1"/>
    </xf>
    <xf numFmtId="0" fontId="19" fillId="0" borderId="0" pivotButton="0" quotePrefix="0" xfId="0"/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justify" vertical="center"/>
    </xf>
    <xf numFmtId="0" fontId="19" fillId="0" borderId="1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center" vertical="center"/>
    </xf>
    <xf numFmtId="0" fontId="22" fillId="0" borderId="11" applyAlignment="1" pivotButton="0" quotePrefix="0" xfId="1">
      <alignment horizontal="center" vertical="center" wrapText="1"/>
    </xf>
    <xf numFmtId="49" fontId="19" fillId="0" borderId="10" applyAlignment="1" pivotButton="0" quotePrefix="1" xfId="1">
      <alignment horizontal="center" vertical="center" wrapText="1"/>
    </xf>
    <xf numFmtId="0" fontId="19" fillId="0" borderId="10" applyAlignment="1" pivotButton="0" quotePrefix="0" xfId="1">
      <alignment vertical="center" wrapText="1"/>
    </xf>
    <xf numFmtId="4" fontId="19" fillId="0" borderId="10" applyAlignment="1" pivotButton="0" quotePrefix="0" xfId="1">
      <alignment horizontal="right" vertical="center"/>
    </xf>
    <xf numFmtId="4" fontId="22" fillId="0" borderId="10" applyAlignment="1" pivotButton="0" quotePrefix="0" xfId="1">
      <alignment horizontal="right" vertical="center" wrapText="1"/>
    </xf>
    <xf numFmtId="4" fontId="21" fillId="0" borderId="10" applyAlignment="1" pivotButton="0" quotePrefix="0" xfId="1">
      <alignment vertical="center" wrapText="1"/>
    </xf>
    <xf numFmtId="4" fontId="23" fillId="0" borderId="10" applyAlignment="1" pivotButton="0" quotePrefix="0" xfId="1">
      <alignment vertical="center" wrapText="1"/>
    </xf>
    <xf numFmtId="0" fontId="24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21" fillId="0" borderId="10" applyAlignment="1" pivotButton="0" quotePrefix="0" xfId="1">
      <alignment horizontal="right" vertical="center" wrapText="1"/>
    </xf>
    <xf numFmtId="0" fontId="19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justify" vertical="center"/>
    </xf>
    <xf numFmtId="0" fontId="21" fillId="0" borderId="0" applyAlignment="1" pivotButton="0" quotePrefix="0" xfId="0">
      <alignment horizontal="center" vertical="center"/>
    </xf>
    <xf numFmtId="0" fontId="19" fillId="0" borderId="1" applyAlignment="1" pivotButton="0" quotePrefix="0" xfId="1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6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167" fontId="6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8" fontId="6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166" fontId="12" fillId="0" borderId="0" pivotButton="0" quotePrefix="0" xfId="0"/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164" fontId="13" fillId="0" borderId="1" applyAlignment="1" pivotButton="0" quotePrefix="0" xfId="0">
      <alignment horizontal="center" vertical="center" wrapText="1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2">
    <cellStyle name="Обычный" xfId="0" builtinId="0"/>
    <cellStyle name="Обычный 2 5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Danil/Desktop/&#1088;&#1072;&#1073;&#1086;&#1090;&#1072;/&#1059;&#1053;&#1062;/&#1080;11%20&#1087;&#1088;&#1080;&#1083;.1/&#1048;11-125&#1072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рил.1 Сравнит табл"/>
      <sheetName val="Прил.2 Расч стоим"/>
      <sheetName val="Прил.3"/>
      <sheetName val="Прил.4 РМ"/>
      <sheetName val="Прил.5 Расчет СМР и ОБ"/>
      <sheetName val="Прил.6 Расчет ОБ"/>
      <sheetName val="Прил.7"/>
      <sheetName val="Прил.10"/>
      <sheetName val="ФОТр.тек."/>
    </sheetNames>
    <sheetDataSet>
      <sheetData sheetId="0">
        <row r="7">
          <cell r="B7" t="str">
            <v>Наименование разрабатываемого показателя УНЦ - Автоматика управления ДГР 6-35 кВ</v>
          </cell>
        </row>
        <row r="9">
          <cell r="B9" t="str">
            <v>Единица измерения  — 1 ед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34"/>
  <sheetViews>
    <sheetView view="pageBreakPreview" topLeftCell="A16" zoomScale="60" zoomScaleNormal="70" workbookViewId="0">
      <selection activeCell="C28" sqref="C28"/>
    </sheetView>
  </sheetViews>
  <sheetFormatPr baseColWidth="8" defaultRowHeight="15.75"/>
  <cols>
    <col width="9.140625" customWidth="1" style="186" min="1" max="2"/>
    <col width="36.85546875" customWidth="1" style="186" min="3" max="3"/>
    <col width="36.5703125" customWidth="1" style="186" min="4" max="4"/>
    <col hidden="1" width="36.5703125" customWidth="1" style="186" min="5" max="6"/>
    <col width="14.28515625" customWidth="1" style="184" min="7" max="7"/>
    <col width="12.140625" customWidth="1" style="184" min="8" max="8"/>
    <col width="12.28515625" customWidth="1" style="184" min="9" max="9"/>
    <col width="15" customWidth="1" style="184" min="10" max="10"/>
    <col width="9.140625" customWidth="1" style="184" min="11" max="11"/>
  </cols>
  <sheetData>
    <row r="1">
      <c r="G1" s="186" t="n"/>
      <c r="H1" s="186" t="n"/>
      <c r="I1" s="186" t="n"/>
      <c r="J1" s="186" t="n"/>
      <c r="K1" s="186" t="n"/>
    </row>
    <row r="2">
      <c r="G2" s="186" t="n"/>
      <c r="H2" s="186" t="n"/>
      <c r="I2" s="186" t="n"/>
      <c r="J2" s="186" t="n"/>
      <c r="K2" s="186" t="n"/>
    </row>
    <row r="3">
      <c r="B3" s="224" t="inlineStr">
        <is>
          <t>Приложение № 1</t>
        </is>
      </c>
      <c r="G3" s="186" t="n"/>
      <c r="H3" s="186" t="n"/>
      <c r="I3" s="186" t="n"/>
      <c r="J3" s="186" t="n"/>
      <c r="K3" s="186" t="n"/>
    </row>
    <row r="4">
      <c r="B4" s="225" t="inlineStr">
        <is>
          <t>Сравнительная таблица отбора объекта-представителя</t>
        </is>
      </c>
      <c r="G4" s="186" t="n"/>
      <c r="H4" s="186" t="n"/>
      <c r="I4" s="186" t="n"/>
      <c r="J4" s="186" t="n"/>
      <c r="K4" s="186" t="n"/>
    </row>
    <row r="5">
      <c r="B5" s="105" t="n"/>
      <c r="C5" s="105" t="n"/>
      <c r="D5" s="105" t="n"/>
      <c r="E5" s="105" t="n"/>
      <c r="F5" s="105" t="n"/>
      <c r="G5" s="186" t="n"/>
      <c r="H5" s="186" t="n"/>
      <c r="I5" s="186" t="n"/>
      <c r="J5" s="186" t="n"/>
      <c r="K5" s="186" t="n"/>
    </row>
    <row r="6">
      <c r="B6" s="105" t="n"/>
      <c r="C6" s="105" t="n"/>
      <c r="D6" s="105" t="n"/>
      <c r="E6" s="105" t="n"/>
      <c r="F6" s="105" t="n"/>
      <c r="G6" s="186" t="n"/>
      <c r="H6" s="186" t="n"/>
      <c r="I6" s="186" t="n"/>
      <c r="J6" s="186" t="n"/>
      <c r="K6" s="186" t="n"/>
    </row>
    <row r="7" ht="59.25" customHeight="1" s="184">
      <c r="B7" s="223">
        <f>_xlfn.CONCAT(TEXT('Прил.5 Расчет СМР и ОБ'!A6,0)," - ",TEXT('Прил.5 Расчет СМР и ОБ'!D6,0))</f>
        <v/>
      </c>
      <c r="G7" s="106" t="n"/>
      <c r="H7" s="186" t="n"/>
      <c r="I7" s="186" t="n"/>
      <c r="J7" s="186" t="n"/>
      <c r="K7" s="186" t="n"/>
    </row>
    <row r="8" ht="15.75" customHeight="1" s="184">
      <c r="B8" s="143" t="inlineStr">
        <is>
          <t xml:space="preserve">Сопоставимый уровень цен: </t>
        </is>
      </c>
      <c r="C8" s="143" t="n"/>
      <c r="D8" s="143" t="n"/>
      <c r="E8" s="143" t="n"/>
      <c r="F8" s="143" t="n"/>
      <c r="G8" s="186" t="n"/>
      <c r="H8" s="186" t="n"/>
      <c r="I8" s="186" t="n"/>
      <c r="J8" s="186" t="n"/>
      <c r="K8" s="186" t="n"/>
    </row>
    <row r="9" ht="15.75" customHeight="1" s="184">
      <c r="B9" s="223" t="inlineStr">
        <is>
          <t>Единица измерения  — 1 ед</t>
        </is>
      </c>
      <c r="G9" s="106" t="n"/>
      <c r="H9" s="186" t="n"/>
      <c r="I9" s="186" t="n"/>
      <c r="J9" s="186" t="n"/>
      <c r="K9" s="186" t="n"/>
    </row>
    <row r="10">
      <c r="B10" s="223" t="n"/>
      <c r="G10" s="186" t="n"/>
      <c r="H10" s="186" t="n"/>
      <c r="I10" s="186" t="n"/>
      <c r="J10" s="186" t="n"/>
      <c r="K10" s="186" t="n"/>
    </row>
    <row r="11">
      <c r="B11" s="236" t="inlineStr">
        <is>
          <t>№ п/п</t>
        </is>
      </c>
      <c r="C11" s="236" t="inlineStr">
        <is>
          <t>Параметр</t>
        </is>
      </c>
      <c r="D11" s="206" t="inlineStr">
        <is>
          <t>Объект-представитель 1</t>
        </is>
      </c>
      <c r="E11" s="236" t="inlineStr">
        <is>
          <t>Объект-представитель 2</t>
        </is>
      </c>
      <c r="F11" s="236" t="inlineStr">
        <is>
          <t>Объект-представитель 3</t>
        </is>
      </c>
      <c r="G11" s="106" t="n"/>
      <c r="H11" s="186" t="n"/>
      <c r="I11" s="186" t="n"/>
      <c r="J11" s="186" t="n"/>
      <c r="K11" s="186" t="n"/>
    </row>
    <row r="12" ht="31.5" customHeight="1" s="184">
      <c r="B12" s="236" t="n">
        <v>1</v>
      </c>
      <c r="C12" s="198" t="inlineStr">
        <is>
          <t>Наименование объекта-представителя</t>
        </is>
      </c>
      <c r="D12" s="206" t="inlineStr">
        <is>
          <t>ПС 500 кВ Преображенская (МЭС Урала)</t>
        </is>
      </c>
      <c r="E12" s="236" t="n"/>
      <c r="F12" s="236" t="n"/>
      <c r="G12" s="186" t="n"/>
      <c r="H12" s="186" t="n"/>
      <c r="I12" s="186" t="n"/>
      <c r="J12" s="186" t="n"/>
      <c r="K12" s="186" t="n"/>
    </row>
    <row r="13" ht="31.5" customHeight="1" s="184">
      <c r="B13" s="236" t="n">
        <v>2</v>
      </c>
      <c r="C13" s="198" t="inlineStr">
        <is>
          <t>Наименование субъекта Российской Федерации</t>
        </is>
      </c>
      <c r="D13" s="206" t="inlineStr">
        <is>
          <t>Оренбургская область</t>
        </is>
      </c>
      <c r="E13" s="236" t="n"/>
      <c r="F13" s="236" t="n"/>
      <c r="G13" s="186" t="n"/>
      <c r="H13" s="186" t="n"/>
      <c r="I13" s="186" t="n"/>
      <c r="J13" s="186" t="n"/>
      <c r="K13" s="186" t="n"/>
    </row>
    <row r="14">
      <c r="B14" s="236" t="n">
        <v>3</v>
      </c>
      <c r="C14" s="198" t="inlineStr">
        <is>
          <t>Климатический район и подрайон</t>
        </is>
      </c>
      <c r="D14" s="206" t="inlineStr">
        <is>
          <t>IIIА</t>
        </is>
      </c>
      <c r="E14" s="236" t="n"/>
      <c r="F14" s="236" t="n"/>
      <c r="G14" s="186" t="n"/>
      <c r="H14" s="186" t="n"/>
      <c r="I14" s="186" t="n"/>
      <c r="J14" s="186" t="n"/>
      <c r="K14" s="186" t="n"/>
    </row>
    <row r="15">
      <c r="B15" s="236" t="n">
        <v>4</v>
      </c>
      <c r="C15" s="198" t="inlineStr">
        <is>
          <t>Мощность объекта</t>
        </is>
      </c>
      <c r="D15" s="206" t="n">
        <v>1</v>
      </c>
      <c r="E15" s="236" t="n">
        <v>4</v>
      </c>
      <c r="F15" s="236" t="n">
        <v>3</v>
      </c>
      <c r="G15" s="186" t="n"/>
      <c r="H15" s="186" t="n"/>
      <c r="I15" s="186" t="n"/>
      <c r="J15" s="186" t="n"/>
      <c r="K15" s="186" t="n"/>
    </row>
    <row r="16" ht="100.5" customHeight="1" s="184">
      <c r="B16" s="236" t="n">
        <v>5</v>
      </c>
      <c r="C16" s="10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06" t="inlineStr">
        <is>
          <t>Шкаф автоматики и управления ДГР 6-35кВ для 1 ДГР</t>
        </is>
      </c>
      <c r="E16" s="236" t="n"/>
      <c r="F16" s="236" t="n"/>
      <c r="G16" s="186" t="n"/>
      <c r="H16" s="186" t="n"/>
      <c r="I16" s="186" t="n"/>
      <c r="J16" s="186" t="n"/>
      <c r="K16" s="186" t="n"/>
    </row>
    <row r="17" ht="82.5" customHeight="1" s="184">
      <c r="B17" s="236" t="n">
        <v>6</v>
      </c>
      <c r="C17" s="10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07">
        <f>D18+D19+D20+D21</f>
        <v/>
      </c>
      <c r="E17" s="265" t="n"/>
      <c r="F17" s="265" t="n"/>
      <c r="G17" s="109" t="n"/>
      <c r="H17" s="186" t="n"/>
      <c r="I17" s="186" t="n"/>
      <c r="J17" s="186" t="n"/>
      <c r="K17" s="186" t="n"/>
    </row>
    <row r="18">
      <c r="B18" s="110" t="inlineStr">
        <is>
          <t>6.1</t>
        </is>
      </c>
      <c r="C18" s="198" t="inlineStr">
        <is>
          <t>строительно-монтажные работы</t>
        </is>
      </c>
      <c r="D18" s="208" t="n">
        <v>170.1649147</v>
      </c>
      <c r="E18" s="265" t="n"/>
      <c r="F18" s="265" t="n"/>
      <c r="G18" s="186" t="n"/>
      <c r="H18" s="186" t="n"/>
      <c r="I18" s="186" t="n"/>
      <c r="J18" s="186" t="n"/>
      <c r="K18" s="186" t="n"/>
    </row>
    <row r="19">
      <c r="B19" s="110" t="inlineStr">
        <is>
          <t>6.2</t>
        </is>
      </c>
      <c r="C19" s="198" t="inlineStr">
        <is>
          <t>оборудование и инвентарь</t>
        </is>
      </c>
      <c r="D19" s="208" t="n">
        <v>1298.665506</v>
      </c>
      <c r="E19" s="265" t="n"/>
      <c r="F19" s="265" t="n"/>
      <c r="G19" s="186" t="n"/>
      <c r="H19" s="186" t="n"/>
      <c r="I19" s="186" t="n"/>
      <c r="J19" s="186" t="n"/>
      <c r="K19" s="186" t="n"/>
    </row>
    <row r="20">
      <c r="B20" s="110" t="inlineStr">
        <is>
          <t>6.3</t>
        </is>
      </c>
      <c r="C20" s="198" t="inlineStr">
        <is>
          <t>пусконаладочные работы</t>
        </is>
      </c>
      <c r="D20" s="208" t="n">
        <v>0</v>
      </c>
      <c r="E20" s="265" t="n"/>
      <c r="F20" s="265" t="n"/>
      <c r="G20" s="186" t="n"/>
      <c r="H20" s="186" t="n"/>
      <c r="I20" s="186" t="n"/>
      <c r="J20" s="186" t="n"/>
      <c r="K20" s="186" t="n"/>
    </row>
    <row r="21" ht="31.5" customHeight="1" s="184">
      <c r="B21" s="110" t="inlineStr">
        <is>
          <t>6.4</t>
        </is>
      </c>
      <c r="C21" s="111" t="inlineStr">
        <is>
          <t>прочие и лимитированные затраты</t>
        </is>
      </c>
      <c r="D21" s="208" t="n">
        <v>0</v>
      </c>
      <c r="E21" s="265" t="n"/>
      <c r="F21" s="265" t="n"/>
      <c r="G21" s="186" t="n"/>
      <c r="H21" s="186" t="n"/>
      <c r="I21" s="186" t="n"/>
      <c r="J21" s="186" t="n"/>
      <c r="K21" s="186" t="n"/>
    </row>
    <row r="22">
      <c r="B22" s="236" t="n">
        <v>7</v>
      </c>
      <c r="C22" s="111" t="inlineStr">
        <is>
          <t>Сопоставимый уровень цен</t>
        </is>
      </c>
      <c r="D22" s="209" t="inlineStr">
        <is>
          <t>4 квартал 2016 года</t>
        </is>
      </c>
      <c r="E22" s="236" t="n"/>
      <c r="F22" s="236" t="n"/>
      <c r="G22" s="109" t="n"/>
      <c r="H22" s="186" t="n"/>
      <c r="I22" s="186" t="n"/>
      <c r="J22" s="186" t="n"/>
      <c r="K22" s="186" t="n"/>
    </row>
    <row r="23" ht="119.25" customHeight="1" s="184">
      <c r="A23" s="186" t="n"/>
      <c r="B23" s="236" t="n">
        <v>8</v>
      </c>
      <c r="C23" s="146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07">
        <f>D17</f>
        <v/>
      </c>
      <c r="E23" s="265" t="n"/>
      <c r="F23" s="265" t="n"/>
      <c r="G23" s="186" t="n"/>
      <c r="H23" s="186" t="n"/>
      <c r="I23" s="186" t="n"/>
      <c r="J23" s="186" t="n"/>
      <c r="K23" s="186" t="n"/>
    </row>
    <row r="24" ht="47.25" customHeight="1" s="184">
      <c r="B24" s="236" t="n">
        <v>9</v>
      </c>
      <c r="C24" s="108" t="inlineStr">
        <is>
          <t>Приведенная сметная стоимость на единицу мощности, тыс. руб. (строка 8/строку 4)</t>
        </is>
      </c>
      <c r="D24" s="207">
        <f>D23/D15</f>
        <v/>
      </c>
      <c r="E24" s="265" t="n"/>
      <c r="F24" s="265" t="n"/>
      <c r="G24" s="109" t="n"/>
      <c r="H24" s="186" t="n"/>
      <c r="I24" s="186" t="n"/>
      <c r="J24" s="186" t="n"/>
      <c r="K24" s="186" t="n"/>
    </row>
    <row r="25" hidden="1" ht="47.25" customHeight="1" s="184">
      <c r="B25" s="236" t="n">
        <v>10</v>
      </c>
      <c r="C25" s="198" t="inlineStr">
        <is>
          <t>Примечание</t>
        </is>
      </c>
      <c r="D25" s="198" t="n"/>
      <c r="E25" s="123" t="n"/>
      <c r="F25" s="198" t="inlineStr">
        <is>
          <t xml:space="preserve">Выбран объектом-представителем с учетом минимальной удельной стоимости </t>
        </is>
      </c>
      <c r="G25" s="186" t="n"/>
      <c r="H25" s="186" t="n"/>
      <c r="I25" s="186" t="n"/>
      <c r="J25" s="186" t="n"/>
      <c r="K25" s="186" t="n"/>
    </row>
    <row r="26">
      <c r="B26" s="262" t="n"/>
      <c r="C26" s="113" t="n"/>
      <c r="D26" s="113" t="n"/>
      <c r="E26" s="113" t="n"/>
      <c r="F26" s="113" t="n"/>
      <c r="G26" s="186" t="n"/>
      <c r="H26" s="186" t="n"/>
      <c r="I26" s="186" t="n"/>
      <c r="J26" s="186" t="n"/>
      <c r="K26" s="186" t="n"/>
    </row>
    <row r="27">
      <c r="B27" s="143" t="n"/>
      <c r="G27" s="186" t="n"/>
      <c r="H27" s="186" t="n"/>
      <c r="I27" s="186" t="n"/>
      <c r="J27" s="186" t="n"/>
      <c r="K27" s="186" t="n"/>
    </row>
    <row r="28">
      <c r="B28" s="186" t="inlineStr">
        <is>
          <t>Составил ______________________        Е.А. Князева</t>
        </is>
      </c>
      <c r="G28" s="186" t="n"/>
      <c r="H28" s="186" t="n"/>
      <c r="I28" s="186" t="n"/>
      <c r="J28" s="186" t="n"/>
      <c r="K28" s="186" t="n"/>
    </row>
    <row r="29" ht="22.5" customHeight="1" s="184">
      <c r="B29" s="124" t="inlineStr">
        <is>
          <t xml:space="preserve">                         (подпись, инициалы, фамилия)</t>
        </is>
      </c>
      <c r="G29" s="186" t="n"/>
      <c r="H29" s="186" t="n"/>
      <c r="I29" s="186" t="n"/>
      <c r="J29" s="186" t="n"/>
      <c r="K29" s="186" t="n"/>
    </row>
    <row r="30">
      <c r="G30" s="186" t="n"/>
      <c r="H30" s="186" t="n"/>
      <c r="I30" s="186" t="n"/>
      <c r="J30" s="186" t="n"/>
      <c r="K30" s="186" t="n"/>
    </row>
    <row r="31">
      <c r="B31" s="186" t="inlineStr">
        <is>
          <t>Проверил ______________________        А.В. Костянецкая</t>
        </is>
      </c>
      <c r="G31" s="186" t="n"/>
      <c r="H31" s="186" t="n"/>
      <c r="I31" s="186" t="n"/>
      <c r="J31" s="186" t="n"/>
      <c r="K31" s="186" t="n"/>
    </row>
    <row r="32" ht="22.5" customHeight="1" s="184">
      <c r="B32" s="124" t="inlineStr">
        <is>
          <t xml:space="preserve">                        (подпись, инициалы, фамилия)</t>
        </is>
      </c>
      <c r="G32" s="186" t="n"/>
      <c r="H32" s="186" t="n"/>
      <c r="I32" s="186" t="n"/>
      <c r="J32" s="186" t="n"/>
      <c r="K32" s="186" t="n"/>
    </row>
    <row r="33">
      <c r="G33" s="186" t="n"/>
      <c r="H33" s="186" t="n"/>
      <c r="I33" s="186" t="n"/>
      <c r="J33" s="186" t="n"/>
      <c r="K33" s="186" t="n"/>
    </row>
    <row r="34">
      <c r="G34" s="186" t="n"/>
      <c r="H34" s="186" t="n"/>
      <c r="I34" s="186" t="n"/>
      <c r="J34" s="186" t="n"/>
      <c r="K34" s="186" t="n"/>
    </row>
  </sheetData>
  <mergeCells count="4">
    <mergeCell ref="B4:F4"/>
    <mergeCell ref="B9:F9"/>
    <mergeCell ref="B7:F7"/>
    <mergeCell ref="B3:F3"/>
  </mergeCells>
  <pageMargins left="0.7" right="0.7" top="0.75" bottom="0.75" header="0.3" footer="0.3"/>
  <pageSetup orientation="portrait" paperSize="9" scale="86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23"/>
  <sheetViews>
    <sheetView view="pageBreakPreview" zoomScale="60" zoomScaleNormal="70" workbookViewId="0">
      <selection activeCell="C22" sqref="C22"/>
    </sheetView>
  </sheetViews>
  <sheetFormatPr baseColWidth="8" defaultRowHeight="15"/>
  <cols>
    <col width="5.5703125" customWidth="1" style="184" min="1" max="1"/>
    <col width="9.140625" customWidth="1" style="184" min="2" max="2"/>
    <col width="35.28515625" customWidth="1" style="184" min="3" max="3"/>
    <col width="13.85546875" customWidth="1" style="184" min="4" max="4"/>
    <col width="24.85546875" customWidth="1" style="184" min="5" max="5"/>
    <col width="12.7109375" customWidth="1" style="184" min="6" max="6"/>
    <col width="14.85546875" customWidth="1" style="184" min="7" max="7"/>
    <col width="16.7109375" customWidth="1" style="184" min="8" max="8"/>
    <col width="13" customWidth="1" style="184" min="9" max="10"/>
    <col width="9.140625" customWidth="1" style="184" min="11" max="11"/>
    <col width="9.140625" customWidth="1" style="184" min="12" max="16384"/>
  </cols>
  <sheetData>
    <row r="1" ht="15.75" customHeight="1" s="184">
      <c r="A1" s="210" t="n"/>
      <c r="B1" s="210" t="n"/>
      <c r="C1" s="210" t="n"/>
      <c r="D1" s="210" t="n"/>
      <c r="E1" s="210" t="n"/>
      <c r="F1" s="210" t="n"/>
      <c r="G1" s="210" t="n"/>
      <c r="H1" s="210" t="n"/>
      <c r="I1" s="210" t="n"/>
      <c r="J1" s="210" t="n"/>
    </row>
    <row r="2" ht="15.75" customHeight="1" s="184">
      <c r="A2" s="210" t="n"/>
      <c r="B2" s="210" t="n"/>
      <c r="C2" s="210" t="n"/>
      <c r="D2" s="210" t="n"/>
      <c r="E2" s="210" t="n"/>
      <c r="F2" s="210" t="n"/>
      <c r="G2" s="210" t="n"/>
      <c r="H2" s="210" t="n"/>
      <c r="I2" s="210" t="n"/>
      <c r="J2" s="210" t="n"/>
    </row>
    <row r="3" ht="15.75" customHeight="1" s="184">
      <c r="A3" s="210" t="n"/>
      <c r="B3" s="227" t="inlineStr">
        <is>
          <t>Приложение № 2</t>
        </is>
      </c>
    </row>
    <row r="4" ht="15.75" customHeight="1" s="184">
      <c r="A4" s="210" t="n"/>
      <c r="B4" s="230" t="inlineStr">
        <is>
          <t>Расчет стоимости основных видов работ для выбора объекта-представителя</t>
        </is>
      </c>
    </row>
    <row r="5" ht="15.75" customHeight="1" s="184">
      <c r="A5" s="210" t="n"/>
      <c r="B5" s="211" t="n"/>
      <c r="C5" s="211" t="n"/>
      <c r="D5" s="211" t="n"/>
      <c r="E5" s="211" t="n"/>
      <c r="F5" s="211" t="n"/>
      <c r="G5" s="211" t="n"/>
      <c r="H5" s="211" t="n"/>
      <c r="I5" s="211" t="n"/>
      <c r="J5" s="211" t="n"/>
    </row>
    <row r="6" ht="43.5" customHeight="1" s="184">
      <c r="A6" s="210" t="n"/>
      <c r="B6" s="228">
        <f>'[1]Прил.1 Сравнит табл'!B7</f>
        <v/>
      </c>
    </row>
    <row r="7" ht="15.75" customHeight="1" s="184">
      <c r="A7" s="210" t="n"/>
      <c r="B7" s="229">
        <f>'[1]Прил.1 Сравнит табл'!B9</f>
        <v/>
      </c>
    </row>
    <row r="8" ht="15.75" customHeight="1" s="184">
      <c r="A8" s="210" t="n"/>
      <c r="B8" s="229" t="n"/>
      <c r="C8" s="210" t="n"/>
      <c r="D8" s="210" t="n"/>
      <c r="E8" s="210" t="n"/>
      <c r="F8" s="210" t="n"/>
      <c r="G8" s="210" t="n"/>
      <c r="H8" s="210" t="n"/>
      <c r="I8" s="210" t="n"/>
      <c r="J8" s="210" t="n"/>
    </row>
    <row r="9" ht="15.75" customHeight="1" s="184">
      <c r="A9" s="210" t="n"/>
      <c r="B9" s="231" t="inlineStr">
        <is>
          <t>№ п/п</t>
        </is>
      </c>
      <c r="C9" s="23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1" t="inlineStr">
        <is>
          <t>Объект-представитель 1</t>
        </is>
      </c>
      <c r="E9" s="266" t="n"/>
      <c r="F9" s="266" t="n"/>
      <c r="G9" s="266" t="n"/>
      <c r="H9" s="266" t="n"/>
      <c r="I9" s="266" t="n"/>
      <c r="J9" s="267" t="n"/>
    </row>
    <row r="10" ht="15.75" customHeight="1" s="184">
      <c r="A10" s="210" t="n"/>
      <c r="B10" s="268" t="n"/>
      <c r="C10" s="268" t="n"/>
      <c r="D10" s="231" t="inlineStr">
        <is>
          <t>Номер сметы</t>
        </is>
      </c>
      <c r="E10" s="231" t="inlineStr">
        <is>
          <t>Наименование сметы</t>
        </is>
      </c>
      <c r="F10" s="231" t="inlineStr">
        <is>
          <t>Сметная стоимость в уровне цен 4 кв. 2016г., тыс. руб.</t>
        </is>
      </c>
      <c r="G10" s="266" t="n"/>
      <c r="H10" s="266" t="n"/>
      <c r="I10" s="266" t="n"/>
      <c r="J10" s="267" t="n"/>
    </row>
    <row r="11" ht="69.75" customHeight="1" s="184">
      <c r="A11" s="210" t="n"/>
      <c r="B11" s="269" t="n"/>
      <c r="C11" s="269" t="n"/>
      <c r="D11" s="269" t="n"/>
      <c r="E11" s="269" t="n"/>
      <c r="F11" s="231" t="inlineStr">
        <is>
          <t>Строительные работы</t>
        </is>
      </c>
      <c r="G11" s="231" t="inlineStr">
        <is>
          <t>Монтажные работы</t>
        </is>
      </c>
      <c r="H11" s="231" t="inlineStr">
        <is>
          <t>Оборудование</t>
        </is>
      </c>
      <c r="I11" s="231" t="inlineStr">
        <is>
          <t>Прочее</t>
        </is>
      </c>
      <c r="J11" s="231" t="inlineStr">
        <is>
          <t>Всего</t>
        </is>
      </c>
    </row>
    <row r="12" ht="15.75" customHeight="1" s="184">
      <c r="A12" s="210" t="n"/>
      <c r="B12" s="214" t="n">
        <v>1</v>
      </c>
      <c r="C12" s="215" t="inlineStr">
        <is>
          <t>Шкаф РЗА плавки гололеда переменным током</t>
        </is>
      </c>
      <c r="D12" s="216" t="inlineStr">
        <is>
          <t xml:space="preserve">02-02-02 </t>
        </is>
      </c>
      <c r="E12" s="217" t="inlineStr">
        <is>
          <t>Электротехнические устройства ОРУ 500 кВ</t>
        </is>
      </c>
      <c r="F12" s="218" t="n"/>
      <c r="G12" s="208" t="n">
        <v>170.1649147</v>
      </c>
      <c r="H12" s="208" t="n">
        <v>1298.665506</v>
      </c>
      <c r="I12" s="218" t="n"/>
      <c r="J12" s="219">
        <f>SUM(F12:I12)</f>
        <v/>
      </c>
    </row>
    <row r="13" ht="15.75" customHeight="1" s="184">
      <c r="A13" s="210" t="n"/>
      <c r="B13" s="226" t="inlineStr">
        <is>
          <t>Всего по объекту:</t>
        </is>
      </c>
      <c r="C13" s="270" t="n"/>
      <c r="D13" s="270" t="n"/>
      <c r="E13" s="271" t="n"/>
      <c r="F13" s="220" t="n"/>
      <c r="G13" s="220">
        <f>SUM(G12)</f>
        <v/>
      </c>
      <c r="H13" s="220">
        <f>SUM(H12)</f>
        <v/>
      </c>
      <c r="I13" s="220" t="n"/>
      <c r="J13" s="221">
        <f>SUM(J12)</f>
        <v/>
      </c>
    </row>
    <row r="14" ht="15.75" customHeight="1" s="184">
      <c r="A14" s="210" t="n"/>
      <c r="B14" s="226" t="inlineStr">
        <is>
          <t>Всего по объекту в сопоставимом уровне цен 4 кв. 2016 г. :</t>
        </is>
      </c>
      <c r="C14" s="270" t="n"/>
      <c r="D14" s="270" t="n"/>
      <c r="E14" s="271" t="n"/>
      <c r="F14" s="220" t="n"/>
      <c r="G14" s="220">
        <f>G13</f>
        <v/>
      </c>
      <c r="H14" s="220">
        <f>H13</f>
        <v/>
      </c>
      <c r="I14" s="220" t="n"/>
      <c r="J14" s="221">
        <f>J13</f>
        <v/>
      </c>
    </row>
    <row r="15" ht="15" customHeight="1" s="184">
      <c r="A15" s="210" t="n"/>
      <c r="B15" s="229" t="n"/>
      <c r="C15" s="210" t="n"/>
      <c r="D15" s="210" t="n"/>
      <c r="E15" s="210" t="n"/>
      <c r="F15" s="210" t="n"/>
      <c r="G15" s="210" t="n"/>
      <c r="H15" s="210" t="n"/>
      <c r="I15" s="210" t="n"/>
      <c r="J15" s="210" t="n"/>
    </row>
    <row r="16" ht="15.75" customHeight="1" s="184">
      <c r="A16" s="210" t="n"/>
      <c r="B16" s="210" t="n"/>
      <c r="C16" s="210" t="n"/>
      <c r="D16" s="210" t="n"/>
      <c r="E16" s="210" t="n"/>
      <c r="F16" s="210" t="n"/>
      <c r="G16" s="210" t="n"/>
      <c r="H16" s="210" t="n"/>
      <c r="I16" s="210" t="n"/>
      <c r="J16" s="210" t="n"/>
    </row>
    <row r="17" ht="15.75" customHeight="1" s="184">
      <c r="A17" s="210" t="n"/>
      <c r="B17" s="210" t="n"/>
      <c r="C17" s="210" t="n"/>
      <c r="D17" s="210" t="n"/>
      <c r="E17" s="210" t="n"/>
      <c r="F17" s="210" t="n"/>
      <c r="G17" s="210" t="n"/>
      <c r="H17" s="210" t="n"/>
      <c r="I17" s="210" t="n"/>
      <c r="J17" s="210" t="n"/>
    </row>
    <row r="18" ht="15.75" customHeight="1" s="184">
      <c r="A18" s="210" t="n"/>
      <c r="B18" s="210" t="n"/>
      <c r="C18" s="210" t="n"/>
      <c r="D18" s="210" t="n"/>
      <c r="E18" s="210" t="n"/>
      <c r="F18" s="210" t="n"/>
      <c r="G18" s="210" t="n"/>
      <c r="H18" s="210" t="n"/>
      <c r="I18" s="210" t="n"/>
      <c r="J18" s="210" t="n"/>
    </row>
    <row r="19" ht="15.75" customHeight="1" s="184">
      <c r="A19" s="210" t="n"/>
      <c r="B19" s="210" t="inlineStr">
        <is>
          <t>Составил ______________________        Е.А. Князева</t>
        </is>
      </c>
      <c r="C19" s="210" t="n"/>
      <c r="D19" s="210" t="n"/>
      <c r="E19" s="210" t="n"/>
      <c r="F19" s="210" t="n"/>
      <c r="G19" s="210" t="n"/>
      <c r="H19" s="210" t="n"/>
      <c r="I19" s="210" t="n"/>
      <c r="J19" s="210" t="n"/>
    </row>
    <row r="20" ht="15.75" customHeight="1" s="184">
      <c r="A20" s="210" t="n"/>
      <c r="B20" s="222" t="inlineStr">
        <is>
          <t xml:space="preserve">                         (подпись, инициалы, фамилия)</t>
        </is>
      </c>
      <c r="C20" s="210" t="n"/>
      <c r="D20" s="210" t="n"/>
      <c r="E20" s="210" t="n"/>
      <c r="F20" s="210" t="n"/>
      <c r="G20" s="210" t="n"/>
      <c r="H20" s="210" t="n"/>
      <c r="I20" s="210" t="n"/>
      <c r="J20" s="210" t="n"/>
    </row>
    <row r="21" ht="15.75" customHeight="1" s="184">
      <c r="A21" s="210" t="n"/>
      <c r="B21" s="210" t="n"/>
      <c r="C21" s="210" t="n"/>
      <c r="D21" s="210" t="n"/>
      <c r="E21" s="210" t="n"/>
      <c r="F21" s="210" t="n"/>
      <c r="G21" s="210" t="n"/>
      <c r="H21" s="210" t="n"/>
      <c r="I21" s="210" t="n"/>
      <c r="J21" s="210" t="n"/>
    </row>
    <row r="22" ht="22.5" customHeight="1" s="184">
      <c r="A22" s="210" t="n"/>
      <c r="B22" s="210" t="inlineStr">
        <is>
          <t>Проверил ______________________        А.В. Костянецкая</t>
        </is>
      </c>
      <c r="C22" s="210" t="n"/>
      <c r="D22" s="210" t="n"/>
      <c r="E22" s="210" t="n"/>
      <c r="F22" s="210" t="n"/>
      <c r="G22" s="210" t="n"/>
      <c r="H22" s="210" t="n"/>
      <c r="I22" s="210" t="n"/>
      <c r="J22" s="210" t="n"/>
    </row>
    <row r="23" ht="15.75" customHeight="1" s="184">
      <c r="A23" s="210" t="n"/>
      <c r="B23" s="222" t="inlineStr">
        <is>
          <t xml:space="preserve">                        (подпись, инициалы, фамилия)</t>
        </is>
      </c>
      <c r="C23" s="210" t="n"/>
      <c r="D23" s="210" t="n"/>
      <c r="E23" s="210" t="n"/>
      <c r="F23" s="210" t="n"/>
      <c r="G23" s="210" t="n"/>
      <c r="H23" s="210" t="n"/>
      <c r="I23" s="210" t="n"/>
      <c r="J23" s="210" t="n"/>
    </row>
    <row r="24" ht="15.75" customHeight="1" s="184"/>
    <row r="25" ht="22.5" customHeight="1" s="184"/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6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59"/>
  <sheetViews>
    <sheetView view="pageBreakPreview" topLeftCell="A44" zoomScale="85" workbookViewId="0">
      <selection activeCell="F58" sqref="F58"/>
    </sheetView>
  </sheetViews>
  <sheetFormatPr baseColWidth="8" defaultRowHeight="15.75"/>
  <cols>
    <col width="9.140625" customWidth="1" style="186" min="1" max="1"/>
    <col width="12.5703125" customWidth="1" style="186" min="2" max="2"/>
    <col width="22.42578125" customWidth="1" style="186" min="3" max="3"/>
    <col width="49.7109375" customWidth="1" style="186" min="4" max="4"/>
    <col width="10.140625" customWidth="1" style="186" min="5" max="5"/>
    <col width="20.7109375" customWidth="1" style="186" min="6" max="6"/>
    <col width="16.140625" customWidth="1" style="186" min="7" max="7"/>
    <col width="16.7109375" customWidth="1" style="186" min="8" max="8"/>
    <col width="9.140625" customWidth="1" style="186" min="9" max="9"/>
    <col width="19.42578125" customWidth="1" style="186" min="10" max="10"/>
    <col width="13" customWidth="1" style="184" min="11" max="11"/>
    <col width="9.140625" customWidth="1" style="184" min="12" max="13"/>
  </cols>
  <sheetData>
    <row r="1">
      <c r="K1" s="186" t="n"/>
    </row>
    <row r="2">
      <c r="A2" s="224" t="inlineStr">
        <is>
          <t xml:space="preserve">Приложение № 3 </t>
        </is>
      </c>
      <c r="K2" s="186" t="n"/>
    </row>
    <row r="3">
      <c r="A3" s="225" t="inlineStr">
        <is>
          <t>Объектная ресурсная ведомость</t>
        </is>
      </c>
      <c r="K3" s="186" t="n"/>
    </row>
    <row r="4" ht="18.75" customHeight="1" s="184">
      <c r="A4" s="223" t="n"/>
      <c r="K4" s="186" t="n"/>
    </row>
    <row r="5" ht="36.75" customHeight="1" s="184">
      <c r="A5" s="235">
        <f>'Прил.1 Сравнит табл'!B7</f>
        <v/>
      </c>
      <c r="K5" s="186" t="n"/>
    </row>
    <row r="6">
      <c r="A6" s="138" t="n"/>
      <c r="B6" s="138" t="n"/>
      <c r="C6" s="138" t="n"/>
      <c r="D6" s="138" t="n"/>
      <c r="E6" s="138" t="n"/>
      <c r="F6" s="138" t="n"/>
      <c r="G6" s="138" t="n"/>
      <c r="H6" s="138" t="n"/>
      <c r="K6" s="186" t="n"/>
    </row>
    <row r="7" ht="33" customHeight="1" s="184">
      <c r="A7" s="236" t="inlineStr">
        <is>
          <t>п/п</t>
        </is>
      </c>
      <c r="B7" s="236" t="inlineStr">
        <is>
          <t>№ЛСР</t>
        </is>
      </c>
      <c r="C7" s="236" t="inlineStr">
        <is>
          <t>Код ресурса</t>
        </is>
      </c>
      <c r="D7" s="236" t="inlineStr">
        <is>
          <t>Наименование ресурса</t>
        </is>
      </c>
      <c r="E7" s="236" t="inlineStr">
        <is>
          <t>Ед. изм.</t>
        </is>
      </c>
      <c r="F7" s="236" t="inlineStr">
        <is>
          <t>Кол-во единиц по данным объекта-представителя</t>
        </is>
      </c>
      <c r="G7" s="236" t="inlineStr">
        <is>
          <t>Сметная стоимость в ценах на 01.01.2000 (руб.)</t>
        </is>
      </c>
      <c r="H7" s="267" t="n"/>
      <c r="K7" s="186" t="n"/>
    </row>
    <row r="8" ht="33" customHeight="1" s="184">
      <c r="A8" s="269" t="n"/>
      <c r="B8" s="269" t="n"/>
      <c r="C8" s="269" t="n"/>
      <c r="D8" s="269" t="n"/>
      <c r="E8" s="269" t="n"/>
      <c r="F8" s="269" t="n"/>
      <c r="G8" s="236" t="inlineStr">
        <is>
          <t>на ед.изм.</t>
        </is>
      </c>
      <c r="H8" s="236" t="inlineStr">
        <is>
          <t>общая</t>
        </is>
      </c>
      <c r="K8" s="186" t="n"/>
    </row>
    <row r="9">
      <c r="A9" s="203" t="n">
        <v>1</v>
      </c>
      <c r="B9" s="203" t="n"/>
      <c r="C9" s="203" t="n">
        <v>2</v>
      </c>
      <c r="D9" s="203" t="inlineStr">
        <is>
          <t>З</t>
        </is>
      </c>
      <c r="E9" s="203" t="n">
        <v>4</v>
      </c>
      <c r="F9" s="203" t="n">
        <v>5</v>
      </c>
      <c r="G9" s="203" t="n">
        <v>6</v>
      </c>
      <c r="H9" s="203" t="n">
        <v>7</v>
      </c>
      <c r="I9" s="272" t="n"/>
      <c r="K9" s="186" t="n"/>
    </row>
    <row r="10">
      <c r="A10" s="232" t="inlineStr">
        <is>
          <t>Затраты труда рабочих</t>
        </is>
      </c>
      <c r="B10" s="266" t="n"/>
      <c r="C10" s="266" t="n"/>
      <c r="D10" s="266" t="n"/>
      <c r="E10" s="267" t="n"/>
      <c r="F10" s="116" t="n">
        <v>102.8578</v>
      </c>
      <c r="G10" s="116" t="n"/>
      <c r="H10" s="116">
        <f>SUM(H11:H14)</f>
        <v/>
      </c>
      <c r="I10" s="175" t="n"/>
      <c r="J10" s="175" t="n"/>
      <c r="K10" s="175" t="n"/>
    </row>
    <row r="11">
      <c r="A11" s="233" t="n">
        <v>1</v>
      </c>
      <c r="B11" s="140" t="n"/>
      <c r="C11" s="119" t="inlineStr">
        <is>
          <t>1-3-8</t>
        </is>
      </c>
      <c r="D11" s="234" t="inlineStr">
        <is>
          <t>Затраты труда рабочих (ср 3,8)</t>
        </is>
      </c>
      <c r="E11" s="233" t="inlineStr">
        <is>
          <t>чел.-ч</t>
        </is>
      </c>
      <c r="F11" s="233" t="n">
        <v>76.678</v>
      </c>
      <c r="G11" s="121" t="n">
        <v>9.4</v>
      </c>
      <c r="H11" s="121">
        <f>ROUND(F11*G11,2)</f>
        <v/>
      </c>
      <c r="K11" s="186" t="n"/>
    </row>
    <row r="12" ht="15" customHeight="1" s="184">
      <c r="A12" s="233" t="n">
        <v>2</v>
      </c>
      <c r="B12" s="140" t="n"/>
      <c r="C12" s="119" t="inlineStr">
        <is>
          <t>1-3-6</t>
        </is>
      </c>
      <c r="D12" s="234" t="inlineStr">
        <is>
          <t>Затраты труда рабочих (ср 3,6)</t>
        </is>
      </c>
      <c r="E12" s="233" t="inlineStr">
        <is>
          <t>чел.-ч</t>
        </is>
      </c>
      <c r="F12" s="233" t="n">
        <v>15.2</v>
      </c>
      <c r="G12" s="121" t="n">
        <v>9.18</v>
      </c>
      <c r="H12" s="121">
        <f>ROUND(F12*G12,2)</f>
        <v/>
      </c>
      <c r="K12" s="186" t="n"/>
    </row>
    <row r="13">
      <c r="A13" s="233" t="n">
        <v>3</v>
      </c>
      <c r="B13" s="140" t="n"/>
      <c r="C13" s="119" t="inlineStr">
        <is>
          <t>1-4-1</t>
        </is>
      </c>
      <c r="D13" s="234" t="inlineStr">
        <is>
          <t>Затраты труда рабочих (ср 4,1)</t>
        </is>
      </c>
      <c r="E13" s="233" t="inlineStr">
        <is>
          <t>чел.-ч</t>
        </is>
      </c>
      <c r="F13" s="233" t="n">
        <v>6.8598</v>
      </c>
      <c r="G13" s="121" t="n">
        <v>9.76</v>
      </c>
      <c r="H13" s="121">
        <f>ROUND(F13*G13,2)</f>
        <v/>
      </c>
      <c r="K13" s="186" t="n"/>
    </row>
    <row r="14">
      <c r="A14" s="233" t="n">
        <v>4</v>
      </c>
      <c r="B14" s="140" t="n"/>
      <c r="C14" s="119" t="inlineStr">
        <is>
          <t>1-4-2</t>
        </is>
      </c>
      <c r="D14" s="234" t="inlineStr">
        <is>
          <t>Затраты труда рабочих (ср 4,2)</t>
        </is>
      </c>
      <c r="E14" s="233" t="inlineStr">
        <is>
          <t>чел.-ч</t>
        </is>
      </c>
      <c r="F14" s="233" t="n">
        <v>4.12</v>
      </c>
      <c r="G14" s="121" t="n">
        <v>9.92</v>
      </c>
      <c r="H14" s="121">
        <f>ROUND(F14*G14,2)</f>
        <v/>
      </c>
      <c r="K14" s="186" t="n"/>
    </row>
    <row r="15">
      <c r="A15" s="232" t="inlineStr">
        <is>
          <t>Затраты труда машинистов</t>
        </is>
      </c>
      <c r="B15" s="266" t="n"/>
      <c r="C15" s="266" t="n"/>
      <c r="D15" s="266" t="n"/>
      <c r="E15" s="267" t="n"/>
      <c r="F15" s="232" t="n">
        <v>4</v>
      </c>
      <c r="G15" s="116" t="n"/>
      <c r="H15" s="116">
        <f>H16</f>
        <v/>
      </c>
      <c r="K15" s="186" t="n"/>
    </row>
    <row r="16">
      <c r="A16" s="233" t="n">
        <v>5</v>
      </c>
      <c r="B16" s="187" t="n"/>
      <c r="C16" s="130" t="n">
        <v>2</v>
      </c>
      <c r="D16" s="234" t="inlineStr">
        <is>
          <t>Затраты труда машинистов</t>
        </is>
      </c>
      <c r="E16" s="233" t="inlineStr">
        <is>
          <t>чел.-ч</t>
        </is>
      </c>
      <c r="F16" s="233" t="n">
        <v>4</v>
      </c>
      <c r="G16" s="121" t="n"/>
      <c r="H16" s="121" t="n">
        <v>50.18</v>
      </c>
      <c r="K16" s="186" t="n"/>
    </row>
    <row r="17">
      <c r="A17" s="232" t="inlineStr">
        <is>
          <t>Машины и механизмы</t>
        </is>
      </c>
      <c r="B17" s="266" t="n"/>
      <c r="C17" s="266" t="n"/>
      <c r="D17" s="266" t="n"/>
      <c r="E17" s="267" t="n"/>
      <c r="F17" s="232" t="n"/>
      <c r="G17" s="116" t="n"/>
      <c r="H17" s="116">
        <f>SUM(H18:H22)</f>
        <v/>
      </c>
      <c r="I17" s="175" t="n"/>
      <c r="J17" s="175" t="n"/>
      <c r="K17" s="175" t="n"/>
    </row>
    <row r="18" ht="31.5" customHeight="1" s="184">
      <c r="A18" s="233" t="n">
        <v>6</v>
      </c>
      <c r="B18" s="187" t="n"/>
      <c r="C18" s="234" t="inlineStr">
        <is>
          <t>91.05.05-015</t>
        </is>
      </c>
      <c r="D18" s="234" t="inlineStr">
        <is>
          <t>Краны на автомобильном ходу, грузоподъемность 16 т</t>
        </is>
      </c>
      <c r="E18" s="233" t="inlineStr">
        <is>
          <t>маш.час</t>
        </is>
      </c>
      <c r="F18" s="233" t="n">
        <v>2</v>
      </c>
      <c r="G18" s="121" t="n">
        <v>115.4</v>
      </c>
      <c r="H18" s="121">
        <f>ROUND(F18*G18,2)</f>
        <v/>
      </c>
      <c r="K18" s="186" t="n"/>
    </row>
    <row r="19">
      <c r="A19" s="233" t="n">
        <v>7</v>
      </c>
      <c r="B19" s="187" t="n"/>
      <c r="C19" s="234" t="inlineStr">
        <is>
          <t>91.14.02-001</t>
        </is>
      </c>
      <c r="D19" s="234" t="inlineStr">
        <is>
          <t>Автомобили бортовые, грузоподъемность до 5 т</t>
        </is>
      </c>
      <c r="E19" s="233" t="inlineStr">
        <is>
          <t>маш.час</t>
        </is>
      </c>
      <c r="F19" s="233" t="n">
        <v>2</v>
      </c>
      <c r="G19" s="121" t="n">
        <v>65.70999999999999</v>
      </c>
      <c r="H19" s="121">
        <f>ROUND(F19*G19,2)</f>
        <v/>
      </c>
      <c r="I19" s="175" t="n"/>
      <c r="J19" s="175" t="n"/>
      <c r="K19" s="175" t="n"/>
    </row>
    <row r="20" ht="31.5" customHeight="1" s="184">
      <c r="A20" s="233" t="n">
        <v>8</v>
      </c>
      <c r="B20" s="187" t="n"/>
      <c r="C20" s="234" t="inlineStr">
        <is>
          <t>91.06.03-061</t>
        </is>
      </c>
      <c r="D20" s="234" t="inlineStr">
        <is>
          <t>Лебедки электрические тяговым усилием до 12,26 кН (1,25 т)</t>
        </is>
      </c>
      <c r="E20" s="233" t="inlineStr">
        <is>
          <t>маш.час</t>
        </is>
      </c>
      <c r="F20" s="233" t="n">
        <v>15.442</v>
      </c>
      <c r="G20" s="121" t="n">
        <v>3.28</v>
      </c>
      <c r="H20" s="121">
        <f>ROUND(F20*G20,2)</f>
        <v/>
      </c>
      <c r="K20" s="186" t="n"/>
    </row>
    <row r="21" ht="31.5" customHeight="1" s="184">
      <c r="A21" s="233" t="n">
        <v>9</v>
      </c>
      <c r="B21" s="187" t="n"/>
      <c r="C21" s="234" t="inlineStr">
        <is>
          <t>91.06.01-003</t>
        </is>
      </c>
      <c r="D21" s="234" t="inlineStr">
        <is>
          <t>Домкраты гидравлические, грузоподъемность 63-100 т</t>
        </is>
      </c>
      <c r="E21" s="233" t="inlineStr">
        <is>
          <t>маш.час</t>
        </is>
      </c>
      <c r="F21" s="233" t="n">
        <v>15.442</v>
      </c>
      <c r="G21" s="121" t="n">
        <v>0.9</v>
      </c>
      <c r="H21" s="121">
        <f>ROUND(F21*G21,2)</f>
        <v/>
      </c>
      <c r="K21" s="186" t="n"/>
    </row>
    <row r="22" ht="31.5" customHeight="1" s="184">
      <c r="A22" s="233" t="n">
        <v>10</v>
      </c>
      <c r="B22" s="187" t="n"/>
      <c r="C22" s="234" t="inlineStr">
        <is>
          <t>91.17.04-233</t>
        </is>
      </c>
      <c r="D22" s="234" t="inlineStr">
        <is>
          <t>Установки для сварки ручной дуговой (постоянного тока)</t>
        </is>
      </c>
      <c r="E22" s="233" t="inlineStr">
        <is>
          <t>маш.час</t>
        </is>
      </c>
      <c r="F22" s="233" t="n">
        <v>0.9</v>
      </c>
      <c r="G22" s="121" t="n">
        <v>8.1</v>
      </c>
      <c r="H22" s="121">
        <f>ROUND(F22*G22,2)</f>
        <v/>
      </c>
      <c r="K22" s="186" t="n"/>
    </row>
    <row r="23">
      <c r="A23" s="232" t="inlineStr">
        <is>
          <t>Оборудование</t>
        </is>
      </c>
      <c r="B23" s="266" t="n"/>
      <c r="C23" s="266" t="n"/>
      <c r="D23" s="266" t="n"/>
      <c r="E23" s="267" t="n"/>
      <c r="F23" s="232" t="n"/>
      <c r="G23" s="116" t="n"/>
      <c r="H23" s="116">
        <f>SUM(H24:H24)</f>
        <v/>
      </c>
      <c r="J23" s="132" t="n"/>
    </row>
    <row r="24" ht="34.5" customHeight="1" s="184">
      <c r="A24" s="233" t="n">
        <v>11</v>
      </c>
      <c r="B24" s="187" t="n"/>
      <c r="C24" s="234" t="inlineStr">
        <is>
          <t>Прайс из СД ОП</t>
        </is>
      </c>
      <c r="D24" s="234" t="inlineStr">
        <is>
          <t>Шкаф автоматики и управления ДГР 6-35кВ для 1 ДГР</t>
        </is>
      </c>
      <c r="E24" s="233" t="inlineStr">
        <is>
          <t>шт</t>
        </is>
      </c>
      <c r="F24" s="233" t="n">
        <v>1</v>
      </c>
      <c r="G24" s="121" t="n">
        <v>337140.58</v>
      </c>
      <c r="H24" s="121">
        <f>ROUND(F24*G24,2)</f>
        <v/>
      </c>
    </row>
    <row r="25">
      <c r="A25" s="232" t="inlineStr">
        <is>
          <t>Материалы</t>
        </is>
      </c>
      <c r="B25" s="266" t="n"/>
      <c r="C25" s="266" t="n"/>
      <c r="D25" s="266" t="n"/>
      <c r="E25" s="267" t="n"/>
      <c r="F25" s="232" t="n"/>
      <c r="G25" s="116" t="n"/>
      <c r="H25" s="116">
        <f>SUM(H26:H52)</f>
        <v/>
      </c>
      <c r="J25" s="132" t="n"/>
    </row>
    <row r="26">
      <c r="A26" s="233" t="n">
        <v>12</v>
      </c>
      <c r="B26" s="142" t="n"/>
      <c r="C26" s="234" t="inlineStr">
        <is>
          <t>21.1.08.03-0581</t>
        </is>
      </c>
      <c r="D26" s="234" t="inlineStr">
        <is>
          <t>Кабель контрольный КВВГЭнг(A)-LS 7х1,5</t>
        </is>
      </c>
      <c r="E26" s="233" t="inlineStr">
        <is>
          <t>1000 м</t>
        </is>
      </c>
      <c r="F26" s="233" t="n">
        <v>0.51</v>
      </c>
      <c r="G26" s="121" t="n">
        <v>37014.5</v>
      </c>
      <c r="H26" s="121">
        <f>ROUND(F26*G26,2)</f>
        <v/>
      </c>
    </row>
    <row r="27">
      <c r="A27" s="233" t="n">
        <v>13</v>
      </c>
      <c r="B27" s="142" t="n"/>
      <c r="C27" s="234" t="inlineStr">
        <is>
          <t>21.1.08.03-0579</t>
        </is>
      </c>
      <c r="D27" s="234" t="inlineStr">
        <is>
          <t>Кабель контрольный КВВГЭнг(A)-LS 5х2,5</t>
        </is>
      </c>
      <c r="E27" s="233" t="inlineStr">
        <is>
          <t>1000 м</t>
        </is>
      </c>
      <c r="F27" s="233" t="n">
        <v>0.204</v>
      </c>
      <c r="G27" s="121" t="n">
        <v>38348.22</v>
      </c>
      <c r="H27" s="121">
        <f>ROUND(F27*G27,2)</f>
        <v/>
      </c>
    </row>
    <row r="28">
      <c r="A28" s="233" t="n">
        <v>14</v>
      </c>
      <c r="B28" s="142" t="n"/>
      <c r="C28" s="234" t="inlineStr">
        <is>
          <t>21.1.08.03-0574</t>
        </is>
      </c>
      <c r="D28" s="234" t="inlineStr">
        <is>
          <t>Кабель контрольный КВВГЭнг(A)-LS 4х2,5</t>
        </is>
      </c>
      <c r="E28" s="233" t="inlineStr">
        <is>
          <t>1000 м</t>
        </is>
      </c>
      <c r="F28" s="233" t="n">
        <v>0.102</v>
      </c>
      <c r="G28" s="121" t="n">
        <v>32828.83</v>
      </c>
      <c r="H28" s="121">
        <f>ROUND(F28*G28,2)</f>
        <v/>
      </c>
    </row>
    <row r="29" ht="47.25" customHeight="1" s="184">
      <c r="A29" s="233" t="n">
        <v>15</v>
      </c>
      <c r="B29" s="142" t="n"/>
      <c r="C29" s="234" t="inlineStr">
        <is>
          <t>24.3.01.02-0002</t>
        </is>
      </c>
      <c r="D29" s="234" t="inlineStr">
        <is>
          <t>Трубы гибкие гофрированные из самозатухающего ПВХ легкие с протяжкой, диаметр 25 мм</t>
        </is>
      </c>
      <c r="E29" s="233" t="inlineStr">
        <is>
          <t>м</t>
        </is>
      </c>
      <c r="F29" s="233" t="n">
        <v>102</v>
      </c>
      <c r="G29" s="121" t="n">
        <v>3.43</v>
      </c>
      <c r="H29" s="121">
        <f>ROUND(F29*G29,2)</f>
        <v/>
      </c>
    </row>
    <row r="30" ht="15" customHeight="1" s="184">
      <c r="A30" s="233" t="n">
        <v>16</v>
      </c>
      <c r="B30" s="142" t="n"/>
      <c r="C30" s="234" t="inlineStr">
        <is>
          <t>07.2.07.04-0007</t>
        </is>
      </c>
      <c r="D30" s="234" t="inlineStr">
        <is>
          <t>Конструкции стальные индивидуальные решетчатые сварные, масса до 0,1 т</t>
        </is>
      </c>
      <c r="E30" s="233" t="inlineStr">
        <is>
          <t>т</t>
        </is>
      </c>
      <c r="F30" s="233" t="n">
        <v>0.03</v>
      </c>
      <c r="G30" s="121" t="n">
        <v>11500</v>
      </c>
      <c r="H30" s="121">
        <f>ROUND(F30*G30,2)</f>
        <v/>
      </c>
    </row>
    <row r="31" ht="31.5" customHeight="1" s="184">
      <c r="A31" s="233" t="n">
        <v>17</v>
      </c>
      <c r="B31" s="142" t="n"/>
      <c r="C31" s="234" t="inlineStr">
        <is>
          <t>21.1.04.01-1006</t>
        </is>
      </c>
      <c r="D31" s="234" t="inlineStr">
        <is>
          <t>Кабель витая пара, категория 5e, ЭКС-ГВПВЭ 4х2х0,51</t>
        </is>
      </c>
      <c r="E31" s="233" t="inlineStr">
        <is>
          <t>1000 м</t>
        </is>
      </c>
      <c r="F31" s="233" t="n">
        <v>0.1</v>
      </c>
      <c r="G31" s="121" t="n">
        <v>2719.53</v>
      </c>
      <c r="H31" s="121">
        <f>ROUND(F31*G31,2)</f>
        <v/>
      </c>
    </row>
    <row r="32" ht="31.5" customHeight="1" s="184">
      <c r="A32" s="233" t="n">
        <v>18</v>
      </c>
      <c r="B32" s="142" t="n"/>
      <c r="C32" s="234" t="inlineStr">
        <is>
          <t>10.3.02.03-0011</t>
        </is>
      </c>
      <c r="D32" s="234" t="inlineStr">
        <is>
          <t>Припои оловянно-свинцовые бессурьмянистые, марка ПОС30</t>
        </is>
      </c>
      <c r="E32" s="233" t="inlineStr">
        <is>
          <t>т</t>
        </is>
      </c>
      <c r="F32" s="233" t="n">
        <v>0.003604</v>
      </c>
      <c r="G32" s="121" t="n">
        <v>68050</v>
      </c>
      <c r="H32" s="121">
        <f>ROUND(F32*G32,2)</f>
        <v/>
      </c>
    </row>
    <row r="33" ht="15" customHeight="1" s="184">
      <c r="A33" s="233" t="n">
        <v>19</v>
      </c>
      <c r="B33" s="142" t="n"/>
      <c r="C33" s="234" t="inlineStr">
        <is>
          <t>20.1.02.06-0001</t>
        </is>
      </c>
      <c r="D33" s="234" t="inlineStr">
        <is>
          <t>Жир паяльный</t>
        </is>
      </c>
      <c r="E33" s="233" t="inlineStr">
        <is>
          <t>кг</t>
        </is>
      </c>
      <c r="F33" s="233" t="n">
        <v>0.36</v>
      </c>
      <c r="G33" s="121" t="n">
        <v>100.8</v>
      </c>
      <c r="H33" s="121">
        <f>ROUND(F33*G33,2)</f>
        <v/>
      </c>
    </row>
    <row r="34" ht="15" customHeight="1" s="184">
      <c r="A34" s="233" t="n">
        <v>20</v>
      </c>
      <c r="B34" s="142" t="n"/>
      <c r="C34" s="234" t="inlineStr">
        <is>
          <t>14.4.03.03-0002</t>
        </is>
      </c>
      <c r="D34" s="234" t="inlineStr">
        <is>
          <t>Лак битумный БТ-123</t>
        </is>
      </c>
      <c r="E34" s="233" t="inlineStr">
        <is>
          <t>т</t>
        </is>
      </c>
      <c r="F34" s="233" t="n">
        <v>0.004044</v>
      </c>
      <c r="G34" s="121" t="n">
        <v>7826.9</v>
      </c>
      <c r="H34" s="121">
        <f>ROUND(F34*G34,2)</f>
        <v/>
      </c>
    </row>
    <row r="35">
      <c r="A35" s="233" t="n">
        <v>21</v>
      </c>
      <c r="B35" s="142" t="n"/>
      <c r="C35" s="234" t="inlineStr">
        <is>
          <t>01.7.06.07-0002</t>
        </is>
      </c>
      <c r="D35" s="234" t="inlineStr">
        <is>
          <t>Лента монтажная, тип ЛМ-5</t>
        </is>
      </c>
      <c r="E35" s="233" t="inlineStr">
        <is>
          <t>10 м</t>
        </is>
      </c>
      <c r="F35" s="233" t="n">
        <v>3.819</v>
      </c>
      <c r="G35" s="121" t="n">
        <v>6.9</v>
      </c>
      <c r="H35" s="121">
        <f>ROUND(F35*G35,2)</f>
        <v/>
      </c>
    </row>
    <row r="36">
      <c r="A36" s="233" t="n">
        <v>22</v>
      </c>
      <c r="B36" s="142" t="n"/>
      <c r="C36" s="234" t="inlineStr">
        <is>
          <t>25.2.01.01-0017</t>
        </is>
      </c>
      <c r="D36" s="234" t="inlineStr">
        <is>
          <t>Бирки маркировочные пластмассовые</t>
        </is>
      </c>
      <c r="E36" s="233" t="inlineStr">
        <is>
          <t>100 шт</t>
        </is>
      </c>
      <c r="F36" s="233" t="n">
        <v>0.74</v>
      </c>
      <c r="G36" s="121" t="n">
        <v>30.74</v>
      </c>
      <c r="H36" s="121">
        <f>ROUND(F36*G36,2)</f>
        <v/>
      </c>
    </row>
    <row r="37" ht="31.5" customHeight="1" s="184">
      <c r="A37" s="233" t="n">
        <v>23</v>
      </c>
      <c r="B37" s="142" t="n"/>
      <c r="C37" s="234" t="inlineStr">
        <is>
          <t>999-9950</t>
        </is>
      </c>
      <c r="D37" s="234" t="inlineStr">
        <is>
          <t>Вспомогательные ненормируемые ресурсы (2% от Оплаты труда рабочих)</t>
        </is>
      </c>
      <c r="E37" s="233" t="inlineStr">
        <is>
          <t>руб</t>
        </is>
      </c>
      <c r="F37" s="233" t="n">
        <v>19.3854</v>
      </c>
      <c r="G37" s="121" t="n">
        <v>1</v>
      </c>
      <c r="H37" s="121">
        <f>ROUND(F37*G37,2)</f>
        <v/>
      </c>
    </row>
    <row r="38" ht="47.25" customHeight="1" s="184">
      <c r="A38" s="233" t="n">
        <v>24</v>
      </c>
      <c r="B38" s="142" t="n"/>
      <c r="C38" s="234" t="inlineStr">
        <is>
          <t>01.7.06.05-0041</t>
        </is>
      </c>
      <c r="D38" s="234" t="inlineStr">
        <is>
          <t>Лента изоляционная прорезиненная односторонняя, ширина 20 мм, толщина 0,25-0,35 мм</t>
        </is>
      </c>
      <c r="E38" s="233" t="inlineStr">
        <is>
          <t>кг</t>
        </is>
      </c>
      <c r="F38" s="233" t="n">
        <v>0.5</v>
      </c>
      <c r="G38" s="121" t="n">
        <v>30.4</v>
      </c>
      <c r="H38" s="121">
        <f>ROUND(F38*G38,2)</f>
        <v/>
      </c>
    </row>
    <row r="39">
      <c r="A39" s="233" t="n">
        <v>25</v>
      </c>
      <c r="B39" s="142" t="n"/>
      <c r="C39" s="234" t="inlineStr">
        <is>
          <t>01.7.15.07-0152</t>
        </is>
      </c>
      <c r="D39" s="234" t="inlineStr">
        <is>
          <t>Дюбели с шурупом, размер 6х35 мм</t>
        </is>
      </c>
      <c r="E39" s="233" t="inlineStr">
        <is>
          <t>100 шт</t>
        </is>
      </c>
      <c r="F39" s="233" t="n">
        <v>1.75</v>
      </c>
      <c r="G39" s="121" t="n">
        <v>8</v>
      </c>
      <c r="H39" s="121">
        <f>ROUND(F39*G39,2)</f>
        <v/>
      </c>
    </row>
    <row r="40">
      <c r="A40" s="233" t="n">
        <v>26</v>
      </c>
      <c r="B40" s="142" t="n"/>
      <c r="C40" s="234" t="inlineStr">
        <is>
          <t>01.7.15.14-0165</t>
        </is>
      </c>
      <c r="D40" s="234" t="inlineStr">
        <is>
          <t>Шурупы с полукруглой головкой 4х40 мм</t>
        </is>
      </c>
      <c r="E40" s="233" t="inlineStr">
        <is>
          <t>т</t>
        </is>
      </c>
      <c r="F40" s="233" t="n">
        <v>0.000594</v>
      </c>
      <c r="G40" s="121" t="n">
        <v>12430</v>
      </c>
      <c r="H40" s="121">
        <f>ROUND(F40*G40,2)</f>
        <v/>
      </c>
      <c r="I40" s="175" t="n"/>
      <c r="J40" s="175" t="n"/>
    </row>
    <row r="41">
      <c r="A41" s="233" t="n">
        <v>27</v>
      </c>
      <c r="B41" s="142" t="n"/>
      <c r="C41" s="234" t="inlineStr">
        <is>
          <t>20.2.01.05-0005</t>
        </is>
      </c>
      <c r="D41" s="234" t="inlineStr">
        <is>
          <t>Гильзы кабельные медные ГМ 16</t>
        </is>
      </c>
      <c r="E41" s="233" t="inlineStr">
        <is>
          <t>100 шт</t>
        </is>
      </c>
      <c r="F41" s="233" t="n">
        <v>0.05</v>
      </c>
      <c r="G41" s="121" t="n">
        <v>143</v>
      </c>
      <c r="H41" s="121">
        <f>ROUND(F41*G41,2)</f>
        <v/>
      </c>
      <c r="I41" s="175" t="n"/>
      <c r="J41" s="175" t="n"/>
    </row>
    <row r="42" ht="31.5" customHeight="1" s="184">
      <c r="A42" s="233" t="n">
        <v>28</v>
      </c>
      <c r="B42" s="142" t="n"/>
      <c r="C42" s="234" t="inlineStr">
        <is>
          <t>10.3.02.03-0013</t>
        </is>
      </c>
      <c r="D42" s="234" t="inlineStr">
        <is>
          <t>Припои оловянно-свинцовые бессурьмянистые, марка ПОС61</t>
        </is>
      </c>
      <c r="E42" s="233" t="inlineStr">
        <is>
          <t>т</t>
        </is>
      </c>
      <c r="F42" s="233" t="n">
        <v>5.92e-05</v>
      </c>
      <c r="G42" s="121" t="n">
        <v>114220</v>
      </c>
      <c r="H42" s="121">
        <f>ROUND(F42*G42,2)</f>
        <v/>
      </c>
      <c r="I42" s="175" t="n"/>
      <c r="J42" s="175" t="n"/>
    </row>
    <row r="43">
      <c r="A43" s="233" t="n">
        <v>29</v>
      </c>
      <c r="B43" s="142" t="n"/>
      <c r="C43" s="234" t="inlineStr">
        <is>
          <t>01.7.11.07-0034</t>
        </is>
      </c>
      <c r="D43" s="234" t="inlineStr">
        <is>
          <t>Электроды сварочные Э42А, диаметр 4 мм</t>
        </is>
      </c>
      <c r="E43" s="233" t="inlineStr">
        <is>
          <t>кг</t>
        </is>
      </c>
      <c r="F43" s="233" t="n">
        <v>0.3</v>
      </c>
      <c r="G43" s="121" t="n">
        <v>10.57</v>
      </c>
      <c r="H43" s="121">
        <f>ROUND(F43*G43,2)</f>
        <v/>
      </c>
      <c r="I43" s="175" t="n"/>
      <c r="J43" s="175" t="n"/>
    </row>
    <row r="44">
      <c r="A44" s="233" t="n">
        <v>30</v>
      </c>
      <c r="B44" s="142" t="n"/>
      <c r="C44" s="234" t="inlineStr">
        <is>
          <t>20.2.02.01-0013</t>
        </is>
      </c>
      <c r="D44" s="234" t="inlineStr">
        <is>
          <t>Втулки, диаметр 28 мм</t>
        </is>
      </c>
      <c r="E44" s="233" t="inlineStr">
        <is>
          <t>1000 шт</t>
        </is>
      </c>
      <c r="F44" s="233" t="n">
        <v>0.0122</v>
      </c>
      <c r="G44" s="121" t="n">
        <v>176.21</v>
      </c>
      <c r="H44" s="121">
        <f>ROUND(F44*G44,2)</f>
        <v/>
      </c>
      <c r="I44" s="175" t="n"/>
      <c r="J44" s="175" t="n"/>
    </row>
    <row r="45">
      <c r="A45" s="233" t="n">
        <v>31</v>
      </c>
      <c r="B45" s="142" t="n"/>
      <c r="C45" s="234" t="inlineStr">
        <is>
          <t>14.4.02.09-0001</t>
        </is>
      </c>
      <c r="D45" s="234" t="inlineStr">
        <is>
          <t>Краска</t>
        </is>
      </c>
      <c r="E45" s="233" t="inlineStr">
        <is>
          <t>кг</t>
        </is>
      </c>
      <c r="F45" s="233" t="n">
        <v>0.07000000000000001</v>
      </c>
      <c r="G45" s="121" t="n">
        <v>28.6</v>
      </c>
      <c r="H45" s="121">
        <f>ROUND(F45*G45,2)</f>
        <v/>
      </c>
      <c r="I45" s="175" t="n"/>
      <c r="J45" s="175" t="n"/>
    </row>
    <row r="46">
      <c r="A46" s="233" t="n">
        <v>32</v>
      </c>
      <c r="B46" s="142" t="n"/>
      <c r="C46" s="234" t="inlineStr">
        <is>
          <t>01.7.07.20-0002</t>
        </is>
      </c>
      <c r="D46" s="234" t="inlineStr">
        <is>
          <t>Тальк молотый, сорт I</t>
        </is>
      </c>
      <c r="E46" s="233" t="inlineStr">
        <is>
          <t>т</t>
        </is>
      </c>
      <c r="F46" s="233" t="n">
        <v>0.00105</v>
      </c>
      <c r="G46" s="121" t="n">
        <v>1820</v>
      </c>
      <c r="H46" s="121">
        <f>ROUND(F46*G46,2)</f>
        <v/>
      </c>
      <c r="I46" s="175" t="n"/>
      <c r="J46" s="175" t="n"/>
    </row>
    <row r="47">
      <c r="A47" s="233" t="n">
        <v>33</v>
      </c>
      <c r="B47" s="142" t="n"/>
      <c r="C47" s="234" t="inlineStr">
        <is>
          <t>01.3.01.05-0009</t>
        </is>
      </c>
      <c r="D47" s="234" t="inlineStr">
        <is>
          <t>Парафин нефтяной твердый Т-1</t>
        </is>
      </c>
      <c r="E47" s="233" t="inlineStr">
        <is>
          <t>т</t>
        </is>
      </c>
      <c r="F47" s="233" t="n">
        <v>0.00018</v>
      </c>
      <c r="G47" s="121" t="n">
        <v>8105.71</v>
      </c>
      <c r="H47" s="121">
        <f>ROUND(F47*G47,2)</f>
        <v/>
      </c>
      <c r="I47" s="175" t="n"/>
      <c r="J47" s="175" t="n"/>
    </row>
    <row r="48">
      <c r="A48" s="233" t="n">
        <v>34</v>
      </c>
      <c r="B48" s="142" t="n"/>
      <c r="C48" s="234" t="inlineStr">
        <is>
          <t>24.3.01.01-0002</t>
        </is>
      </c>
      <c r="D48" s="234" t="inlineStr">
        <is>
          <t>Трубка полихлорвиниловая</t>
        </is>
      </c>
      <c r="E48" s="233" t="inlineStr">
        <is>
          <t>кг</t>
        </is>
      </c>
      <c r="F48" s="233" t="n">
        <v>0.0296</v>
      </c>
      <c r="G48" s="121" t="n">
        <v>35.7</v>
      </c>
      <c r="H48" s="121">
        <f>ROUND(F48*G48,2)</f>
        <v/>
      </c>
      <c r="I48" s="175" t="n"/>
      <c r="J48" s="175" t="n"/>
    </row>
    <row r="49" ht="31.5" customHeight="1" s="184">
      <c r="A49" s="233" t="n">
        <v>35</v>
      </c>
      <c r="B49" s="142" t="n"/>
      <c r="C49" s="234" t="inlineStr">
        <is>
          <t>01.3.01.07-0009</t>
        </is>
      </c>
      <c r="D49" s="234" t="inlineStr">
        <is>
          <t>Спирт этиловый ректификованный технический, сорт I</t>
        </is>
      </c>
      <c r="E49" s="233" t="inlineStr">
        <is>
          <t>кг</t>
        </is>
      </c>
      <c r="F49" s="233" t="n">
        <v>0.02146</v>
      </c>
      <c r="G49" s="121" t="n">
        <v>38.89</v>
      </c>
      <c r="H49" s="121">
        <f>ROUND(F49*G49,2)</f>
        <v/>
      </c>
      <c r="I49" s="175" t="n"/>
      <c r="J49" s="175" t="n"/>
    </row>
    <row r="50">
      <c r="A50" s="233" t="n">
        <v>36</v>
      </c>
      <c r="B50" s="142" t="n"/>
      <c r="C50" s="234" t="inlineStr">
        <is>
          <t>01.7.15.03-0042</t>
        </is>
      </c>
      <c r="D50" s="234" t="inlineStr">
        <is>
          <t>Болты с гайками и шайбами строительные</t>
        </is>
      </c>
      <c r="E50" s="233" t="inlineStr">
        <is>
          <t>кг</t>
        </is>
      </c>
      <c r="F50" s="233" t="n">
        <v>0.06</v>
      </c>
      <c r="G50" s="121" t="n">
        <v>9.039999999999999</v>
      </c>
      <c r="H50" s="121">
        <f>ROUND(F50*G50,2)</f>
        <v/>
      </c>
      <c r="I50" s="175" t="n"/>
      <c r="J50" s="175" t="n"/>
    </row>
    <row r="51">
      <c r="A51" s="233" t="n">
        <v>37</v>
      </c>
      <c r="B51" s="142" t="n"/>
      <c r="C51" s="234" t="inlineStr">
        <is>
          <t>01.3.05.17-0002</t>
        </is>
      </c>
      <c r="D51" s="234" t="inlineStr">
        <is>
          <t>Канифоль сосновая</t>
        </is>
      </c>
      <c r="E51" s="233" t="inlineStr">
        <is>
          <t>кг</t>
        </is>
      </c>
      <c r="F51" s="233" t="n">
        <v>0.01406</v>
      </c>
      <c r="G51" s="121" t="n">
        <v>27.74</v>
      </c>
      <c r="H51" s="121">
        <f>ROUND(F51*G51,2)</f>
        <v/>
      </c>
      <c r="I51" s="175" t="n"/>
      <c r="J51" s="175" t="n"/>
    </row>
    <row r="52">
      <c r="A52" s="233" t="n">
        <v>38</v>
      </c>
      <c r="B52" s="142" t="n"/>
      <c r="C52" s="234" t="inlineStr">
        <is>
          <t>01.3.05.11-0001</t>
        </is>
      </c>
      <c r="D52" s="234" t="inlineStr">
        <is>
          <t>Дихлорэтан технический, сорт I</t>
        </is>
      </c>
      <c r="E52" s="233" t="inlineStr">
        <is>
          <t>т</t>
        </is>
      </c>
      <c r="F52" s="233" t="n">
        <v>1.48e-05</v>
      </c>
      <c r="G52" s="121" t="n">
        <v>4934.48</v>
      </c>
      <c r="H52" s="121">
        <f>ROUND(F52*G52,2)</f>
        <v/>
      </c>
      <c r="I52" s="175" t="n"/>
      <c r="J52" s="175" t="n"/>
    </row>
    <row r="53">
      <c r="J53" s="132" t="n"/>
    </row>
    <row r="55">
      <c r="B55" s="186" t="inlineStr">
        <is>
          <t>Составил ______________________        Е.А. Князева</t>
        </is>
      </c>
    </row>
    <row r="56">
      <c r="B56" s="143" t="inlineStr">
        <is>
          <t xml:space="preserve">                         (подпись, инициалы, фамилия)</t>
        </is>
      </c>
    </row>
    <row r="58">
      <c r="B58" s="186" t="inlineStr">
        <is>
          <t>Проверил ______________________        А.В. Костянецкая</t>
        </is>
      </c>
    </row>
    <row r="59">
      <c r="B59" s="143" t="inlineStr">
        <is>
          <t xml:space="preserve">                        (подпись, инициалы, фамилия)</t>
        </is>
      </c>
    </row>
  </sheetData>
  <mergeCells count="15">
    <mergeCell ref="A3:H3"/>
    <mergeCell ref="G7:H7"/>
    <mergeCell ref="A15:E15"/>
    <mergeCell ref="A10:E10"/>
    <mergeCell ref="A2:H2"/>
    <mergeCell ref="A25:E25"/>
    <mergeCell ref="C7:C8"/>
    <mergeCell ref="A7:A8"/>
    <mergeCell ref="B7:B8"/>
    <mergeCell ref="D7:D8"/>
    <mergeCell ref="E7:E8"/>
    <mergeCell ref="A23:E23"/>
    <mergeCell ref="F7:F8"/>
    <mergeCell ref="A5:H5"/>
    <mergeCell ref="A17:E17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4" workbookViewId="0">
      <selection activeCell="D45" sqref="D45"/>
    </sheetView>
  </sheetViews>
  <sheetFormatPr baseColWidth="8" defaultRowHeight="15"/>
  <cols>
    <col width="4.140625" customWidth="1" style="184" min="1" max="1"/>
    <col width="36.28515625" customWidth="1" style="184" min="2" max="2"/>
    <col width="18.85546875" customWidth="1" style="184" min="3" max="3"/>
    <col width="18.28515625" customWidth="1" style="184" min="4" max="4"/>
    <col width="18.85546875" customWidth="1" style="184" min="5" max="5"/>
    <col width="9.140625" customWidth="1" style="184" min="6" max="6"/>
    <col width="12.85546875" customWidth="1" style="184" min="7" max="7"/>
    <col width="9.140625" customWidth="1" style="184" min="8" max="11"/>
    <col width="13.5703125" customWidth="1" style="184" min="12" max="12"/>
    <col width="9.140625" customWidth="1" style="184" min="13" max="13"/>
  </cols>
  <sheetData>
    <row r="1">
      <c r="B1" s="180" t="n"/>
      <c r="C1" s="180" t="n"/>
      <c r="D1" s="180" t="n"/>
      <c r="E1" s="180" t="n"/>
    </row>
    <row r="2">
      <c r="B2" s="180" t="n"/>
      <c r="C2" s="180" t="n"/>
      <c r="D2" s="180" t="n"/>
      <c r="E2" s="260" t="inlineStr">
        <is>
          <t>Приложение № 4</t>
        </is>
      </c>
    </row>
    <row r="3">
      <c r="B3" s="180" t="n"/>
      <c r="C3" s="180" t="n"/>
      <c r="D3" s="180" t="n"/>
      <c r="E3" s="180" t="n"/>
    </row>
    <row r="4">
      <c r="B4" s="180" t="n"/>
      <c r="C4" s="180" t="n"/>
      <c r="D4" s="180" t="n"/>
      <c r="E4" s="180" t="n"/>
    </row>
    <row r="5">
      <c r="B5" s="237" t="inlineStr">
        <is>
          <t>Ресурсная модель</t>
        </is>
      </c>
    </row>
    <row r="6">
      <c r="B6" s="18" t="n"/>
      <c r="C6" s="180" t="n"/>
      <c r="D6" s="180" t="n"/>
      <c r="E6" s="180" t="n"/>
    </row>
    <row r="7" ht="39.75" customHeight="1" s="184">
      <c r="B7" s="238">
        <f>'Прил.1 Сравнит табл'!B7</f>
        <v/>
      </c>
    </row>
    <row r="8">
      <c r="B8" s="239">
        <f>'Прил.1 Сравнит табл'!B9</f>
        <v/>
      </c>
    </row>
    <row r="9">
      <c r="B9" s="18" t="n"/>
      <c r="C9" s="180" t="n"/>
      <c r="D9" s="180" t="n"/>
      <c r="E9" s="180" t="n"/>
    </row>
    <row r="10" ht="51" customHeight="1" s="184">
      <c r="B10" s="240" t="inlineStr">
        <is>
          <t>Наименование</t>
        </is>
      </c>
      <c r="C10" s="240" t="inlineStr">
        <is>
          <t>Сметная стоимость в ценах на 01.01.2023
 (руб.)</t>
        </is>
      </c>
      <c r="D10" s="240" t="inlineStr">
        <is>
          <t>Удельный вес, 
(в СМР)</t>
        </is>
      </c>
      <c r="E10" s="240" t="inlineStr">
        <is>
          <t>Удельный вес, % 
(от всего по РМ)</t>
        </is>
      </c>
    </row>
    <row r="11">
      <c r="B11" s="31" t="inlineStr">
        <is>
          <t>Оплата труда рабочих</t>
        </is>
      </c>
      <c r="C11" s="35">
        <f>'Прил.5 Расчет СМР и ОБ'!J14</f>
        <v/>
      </c>
      <c r="D11" s="33">
        <f>C11/$C$24</f>
        <v/>
      </c>
      <c r="E11" s="33">
        <f>C11/$C$40</f>
        <v/>
      </c>
    </row>
    <row r="12">
      <c r="B12" s="31" t="inlineStr">
        <is>
          <t>Эксплуатация машин основных</t>
        </is>
      </c>
      <c r="C12" s="35">
        <f>'Прил.5 Расчет СМР и ОБ'!J22</f>
        <v/>
      </c>
      <c r="D12" s="33">
        <f>C12/$C$24</f>
        <v/>
      </c>
      <c r="E12" s="33">
        <f>C12/$C$40</f>
        <v/>
      </c>
    </row>
    <row r="13">
      <c r="B13" s="31" t="inlineStr">
        <is>
          <t>Эксплуатация машин прочих</t>
        </is>
      </c>
      <c r="C13" s="35">
        <f>'Прил.5 Расчет СМР и ОБ'!J25</f>
        <v/>
      </c>
      <c r="D13" s="33">
        <f>C13/$C$24</f>
        <v/>
      </c>
      <c r="E13" s="33">
        <f>C13/$C$40</f>
        <v/>
      </c>
    </row>
    <row r="14">
      <c r="B14" s="31" t="inlineStr">
        <is>
          <t>ЭКСПЛУАТАЦИЯ МАШИН, ВСЕГО:</t>
        </is>
      </c>
      <c r="C14" s="35">
        <f>C13+C12</f>
        <v/>
      </c>
      <c r="D14" s="33">
        <f>C14/$C$24</f>
        <v/>
      </c>
      <c r="E14" s="33">
        <f>C14/$C$40</f>
        <v/>
      </c>
    </row>
    <row r="15">
      <c r="B15" s="31" t="inlineStr">
        <is>
          <t>в том числе зарплата машинистов</t>
        </is>
      </c>
      <c r="C15" s="35">
        <f>'Прил.5 Расчет СМР и ОБ'!J16</f>
        <v/>
      </c>
      <c r="D15" s="33">
        <f>C15/$C$24</f>
        <v/>
      </c>
      <c r="E15" s="33">
        <f>C15/$C$40</f>
        <v/>
      </c>
    </row>
    <row r="16">
      <c r="B16" s="31" t="inlineStr">
        <is>
          <t>Материалы основные</t>
        </is>
      </c>
      <c r="C16" s="35">
        <f>'Прил.5 Расчет СМР и ОБ'!J40</f>
        <v/>
      </c>
      <c r="D16" s="33">
        <f>C16/$C$24</f>
        <v/>
      </c>
      <c r="E16" s="33">
        <f>C16/$C$40</f>
        <v/>
      </c>
    </row>
    <row r="17">
      <c r="B17" s="31" t="inlineStr">
        <is>
          <t>Материалы прочие</t>
        </is>
      </c>
      <c r="C17" s="35">
        <f>'Прил.5 Расчет СМР и ОБ'!J65</f>
        <v/>
      </c>
      <c r="D17" s="33">
        <f>C17/$C$24</f>
        <v/>
      </c>
      <c r="E17" s="33">
        <f>C17/$C$40</f>
        <v/>
      </c>
      <c r="G17" s="273" t="n"/>
    </row>
    <row r="18">
      <c r="B18" s="31" t="inlineStr">
        <is>
          <t>МАТЕРИАЛЫ, ВСЕГО:</t>
        </is>
      </c>
      <c r="C18" s="35">
        <f>C17+C16</f>
        <v/>
      </c>
      <c r="D18" s="33">
        <f>C18/$C$24</f>
        <v/>
      </c>
      <c r="E18" s="33">
        <f>C18/$C$40</f>
        <v/>
      </c>
    </row>
    <row r="19">
      <c r="B19" s="31" t="inlineStr">
        <is>
          <t>ИТОГО</t>
        </is>
      </c>
      <c r="C19" s="35">
        <f>C18+C14+C11</f>
        <v/>
      </c>
      <c r="D19" s="33" t="n"/>
      <c r="E19" s="31" t="n"/>
    </row>
    <row r="20">
      <c r="B20" s="31" t="inlineStr">
        <is>
          <t>Сметная прибыль, руб.</t>
        </is>
      </c>
      <c r="C20" s="35">
        <f>ROUND(C21*(C11+C15),2)</f>
        <v/>
      </c>
      <c r="D20" s="33">
        <f>C20/$C$24</f>
        <v/>
      </c>
      <c r="E20" s="33">
        <f>C20/$C$40</f>
        <v/>
      </c>
    </row>
    <row r="21">
      <c r="B21" s="31" t="inlineStr">
        <is>
          <t>Сметная прибыль, %</t>
        </is>
      </c>
      <c r="C21" s="36">
        <f>'Прил.5 Расчет СМР и ОБ'!E69</f>
        <v/>
      </c>
      <c r="D21" s="33" t="n"/>
      <c r="E21" s="31" t="n"/>
    </row>
    <row r="22">
      <c r="B22" s="31" t="inlineStr">
        <is>
          <t>Накладные расходы, руб.</t>
        </is>
      </c>
      <c r="C22" s="35">
        <f>ROUND(C23*(C11+C15),2)</f>
        <v/>
      </c>
      <c r="D22" s="33">
        <f>C22/$C$24</f>
        <v/>
      </c>
      <c r="E22" s="33">
        <f>C22/$C$40</f>
        <v/>
      </c>
    </row>
    <row r="23">
      <c r="B23" s="31" t="inlineStr">
        <is>
          <t>Накладные расходы, %</t>
        </is>
      </c>
      <c r="C23" s="36">
        <f>'Прил.5 Расчет СМР и ОБ'!E68</f>
        <v/>
      </c>
      <c r="D23" s="33" t="n"/>
      <c r="E23" s="31" t="n"/>
    </row>
    <row r="24">
      <c r="B24" s="31" t="inlineStr">
        <is>
          <t>ВСЕГО СМР с НР и СП</t>
        </is>
      </c>
      <c r="C24" s="35">
        <f>C19+C20+C22</f>
        <v/>
      </c>
      <c r="D24" s="33">
        <f>C24/$C$24</f>
        <v/>
      </c>
      <c r="E24" s="33">
        <f>C24/$C$40</f>
        <v/>
      </c>
    </row>
    <row r="25" ht="25.5" customHeight="1" s="184">
      <c r="B25" s="31" t="inlineStr">
        <is>
          <t>ВСЕГО стоимость оборудования, в том числе</t>
        </is>
      </c>
      <c r="C25" s="35">
        <f>'Прил.5 Расчет СМР и ОБ'!J32</f>
        <v/>
      </c>
      <c r="D25" s="33" t="n"/>
      <c r="E25" s="33">
        <f>C25/$C$40</f>
        <v/>
      </c>
    </row>
    <row r="26" ht="25.5" customHeight="1" s="184">
      <c r="B26" s="31" t="inlineStr">
        <is>
          <t>стоимость оборудования технологического</t>
        </is>
      </c>
      <c r="C26" s="35">
        <f>'Прил.5 Расчет СМР и ОБ'!J33</f>
        <v/>
      </c>
      <c r="D26" s="33" t="n"/>
      <c r="E26" s="33">
        <f>C26/$C$40</f>
        <v/>
      </c>
    </row>
    <row r="27">
      <c r="B27" s="31" t="inlineStr">
        <is>
          <t>ИТОГО (СМР + ОБОРУДОВАНИЕ)</t>
        </is>
      </c>
      <c r="C27" s="32">
        <f>C24+C25</f>
        <v/>
      </c>
      <c r="D27" s="33" t="n"/>
      <c r="E27" s="33">
        <f>C27/$C$40</f>
        <v/>
      </c>
    </row>
    <row r="28" ht="33" customHeight="1" s="184">
      <c r="B28" s="31" t="inlineStr">
        <is>
          <t>ПРОЧ. ЗАТР., УЧТЕННЫЕ ПОКАЗАТЕЛЕМ,  в том числе</t>
        </is>
      </c>
      <c r="C28" s="31" t="n"/>
      <c r="D28" s="31" t="n"/>
      <c r="E28" s="31" t="n"/>
    </row>
    <row r="29" ht="25.5" customHeight="1" s="184">
      <c r="B29" s="31" t="inlineStr">
        <is>
          <t>Временные здания и сооружения - 3,9%</t>
        </is>
      </c>
      <c r="C29" s="32">
        <f>ROUND(C24*3.9%,2)</f>
        <v/>
      </c>
      <c r="D29" s="31" t="n"/>
      <c r="E29" s="33">
        <f>C29/$C$40</f>
        <v/>
      </c>
    </row>
    <row r="30" ht="38.25" customHeight="1" s="184">
      <c r="B30" s="31" t="inlineStr">
        <is>
          <t>Дополнительные затраты при производстве строительно-монтажных работ в зимнее время - 2,1%</t>
        </is>
      </c>
      <c r="C30" s="32">
        <f>ROUND((C24+C29)*2.1%,2)</f>
        <v/>
      </c>
      <c r="D30" s="31" t="n"/>
      <c r="E30" s="33">
        <f>C30/$C$40</f>
        <v/>
      </c>
    </row>
    <row r="31">
      <c r="B31" s="31" t="inlineStr">
        <is>
          <t xml:space="preserve">Пусконаладочные работы </t>
        </is>
      </c>
      <c r="C31" s="32" t="n">
        <v>105140</v>
      </c>
      <c r="D31" s="31" t="n"/>
      <c r="E31" s="33">
        <f>C31/$C$40</f>
        <v/>
      </c>
    </row>
    <row r="32" ht="25.5" customHeight="1" s="184">
      <c r="B32" s="31" t="inlineStr">
        <is>
          <t>Затраты по перевозке работников к месту работы и обратно</t>
        </is>
      </c>
      <c r="C32" s="32">
        <f>ROUND(C27*0%,2)</f>
        <v/>
      </c>
      <c r="D32" s="31" t="n"/>
      <c r="E32" s="33">
        <f>C32/$C$40</f>
        <v/>
      </c>
      <c r="G32" s="136" t="n"/>
    </row>
    <row r="33" ht="25.5" customHeight="1" s="184">
      <c r="B33" s="31" t="inlineStr">
        <is>
          <t>Затраты, связанные с осуществлением работ вахтовым методом</t>
        </is>
      </c>
      <c r="C33" s="32" t="n">
        <v>0</v>
      </c>
      <c r="D33" s="31" t="n"/>
      <c r="E33" s="33">
        <f>C33/$C$40</f>
        <v/>
      </c>
      <c r="G33" s="136" t="n"/>
    </row>
    <row r="34" ht="51" customHeight="1" s="184">
      <c r="B34" s="31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32" t="n">
        <v>0</v>
      </c>
      <c r="D34" s="31" t="n"/>
      <c r="E34" s="33">
        <f>C34/$C$40</f>
        <v/>
      </c>
      <c r="G34" s="136" t="n"/>
    </row>
    <row r="35" ht="76.5" customHeight="1" s="184">
      <c r="B35" s="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32" t="n">
        <v>0</v>
      </c>
      <c r="D35" s="31" t="n"/>
      <c r="E35" s="33">
        <f>C35/$C$40</f>
        <v/>
      </c>
      <c r="G35" s="136" t="n"/>
    </row>
    <row r="36" ht="25.5" customHeight="1" s="184">
      <c r="B36" s="31" t="inlineStr">
        <is>
          <t>Строительный контроль и содержание службы заказчика - 2,14%</t>
        </is>
      </c>
      <c r="C36" s="32">
        <f>ROUND(SUM(C27:C35)*2.14%,2)</f>
        <v/>
      </c>
      <c r="D36" s="31" t="n"/>
      <c r="E36" s="33">
        <f>C36/$C$40</f>
        <v/>
      </c>
      <c r="G36" s="74" t="n"/>
      <c r="L36" s="20" t="n"/>
    </row>
    <row r="37">
      <c r="B37" s="31" t="inlineStr">
        <is>
          <t>Авторский надзор - 0,2%</t>
        </is>
      </c>
      <c r="C37" s="32">
        <f>ROUND(SUM(C27:C35)*0.2%,2)</f>
        <v/>
      </c>
      <c r="D37" s="31" t="n"/>
      <c r="E37" s="33">
        <f>C37/$C$40</f>
        <v/>
      </c>
      <c r="G37" s="74" t="n"/>
      <c r="L37" s="20" t="n"/>
    </row>
    <row r="38" ht="38.25" customHeight="1" s="184">
      <c r="B38" s="31" t="inlineStr">
        <is>
          <t>ИТОГО (СМР+ОБОРУДОВАНИЕ+ПРОЧ. ЗАТР., УЧТЕННЫЕ ПОКАЗАТЕЛЕМ)</t>
        </is>
      </c>
      <c r="C38" s="35">
        <f>SUM(C27:C37)</f>
        <v/>
      </c>
      <c r="D38" s="31" t="n"/>
      <c r="E38" s="33">
        <f>C38/$C$40</f>
        <v/>
      </c>
    </row>
    <row r="39" ht="13.5" customHeight="1" s="184">
      <c r="B39" s="31" t="inlineStr">
        <is>
          <t>Непредвиденные расходы - 3%</t>
        </is>
      </c>
      <c r="C39" s="35">
        <f>ROUND(C38*3%,2)</f>
        <v/>
      </c>
      <c r="D39" s="31" t="n"/>
      <c r="E39" s="33">
        <f>C39/$C$40</f>
        <v/>
      </c>
    </row>
    <row r="40">
      <c r="B40" s="31" t="inlineStr">
        <is>
          <t>ВСЕГО:</t>
        </is>
      </c>
      <c r="C40" s="35">
        <f>C39+C38</f>
        <v/>
      </c>
      <c r="D40" s="31" t="n"/>
      <c r="E40" s="33">
        <f>C40/$C$40</f>
        <v/>
      </c>
    </row>
    <row r="41">
      <c r="B41" s="31" t="inlineStr">
        <is>
          <t>ИТОГО ПОКАЗАТЕЛЬ НА ЕД. ИЗМ.</t>
        </is>
      </c>
      <c r="C41" s="35">
        <f>C40/'Прил.5 Расчет СМР и ОБ'!E72</f>
        <v/>
      </c>
      <c r="D41" s="31" t="n"/>
      <c r="E41" s="31" t="n"/>
    </row>
    <row r="42">
      <c r="B42" s="21" t="n"/>
      <c r="C42" s="180" t="n"/>
      <c r="D42" s="180" t="n"/>
      <c r="E42" s="180" t="n"/>
    </row>
    <row r="43">
      <c r="B43" s="180" t="inlineStr">
        <is>
          <t>Составил ______________________        Е.А. Князева</t>
        </is>
      </c>
      <c r="C43" s="181" t="n"/>
      <c r="D43" s="180" t="n"/>
      <c r="E43" s="180" t="n"/>
    </row>
    <row r="44">
      <c r="B44" s="183" t="inlineStr">
        <is>
          <t xml:space="preserve">                         (подпись, инициалы, фамилия)</t>
        </is>
      </c>
      <c r="C44" s="181" t="n"/>
      <c r="D44" s="180" t="n"/>
      <c r="E44" s="180" t="n"/>
    </row>
    <row r="45">
      <c r="B45" s="180" t="n"/>
      <c r="C45" s="181" t="n"/>
      <c r="D45" s="180" t="n"/>
      <c r="E45" s="180" t="n"/>
    </row>
    <row r="46">
      <c r="B46" s="180" t="inlineStr">
        <is>
          <t>Проверил ______________________        А.В. Костянецкая</t>
        </is>
      </c>
      <c r="C46" s="181" t="n"/>
      <c r="D46" s="180" t="n"/>
      <c r="E46" s="180" t="n"/>
    </row>
    <row r="47">
      <c r="B47" s="183" t="inlineStr">
        <is>
          <t xml:space="preserve">                        (подпись, инициалы, фамилия)</t>
        </is>
      </c>
      <c r="C47" s="181" t="n"/>
      <c r="D47" s="180" t="n"/>
      <c r="E47" s="180" t="n"/>
    </row>
    <row r="49">
      <c r="B49" s="180" t="n"/>
      <c r="C49" s="180" t="n"/>
      <c r="D49" s="180" t="n"/>
      <c r="E49" s="180" t="n"/>
    </row>
    <row r="50">
      <c r="B50" s="180" t="n"/>
      <c r="C50" s="180" t="n"/>
      <c r="D50" s="180" t="n"/>
      <c r="E50" s="180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79"/>
  <sheetViews>
    <sheetView view="pageBreakPreview" topLeftCell="A25" zoomScale="85" workbookViewId="0">
      <selection activeCell="B77" sqref="B77"/>
    </sheetView>
  </sheetViews>
  <sheetFormatPr baseColWidth="8" defaultColWidth="9.140625" defaultRowHeight="15" outlineLevelRow="1"/>
  <cols>
    <col width="5.7109375" customWidth="1" style="181" min="1" max="1"/>
    <col width="22.5703125" customWidth="1" style="181" min="2" max="2"/>
    <col width="39.140625" customWidth="1" style="181" min="3" max="3"/>
    <col width="10.7109375" customWidth="1" style="181" min="4" max="4"/>
    <col width="12.7109375" customWidth="1" style="181" min="5" max="5"/>
    <col width="14.5703125" customWidth="1" style="181" min="6" max="6"/>
    <col width="13.42578125" customWidth="1" style="181" min="7" max="7"/>
    <col width="12.7109375" customWidth="1" style="181" min="8" max="8"/>
    <col width="14.5703125" customWidth="1" style="181" min="9" max="9"/>
    <col width="15.140625" customWidth="1" style="181" min="10" max="10"/>
    <col width="2.85546875" customWidth="1" style="181" min="11" max="11"/>
    <col width="10.7109375" customWidth="1" style="181" min="12" max="12"/>
    <col width="10.85546875" customWidth="1" style="181" min="13" max="13"/>
    <col width="9.140625" customWidth="1" style="181" min="14" max="14"/>
    <col width="9.140625" customWidth="1" style="184" min="15" max="15"/>
  </cols>
  <sheetData>
    <row r="2" ht="15.75" customHeight="1" s="184">
      <c r="I2" s="186" t="n"/>
      <c r="J2" s="75" t="inlineStr">
        <is>
          <t>Приложение №5</t>
        </is>
      </c>
    </row>
    <row r="4" ht="12.75" customFormat="1" customHeight="1" s="180">
      <c r="A4" s="237" t="inlineStr">
        <is>
          <t>Расчет стоимости СМР и оборудования</t>
        </is>
      </c>
      <c r="I4" s="237" t="n"/>
      <c r="J4" s="237" t="n"/>
    </row>
    <row r="5" ht="12.75" customFormat="1" customHeight="1" s="180">
      <c r="A5" s="237" t="n"/>
      <c r="B5" s="237" t="n"/>
      <c r="C5" s="237" t="n"/>
      <c r="D5" s="237" t="n"/>
      <c r="E5" s="237" t="n"/>
      <c r="F5" s="237" t="n"/>
      <c r="G5" s="237" t="n"/>
      <c r="H5" s="237" t="n"/>
      <c r="I5" s="237" t="n"/>
      <c r="J5" s="237" t="n"/>
    </row>
    <row r="6" ht="41.25" customFormat="1" customHeight="1" s="180">
      <c r="A6" s="125" t="inlineStr">
        <is>
          <t>Наименование разрабатываемого показателя УНЦ</t>
        </is>
      </c>
      <c r="B6" s="126" t="n"/>
      <c r="C6" s="126" t="n"/>
      <c r="D6" s="253" t="inlineStr">
        <is>
          <t>Автоматика управления ДГР 6-35 кВ</t>
        </is>
      </c>
      <c r="L6" s="170" t="n"/>
    </row>
    <row r="7" ht="12.75" customFormat="1" customHeight="1" s="180">
      <c r="A7" s="253">
        <f>'Прил.1 Сравнит табл'!B9</f>
        <v/>
      </c>
      <c r="I7" s="238" t="n"/>
      <c r="J7" s="238" t="n"/>
    </row>
    <row r="8" ht="12.75" customFormat="1" customHeight="1" s="180"/>
    <row r="9" ht="27" customHeight="1" s="184">
      <c r="A9" s="240" t="inlineStr">
        <is>
          <t>№ пп.</t>
        </is>
      </c>
      <c r="B9" s="240" t="inlineStr">
        <is>
          <t>Код ресурса</t>
        </is>
      </c>
      <c r="C9" s="240" t="inlineStr">
        <is>
          <t>Наименование</t>
        </is>
      </c>
      <c r="D9" s="240" t="inlineStr">
        <is>
          <t>Ед. изм.</t>
        </is>
      </c>
      <c r="E9" s="240" t="inlineStr">
        <is>
          <t>Кол-во единиц по проектным данным</t>
        </is>
      </c>
      <c r="F9" s="240" t="inlineStr">
        <is>
          <t>Сметная стоимость в ценах на 01.01.2000 (руб.)</t>
        </is>
      </c>
      <c r="G9" s="267" t="n"/>
      <c r="H9" s="240" t="inlineStr">
        <is>
          <t>Удельный вес, %</t>
        </is>
      </c>
      <c r="I9" s="240" t="inlineStr">
        <is>
          <t>Сметная стоимость в ценах на 01.01.2023 (руб.)</t>
        </is>
      </c>
      <c r="J9" s="267" t="n"/>
    </row>
    <row r="10" ht="28.5" customHeight="1" s="184">
      <c r="A10" s="269" t="n"/>
      <c r="B10" s="269" t="n"/>
      <c r="C10" s="269" t="n"/>
      <c r="D10" s="269" t="n"/>
      <c r="E10" s="269" t="n"/>
      <c r="F10" s="240" t="inlineStr">
        <is>
          <t>на ед. изм.</t>
        </is>
      </c>
      <c r="G10" s="240" t="inlineStr">
        <is>
          <t>общая</t>
        </is>
      </c>
      <c r="H10" s="269" t="n"/>
      <c r="I10" s="240" t="inlineStr">
        <is>
          <t>на ед. изм.</t>
        </is>
      </c>
      <c r="J10" s="240" t="inlineStr">
        <is>
          <t>общая</t>
        </is>
      </c>
    </row>
    <row r="11">
      <c r="A11" s="240" t="n">
        <v>1</v>
      </c>
      <c r="B11" s="240" t="n">
        <v>2</v>
      </c>
      <c r="C11" s="240" t="n">
        <v>3</v>
      </c>
      <c r="D11" s="240" t="n">
        <v>4</v>
      </c>
      <c r="E11" s="240" t="n">
        <v>5</v>
      </c>
      <c r="F11" s="240" t="n">
        <v>6</v>
      </c>
      <c r="G11" s="240" t="n">
        <v>7</v>
      </c>
      <c r="H11" s="240" t="n">
        <v>8</v>
      </c>
      <c r="I11" s="240" t="n">
        <v>9</v>
      </c>
      <c r="J11" s="240" t="n">
        <v>10</v>
      </c>
      <c r="L11" s="69" t="n"/>
    </row>
    <row r="12">
      <c r="A12" s="240" t="n"/>
      <c r="B12" s="254" t="inlineStr">
        <is>
          <t>Затраты труда рабочих-строителей</t>
        </is>
      </c>
      <c r="C12" s="266" t="n"/>
      <c r="D12" s="266" t="n"/>
      <c r="E12" s="266" t="n"/>
      <c r="F12" s="266" t="n"/>
      <c r="G12" s="266" t="n"/>
      <c r="H12" s="267" t="n"/>
      <c r="I12" s="42" t="n"/>
      <c r="J12" s="42" t="n"/>
      <c r="L12" s="274" t="n"/>
    </row>
    <row r="13" ht="25.5" customHeight="1" s="184">
      <c r="A13" s="240" t="n">
        <v>1</v>
      </c>
      <c r="B13" s="91" t="inlineStr">
        <is>
          <t>1-3-8</t>
        </is>
      </c>
      <c r="C13" s="245" t="inlineStr">
        <is>
          <t>Затраты труда рабочих-строителей среднего разряда (3,8)</t>
        </is>
      </c>
      <c r="D13" s="240" t="inlineStr">
        <is>
          <t>чел.-ч.</t>
        </is>
      </c>
      <c r="E13" s="275">
        <f>G13/F13</f>
        <v/>
      </c>
      <c r="F13" s="98" t="n">
        <v>9.4</v>
      </c>
      <c r="G13" s="98">
        <f>Прил.3!H10</f>
        <v/>
      </c>
      <c r="H13" s="255">
        <f>G13/G14</f>
        <v/>
      </c>
      <c r="I13" s="98">
        <f>ФОТр.тек.!E13</f>
        <v/>
      </c>
      <c r="J13" s="98">
        <f>ROUND(I13*E13,2)</f>
        <v/>
      </c>
    </row>
    <row r="14" ht="25.5" customFormat="1" customHeight="1" s="181">
      <c r="A14" s="240" t="n"/>
      <c r="B14" s="240" t="n"/>
      <c r="C14" s="254" t="inlineStr">
        <is>
          <t>Итого по разделу "Затраты труда рабочих-строителей"</t>
        </is>
      </c>
      <c r="D14" s="240" t="inlineStr">
        <is>
          <t>чел.-ч.</t>
        </is>
      </c>
      <c r="E14" s="275">
        <f>SUM(E13:E13)</f>
        <v/>
      </c>
      <c r="F14" s="98" t="n"/>
      <c r="G14" s="98">
        <f>SUM(G13:G13)</f>
        <v/>
      </c>
      <c r="H14" s="255" t="n">
        <v>1</v>
      </c>
      <c r="I14" s="98" t="n"/>
      <c r="J14" s="98">
        <f>SUM(J13:J13)</f>
        <v/>
      </c>
      <c r="L14" s="90" t="n"/>
    </row>
    <row r="15" ht="14.25" customFormat="1" customHeight="1" s="181">
      <c r="A15" s="240" t="n"/>
      <c r="B15" s="245" t="inlineStr">
        <is>
          <t>Затраты труда машинистов</t>
        </is>
      </c>
      <c r="C15" s="266" t="n"/>
      <c r="D15" s="266" t="n"/>
      <c r="E15" s="266" t="n"/>
      <c r="F15" s="266" t="n"/>
      <c r="G15" s="266" t="n"/>
      <c r="H15" s="267" t="n"/>
      <c r="I15" s="42" t="n"/>
      <c r="J15" s="42" t="n"/>
      <c r="L15" s="274" t="n"/>
    </row>
    <row r="16" ht="14.25" customFormat="1" customHeight="1" s="181">
      <c r="A16" s="240" t="n">
        <v>2</v>
      </c>
      <c r="B16" s="240" t="n">
        <v>2</v>
      </c>
      <c r="C16" s="245" t="inlineStr">
        <is>
          <t>Затраты труда машинистов</t>
        </is>
      </c>
      <c r="D16" s="240" t="inlineStr">
        <is>
          <t>чел.-ч.</t>
        </is>
      </c>
      <c r="E16" s="275">
        <f>Прил.3!F16</f>
        <v/>
      </c>
      <c r="F16" s="98">
        <f>G16/E16</f>
        <v/>
      </c>
      <c r="G16" s="98">
        <f>Прил.3!H16</f>
        <v/>
      </c>
      <c r="H16" s="255" t="n">
        <v>1</v>
      </c>
      <c r="I16" s="98">
        <f>ROUND(F16*Прил.10!D10,2)</f>
        <v/>
      </c>
      <c r="J16" s="98">
        <f>ROUND(I16*E16,2)</f>
        <v/>
      </c>
      <c r="L16" s="69" t="n"/>
    </row>
    <row r="17" ht="14.25" customFormat="1" customHeight="1" s="181">
      <c r="A17" s="240" t="n"/>
      <c r="B17" s="254" t="inlineStr">
        <is>
          <t>Машины и механизмы</t>
        </is>
      </c>
      <c r="C17" s="266" t="n"/>
      <c r="D17" s="266" t="n"/>
      <c r="E17" s="266" t="n"/>
      <c r="F17" s="266" t="n"/>
      <c r="G17" s="266" t="n"/>
      <c r="H17" s="267" t="n"/>
      <c r="I17" s="255" t="n"/>
      <c r="J17" s="255" t="n"/>
    </row>
    <row r="18" ht="14.25" customFormat="1" customHeight="1" s="181">
      <c r="A18" s="240" t="n"/>
      <c r="B18" s="245" t="inlineStr">
        <is>
          <t>Основные машины и механизмы</t>
        </is>
      </c>
      <c r="C18" s="266" t="n"/>
      <c r="D18" s="266" t="n"/>
      <c r="E18" s="266" t="n"/>
      <c r="F18" s="266" t="n"/>
      <c r="G18" s="266" t="n"/>
      <c r="H18" s="267" t="n"/>
      <c r="I18" s="42" t="n"/>
      <c r="J18" s="42" t="n"/>
    </row>
    <row r="19" ht="25.5" customFormat="1" customHeight="1" s="181">
      <c r="A19" s="240" t="n">
        <v>3</v>
      </c>
      <c r="B19" s="91" t="inlineStr">
        <is>
          <t>91.05.05-015</t>
        </is>
      </c>
      <c r="C19" s="245" t="inlineStr">
        <is>
          <t>Краны на автомобильном ходу, грузоподъемность 16 т</t>
        </is>
      </c>
      <c r="D19" s="240" t="inlineStr">
        <is>
          <t>маш.час</t>
        </is>
      </c>
      <c r="E19" s="275" t="n">
        <v>2</v>
      </c>
      <c r="F19" s="259" t="n">
        <v>115.4</v>
      </c>
      <c r="G19" s="98">
        <f>ROUND(E19*F19,2)</f>
        <v/>
      </c>
      <c r="H19" s="255">
        <f>G19/$G$26</f>
        <v/>
      </c>
      <c r="I19" s="98">
        <f>ROUND(F19*Прил.10!$D$11,2)</f>
        <v/>
      </c>
      <c r="J19" s="98">
        <f>ROUND(I19*E19,2)</f>
        <v/>
      </c>
    </row>
    <row r="20" ht="25.5" customFormat="1" customHeight="1" s="181">
      <c r="A20" s="240" t="n">
        <v>4</v>
      </c>
      <c r="B20" s="91" t="inlineStr">
        <is>
          <t>91.14.02-001</t>
        </is>
      </c>
      <c r="C20" s="245" t="inlineStr">
        <is>
          <t>Автомобили бортовые, грузоподъемность до 5 т</t>
        </is>
      </c>
      <c r="D20" s="240" t="inlineStr">
        <is>
          <t>маш.час</t>
        </is>
      </c>
      <c r="E20" s="275" t="n">
        <v>2</v>
      </c>
      <c r="F20" s="259" t="n">
        <v>65.70999999999999</v>
      </c>
      <c r="G20" s="98">
        <f>ROUND(E20*F20,2)</f>
        <v/>
      </c>
      <c r="H20" s="255">
        <f>G20/$G$26</f>
        <v/>
      </c>
      <c r="I20" s="98">
        <f>ROUND(F20*Прил.10!$D$11,2)</f>
        <v/>
      </c>
      <c r="J20" s="98">
        <f>ROUND(I20*E20,2)</f>
        <v/>
      </c>
    </row>
    <row r="21" ht="25.5" customFormat="1" customHeight="1" s="181">
      <c r="A21" s="240" t="n">
        <v>5</v>
      </c>
      <c r="B21" s="91" t="inlineStr">
        <is>
          <t>91.06.03-061</t>
        </is>
      </c>
      <c r="C21" s="245" t="inlineStr">
        <is>
          <t>Лебедки электрические тяговым усилием до 12,26 кН (1,25 т)</t>
        </is>
      </c>
      <c r="D21" s="240" t="inlineStr">
        <is>
          <t>маш.час</t>
        </is>
      </c>
      <c r="E21" s="275" t="n">
        <v>15.442</v>
      </c>
      <c r="F21" s="259" t="n">
        <v>3.28</v>
      </c>
      <c r="G21" s="98">
        <f>ROUND(E21*F21,2)</f>
        <v/>
      </c>
      <c r="H21" s="255">
        <f>G21/$G$26</f>
        <v/>
      </c>
      <c r="I21" s="98">
        <f>ROUND(F21*Прил.10!$D$11,2)</f>
        <v/>
      </c>
      <c r="J21" s="98">
        <f>ROUND(I21*E21,2)</f>
        <v/>
      </c>
    </row>
    <row r="22" ht="14.25" customFormat="1" customHeight="1" s="181">
      <c r="B22" s="240" t="n"/>
      <c r="C22" s="245" t="inlineStr">
        <is>
          <t>Итого основные машины и механизмы</t>
        </is>
      </c>
      <c r="D22" s="240" t="n"/>
      <c r="E22" s="276" t="n"/>
      <c r="F22" s="98" t="n"/>
      <c r="G22" s="98">
        <f>SUM(G19:G21)</f>
        <v/>
      </c>
      <c r="H22" s="255">
        <f>G22/G26</f>
        <v/>
      </c>
      <c r="I22" s="98" t="n"/>
      <c r="J22" s="98">
        <f>SUM(J19:J21)</f>
        <v/>
      </c>
      <c r="L22" s="274" t="n"/>
    </row>
    <row r="23" hidden="1" outlineLevel="1" ht="25.5" customFormat="1" customHeight="1" s="181">
      <c r="A23" s="240" t="n">
        <v>6</v>
      </c>
      <c r="B23" s="91" t="inlineStr">
        <is>
          <t>91.06.01-003</t>
        </is>
      </c>
      <c r="C23" s="245" t="inlineStr">
        <is>
          <t>Домкраты гидравлические, грузоподъемность 63-100 т</t>
        </is>
      </c>
      <c r="D23" s="240" t="inlineStr">
        <is>
          <t>маш.час</t>
        </is>
      </c>
      <c r="E23" s="275" t="n">
        <v>15.442</v>
      </c>
      <c r="F23" s="259" t="n">
        <v>0.9</v>
      </c>
      <c r="G23" s="98">
        <f>ROUND(E23*F23,2)</f>
        <v/>
      </c>
      <c r="H23" s="255">
        <f>G23/$G$26</f>
        <v/>
      </c>
      <c r="I23" s="98">
        <f>ROUND(F23*Прил.10!$D$11,2)</f>
        <v/>
      </c>
      <c r="J23" s="98">
        <f>ROUND(I23*E23,2)</f>
        <v/>
      </c>
      <c r="L23" s="274" t="n"/>
    </row>
    <row r="24" hidden="1" outlineLevel="1" ht="25.5" customFormat="1" customHeight="1" s="181">
      <c r="A24" s="240" t="n">
        <v>7</v>
      </c>
      <c r="B24" s="91" t="inlineStr">
        <is>
          <t>91.17.04-233</t>
        </is>
      </c>
      <c r="C24" s="245" t="inlineStr">
        <is>
          <t>Установки для сварки ручной дуговой (постоянного тока)</t>
        </is>
      </c>
      <c r="D24" s="240" t="inlineStr">
        <is>
          <t>маш.час</t>
        </is>
      </c>
      <c r="E24" s="275" t="n">
        <v>0.9</v>
      </c>
      <c r="F24" s="259" t="n">
        <v>8.1</v>
      </c>
      <c r="G24" s="98">
        <f>ROUND(E24*F24,2)</f>
        <v/>
      </c>
      <c r="H24" s="255">
        <f>G24/$G$26</f>
        <v/>
      </c>
      <c r="I24" s="98">
        <f>ROUND(F24*Прил.10!$D$11,2)</f>
        <v/>
      </c>
      <c r="J24" s="98">
        <f>ROUND(I24*E24,2)</f>
        <v/>
      </c>
      <c r="L24" s="274" t="n"/>
    </row>
    <row r="25" collapsed="1" ht="14.25" customFormat="1" customHeight="1" s="181">
      <c r="A25" s="240" t="n"/>
      <c r="B25" s="240" t="n"/>
      <c r="C25" s="245" t="inlineStr">
        <is>
          <t>Итого прочие машины и механизмы</t>
        </is>
      </c>
      <c r="D25" s="240" t="n"/>
      <c r="E25" s="246" t="n"/>
      <c r="F25" s="98" t="n"/>
      <c r="G25" s="98">
        <f>SUM(G23:G24)</f>
        <v/>
      </c>
      <c r="H25" s="255">
        <f>G25/G26</f>
        <v/>
      </c>
      <c r="I25" s="98" t="n"/>
      <c r="J25" s="98">
        <f>SUM(J23:J24)</f>
        <v/>
      </c>
      <c r="K25" s="277" t="n"/>
      <c r="L25" s="274" t="n"/>
    </row>
    <row r="26" ht="25.5" customFormat="1" customHeight="1" s="181">
      <c r="A26" s="240" t="n"/>
      <c r="B26" s="241" t="n"/>
      <c r="C26" s="249" t="inlineStr">
        <is>
          <t>Итого по разделу «Машины и механизмы»</t>
        </is>
      </c>
      <c r="D26" s="241" t="n"/>
      <c r="E26" s="59" t="n"/>
      <c r="F26" s="60" t="n"/>
      <c r="G26" s="60">
        <f>G22+G25</f>
        <v/>
      </c>
      <c r="H26" s="61" t="n">
        <v>1</v>
      </c>
      <c r="I26" s="60" t="n"/>
      <c r="J26" s="60">
        <f>J22+J25</f>
        <v/>
      </c>
    </row>
    <row r="27" s="184">
      <c r="A27" s="95" t="n"/>
      <c r="B27" s="249" t="inlineStr">
        <is>
          <t xml:space="preserve">Оборудование </t>
        </is>
      </c>
      <c r="C27" s="278" t="n"/>
      <c r="D27" s="278" t="n"/>
      <c r="E27" s="278" t="n"/>
      <c r="F27" s="278" t="n"/>
      <c r="G27" s="278" t="n"/>
      <c r="H27" s="278" t="n"/>
      <c r="I27" s="278" t="n"/>
      <c r="J27" s="279" t="n"/>
      <c r="K27" s="181" t="n"/>
      <c r="L27" s="181" t="n"/>
      <c r="M27" s="181" t="n"/>
      <c r="N27" s="181" t="n"/>
    </row>
    <row r="28" ht="15" customHeight="1" s="184">
      <c r="A28" s="240" t="n"/>
      <c r="B28" s="245" t="inlineStr">
        <is>
          <t>Основное оборудование</t>
        </is>
      </c>
      <c r="C28" s="266" t="n"/>
      <c r="D28" s="266" t="n"/>
      <c r="E28" s="266" t="n"/>
      <c r="F28" s="266" t="n"/>
      <c r="G28" s="266" t="n"/>
      <c r="H28" s="266" t="n"/>
      <c r="I28" s="266" t="n"/>
      <c r="J28" s="267" t="n"/>
      <c r="K28" s="181" t="n"/>
      <c r="L28" s="181" t="n"/>
      <c r="M28" s="181" t="n"/>
      <c r="N28" s="181" t="n"/>
    </row>
    <row r="29" ht="36" customHeight="1" s="184">
      <c r="A29" s="240" t="n">
        <v>8</v>
      </c>
      <c r="B29" s="91" t="inlineStr">
        <is>
          <t>БЦ.30_1.141</t>
        </is>
      </c>
      <c r="C29" s="245" t="inlineStr">
        <is>
          <t>Шкаф автоматики и управления ДГР 6-35кВ для 1 ДГР</t>
        </is>
      </c>
      <c r="D29" s="240" t="inlineStr">
        <is>
          <t>шт</t>
        </is>
      </c>
      <c r="E29" s="275" t="n">
        <v>1</v>
      </c>
      <c r="F29" s="247">
        <f>ROUND(I29/Прил.10!$D$13,2)</f>
        <v/>
      </c>
      <c r="G29" s="98">
        <f>ROUND(E29*F29,2)</f>
        <v/>
      </c>
      <c r="H29" s="255">
        <f>G29/$G$32</f>
        <v/>
      </c>
      <c r="I29" s="98" t="n">
        <v>2110500</v>
      </c>
      <c r="J29" s="98">
        <f>ROUND(I29*E29,2)</f>
        <v/>
      </c>
      <c r="K29" s="181" t="n"/>
      <c r="L29" s="181" t="n"/>
      <c r="M29" s="181" t="n"/>
      <c r="N29" s="181" t="n"/>
    </row>
    <row r="30" s="184">
      <c r="A30" s="99" t="n"/>
      <c r="B30" s="240" t="n"/>
      <c r="C30" s="245" t="inlineStr">
        <is>
          <t>Итого основное оборудование</t>
        </is>
      </c>
      <c r="D30" s="240" t="n"/>
      <c r="E30" s="275" t="n"/>
      <c r="F30" s="247" t="n"/>
      <c r="G30" s="98">
        <f>SUM(G29:G29)</f>
        <v/>
      </c>
      <c r="H30" s="255">
        <f>G30/$G$32</f>
        <v/>
      </c>
      <c r="I30" s="98" t="n"/>
      <c r="J30" s="98">
        <f>SUM(J29:J29)</f>
        <v/>
      </c>
      <c r="K30" s="277" t="n"/>
      <c r="L30" s="181" t="n"/>
      <c r="M30" s="181" t="n"/>
      <c r="N30" s="181" t="n"/>
    </row>
    <row r="31" s="184">
      <c r="A31" s="99" t="n"/>
      <c r="B31" s="240" t="n"/>
      <c r="C31" s="245" t="inlineStr">
        <is>
          <t>Итого прочее оборудование</t>
        </is>
      </c>
      <c r="D31" s="240" t="n"/>
      <c r="E31" s="246" t="n"/>
      <c r="F31" s="247" t="n"/>
      <c r="G31" s="98" t="n">
        <v>0</v>
      </c>
      <c r="H31" s="255">
        <f>G31/$G$32</f>
        <v/>
      </c>
      <c r="I31" s="98" t="n"/>
      <c r="J31" s="98" t="n">
        <v>0</v>
      </c>
      <c r="K31" s="277" t="n"/>
      <c r="L31" s="280" t="n"/>
      <c r="M31" s="181" t="n"/>
      <c r="N31" s="181" t="n"/>
    </row>
    <row r="32" s="184">
      <c r="A32" s="240" t="n"/>
      <c r="B32" s="240" t="n"/>
      <c r="C32" s="254" t="inlineStr">
        <is>
          <t>Итого по разделу «Оборудование»</t>
        </is>
      </c>
      <c r="D32" s="240" t="n"/>
      <c r="E32" s="246" t="n"/>
      <c r="F32" s="247" t="n"/>
      <c r="G32" s="98">
        <f>G30+G31</f>
        <v/>
      </c>
      <c r="H32" s="255">
        <f>(G30+G31)/G32</f>
        <v/>
      </c>
      <c r="I32" s="98" t="n"/>
      <c r="J32" s="98">
        <f>J31+J30</f>
        <v/>
      </c>
      <c r="K32" s="277" t="n"/>
      <c r="L32" s="181" t="n"/>
      <c r="M32" s="181" t="n"/>
      <c r="N32" s="181" t="n"/>
    </row>
    <row r="33" ht="25.5" customHeight="1" s="184">
      <c r="A33" s="240" t="n"/>
      <c r="B33" s="240" t="n"/>
      <c r="C33" s="245" t="inlineStr">
        <is>
          <t>в том числе технологическое оборудование</t>
        </is>
      </c>
      <c r="D33" s="240" t="n"/>
      <c r="E33" s="246" t="n"/>
      <c r="F33" s="247" t="n"/>
      <c r="G33" s="98">
        <f>'Прил.6 Расчет ОБ'!G15</f>
        <v/>
      </c>
      <c r="H33" s="255">
        <f>G33/$G$32</f>
        <v/>
      </c>
      <c r="I33" s="98" t="n"/>
      <c r="J33" s="98">
        <f>ROUND(G33*Прил.10!$D$13,2)</f>
        <v/>
      </c>
      <c r="K33" s="277" t="n"/>
      <c r="L33" s="181" t="n"/>
      <c r="M33" s="181" t="n"/>
      <c r="N33" s="181" t="n"/>
    </row>
    <row r="34" ht="14.25" customFormat="1" customHeight="1" s="181">
      <c r="A34" s="242" t="n"/>
      <c r="B34" s="281" t="inlineStr">
        <is>
          <t>Материалы</t>
        </is>
      </c>
      <c r="J34" s="282" t="n"/>
      <c r="K34" s="277" t="n"/>
    </row>
    <row r="35" ht="14.25" customFormat="1" customHeight="1" s="181">
      <c r="A35" s="240" t="n"/>
      <c r="B35" s="245" t="inlineStr">
        <is>
          <t>Основные материалы</t>
        </is>
      </c>
      <c r="C35" s="266" t="n"/>
      <c r="D35" s="266" t="n"/>
      <c r="E35" s="266" t="n"/>
      <c r="F35" s="266" t="n"/>
      <c r="G35" s="266" t="n"/>
      <c r="H35" s="267" t="n"/>
      <c r="I35" s="255" t="n"/>
      <c r="J35" s="255" t="n"/>
    </row>
    <row r="36" ht="14.25" customFormat="1" customHeight="1" s="181">
      <c r="A36" s="240" t="n">
        <v>9</v>
      </c>
      <c r="B36" s="91">
        <f>B37</f>
        <v/>
      </c>
      <c r="C36" s="245">
        <f>C37</f>
        <v/>
      </c>
      <c r="D36" s="240" t="inlineStr">
        <is>
          <t>1000 м</t>
        </is>
      </c>
      <c r="E36" s="275">
        <f>G36/F36</f>
        <v/>
      </c>
      <c r="F36" s="259">
        <f>F37</f>
        <v/>
      </c>
      <c r="G36" s="98">
        <f>G37+G38+G39</f>
        <v/>
      </c>
      <c r="H36" s="255">
        <f>G36/$G$66</f>
        <v/>
      </c>
      <c r="I36" s="98">
        <f>ROUND(F36*Прил.10!$D$12,2)</f>
        <v/>
      </c>
      <c r="J36" s="98">
        <f>ROUND(I36*E36,2)</f>
        <v/>
      </c>
    </row>
    <row r="37" hidden="1" outlineLevel="1" ht="14.25" customFormat="1" customHeight="1" s="158">
      <c r="A37" s="153" t="n"/>
      <c r="B37" s="151" t="inlineStr">
        <is>
          <t>21.1.08.03-0581</t>
        </is>
      </c>
      <c r="C37" s="152" t="inlineStr">
        <is>
          <t>Кабель контрольный КВВГЭнг(A)-LS 7х1,5</t>
        </is>
      </c>
      <c r="D37" s="153" t="inlineStr">
        <is>
          <t>1000 м</t>
        </is>
      </c>
      <c r="E37" s="283" t="n">
        <v>0.51</v>
      </c>
      <c r="F37" s="155" t="n">
        <v>37014.5</v>
      </c>
      <c r="G37" s="156">
        <f>ROUND(E37*F37,2)</f>
        <v/>
      </c>
      <c r="H37" s="157">
        <f>G37/$G$66</f>
        <v/>
      </c>
      <c r="I37" s="156" t="n"/>
      <c r="J37" s="156" t="n"/>
    </row>
    <row r="38" hidden="1" outlineLevel="1" ht="14.25" customFormat="1" customHeight="1" s="158">
      <c r="A38" s="153" t="n"/>
      <c r="B38" s="151" t="inlineStr">
        <is>
          <t>21.1.08.03-0579</t>
        </is>
      </c>
      <c r="C38" s="152" t="inlineStr">
        <is>
          <t>Кабель контрольный КВВГЭнг(A)-LS 5х2,5</t>
        </is>
      </c>
      <c r="D38" s="153" t="inlineStr">
        <is>
          <t>1000 м</t>
        </is>
      </c>
      <c r="E38" s="283" t="n">
        <v>0.204</v>
      </c>
      <c r="F38" s="155" t="n">
        <v>38348.22</v>
      </c>
      <c r="G38" s="156">
        <f>ROUND(E38*F38,2)</f>
        <v/>
      </c>
      <c r="H38" s="157">
        <f>G38/$G$66</f>
        <v/>
      </c>
      <c r="I38" s="156" t="n"/>
      <c r="J38" s="156" t="n"/>
    </row>
    <row r="39" hidden="1" outlineLevel="1" ht="14.25" customFormat="1" customHeight="1" s="158">
      <c r="A39" s="153" t="n"/>
      <c r="B39" s="151" t="inlineStr">
        <is>
          <t>21.1.08.03-0574</t>
        </is>
      </c>
      <c r="C39" s="152" t="inlineStr">
        <is>
          <t>Кабель контрольный КВВГЭнг(A)-LS 4х2,5</t>
        </is>
      </c>
      <c r="D39" s="153" t="inlineStr">
        <is>
          <t>1000 м</t>
        </is>
      </c>
      <c r="E39" s="283" t="n">
        <v>0.102</v>
      </c>
      <c r="F39" s="155" t="n">
        <v>32828.83</v>
      </c>
      <c r="G39" s="156">
        <f>ROUND(E39*F39,2)</f>
        <v/>
      </c>
      <c r="H39" s="157">
        <f>G39/$G$66</f>
        <v/>
      </c>
      <c r="I39" s="156" t="n"/>
      <c r="J39" s="156" t="n"/>
    </row>
    <row r="40" collapsed="1" ht="14.25" customFormat="1" customHeight="1" s="181">
      <c r="B40" s="240" t="n"/>
      <c r="C40" s="245" t="inlineStr">
        <is>
          <t>Итого основные материалы</t>
        </is>
      </c>
      <c r="D40" s="240" t="n"/>
      <c r="E40" s="275" t="n"/>
      <c r="F40" s="247" t="n"/>
      <c r="G40" s="98">
        <f>G36</f>
        <v/>
      </c>
      <c r="H40" s="255">
        <f>G40/$G$66</f>
        <v/>
      </c>
      <c r="I40" s="98" t="n"/>
      <c r="J40" s="98">
        <f>SUM(J36:J39)</f>
        <v/>
      </c>
      <c r="K40" s="277" t="n"/>
    </row>
    <row r="41" hidden="1" outlineLevel="1" ht="38.25" customFormat="1" customHeight="1" s="181">
      <c r="A41" s="240" t="n">
        <v>10</v>
      </c>
      <c r="B41" s="91" t="inlineStr">
        <is>
          <t>24.3.01.02-0002</t>
        </is>
      </c>
      <c r="C41" s="245" t="inlineStr">
        <is>
          <t>Трубы гибкие гофрированные из самозатухающего ПВХ легкие с протяжкой, диаметр 25 мм</t>
        </is>
      </c>
      <c r="D41" s="240" t="inlineStr">
        <is>
          <t>м</t>
        </is>
      </c>
      <c r="E41" s="275" t="n">
        <v>102</v>
      </c>
      <c r="F41" s="259" t="n">
        <v>3.43</v>
      </c>
      <c r="G41" s="98">
        <f>ROUND(F41*E41,2)</f>
        <v/>
      </c>
      <c r="H41" s="255">
        <f>G41/$G$66</f>
        <v/>
      </c>
      <c r="I41" s="98">
        <f>ROUND(F41*Прил.10!$D$12,2)</f>
        <v/>
      </c>
      <c r="J41" s="98">
        <f>ROUND(I41*E41,2)</f>
        <v/>
      </c>
    </row>
    <row r="42" hidden="1" outlineLevel="1" ht="25.5" customFormat="1" customHeight="1" s="181">
      <c r="A42" s="240" t="n">
        <v>11</v>
      </c>
      <c r="B42" s="91" t="inlineStr">
        <is>
          <t>07.2.07.04-0007</t>
        </is>
      </c>
      <c r="C42" s="245" t="inlineStr">
        <is>
          <t>Конструкции стальные индивидуальные решетчатые сварные, масса до 0,1 т</t>
        </is>
      </c>
      <c r="D42" s="240" t="inlineStr">
        <is>
          <t>т</t>
        </is>
      </c>
      <c r="E42" s="275" t="n">
        <v>0.03</v>
      </c>
      <c r="F42" s="259" t="n">
        <v>11500</v>
      </c>
      <c r="G42" s="98">
        <f>ROUND(F42*E42,2)</f>
        <v/>
      </c>
      <c r="H42" s="255">
        <f>G42/$G$66</f>
        <v/>
      </c>
      <c r="I42" s="98">
        <f>ROUND(F42*Прил.10!$D$12,2)</f>
        <v/>
      </c>
      <c r="J42" s="98">
        <f>ROUND(I42*E42,2)</f>
        <v/>
      </c>
    </row>
    <row r="43" hidden="1" outlineLevel="1" ht="25.5" customFormat="1" customHeight="1" s="181">
      <c r="A43" s="240" t="n">
        <v>12</v>
      </c>
      <c r="B43" s="91" t="inlineStr">
        <is>
          <t>21.1.04.01-1006</t>
        </is>
      </c>
      <c r="C43" s="245" t="inlineStr">
        <is>
          <t>Кабель витая пара, категория 5e, ЭКС-ГВПВЭ 4х2х0,51</t>
        </is>
      </c>
      <c r="D43" s="240" t="inlineStr">
        <is>
          <t>1000 м</t>
        </is>
      </c>
      <c r="E43" s="275" t="n">
        <v>0.1</v>
      </c>
      <c r="F43" s="259" t="n">
        <v>2719.53</v>
      </c>
      <c r="G43" s="98">
        <f>ROUND(F43*E43,2)</f>
        <v/>
      </c>
      <c r="H43" s="255">
        <f>G43/$G$66</f>
        <v/>
      </c>
      <c r="I43" s="98">
        <f>ROUND(F43*Прил.10!$D$12,2)</f>
        <v/>
      </c>
      <c r="J43" s="98">
        <f>ROUND(I43*E43,2)</f>
        <v/>
      </c>
    </row>
    <row r="44" hidden="1" outlineLevel="1" ht="25.5" customFormat="1" customHeight="1" s="181">
      <c r="A44" s="240" t="n">
        <v>13</v>
      </c>
      <c r="B44" s="91" t="inlineStr">
        <is>
          <t>10.3.02.03-0011</t>
        </is>
      </c>
      <c r="C44" s="245" t="inlineStr">
        <is>
          <t>Припои оловянно-свинцовые бессурьмянистые, марка ПОС30</t>
        </is>
      </c>
      <c r="D44" s="240" t="inlineStr">
        <is>
          <t>т</t>
        </is>
      </c>
      <c r="E44" s="275" t="n">
        <v>0.003604</v>
      </c>
      <c r="F44" s="259" t="n">
        <v>68050</v>
      </c>
      <c r="G44" s="98">
        <f>ROUND(F44*E44,2)</f>
        <v/>
      </c>
      <c r="H44" s="255">
        <f>G44/$G$66</f>
        <v/>
      </c>
      <c r="I44" s="98">
        <f>ROUND(F44*Прил.10!$D$12,2)</f>
        <v/>
      </c>
      <c r="J44" s="98">
        <f>ROUND(I44*E44,2)</f>
        <v/>
      </c>
    </row>
    <row r="45" hidden="1" outlineLevel="1" ht="14.25" customFormat="1" customHeight="1" s="181">
      <c r="A45" s="240" t="n">
        <v>14</v>
      </c>
      <c r="B45" s="91" t="inlineStr">
        <is>
          <t>20.1.02.06-0001</t>
        </is>
      </c>
      <c r="C45" s="245" t="inlineStr">
        <is>
          <t>Жир паяльный</t>
        </is>
      </c>
      <c r="D45" s="240" t="inlineStr">
        <is>
          <t>кг</t>
        </is>
      </c>
      <c r="E45" s="275" t="n">
        <v>0.36</v>
      </c>
      <c r="F45" s="259" t="n">
        <v>100.8</v>
      </c>
      <c r="G45" s="98">
        <f>ROUND(F45*E45,2)</f>
        <v/>
      </c>
      <c r="H45" s="255">
        <f>G45/$G$66</f>
        <v/>
      </c>
      <c r="I45" s="98">
        <f>ROUND(F45*Прил.10!$D$12,2)</f>
        <v/>
      </c>
      <c r="J45" s="98">
        <f>ROUND(I45*E45,2)</f>
        <v/>
      </c>
    </row>
    <row r="46" hidden="1" outlineLevel="1" ht="14.25" customFormat="1" customHeight="1" s="181">
      <c r="A46" s="240" t="n">
        <v>15</v>
      </c>
      <c r="B46" s="91" t="inlineStr">
        <is>
          <t>14.4.03.03-0002</t>
        </is>
      </c>
      <c r="C46" s="245" t="inlineStr">
        <is>
          <t>Лак битумный БТ-123</t>
        </is>
      </c>
      <c r="D46" s="240" t="inlineStr">
        <is>
          <t>т</t>
        </is>
      </c>
      <c r="E46" s="275" t="n">
        <v>0.004044</v>
      </c>
      <c r="F46" s="259" t="n">
        <v>7826.9</v>
      </c>
      <c r="G46" s="98">
        <f>ROUND(F46*E46,2)</f>
        <v/>
      </c>
      <c r="H46" s="255">
        <f>G46/$G$66</f>
        <v/>
      </c>
      <c r="I46" s="98">
        <f>ROUND(F46*Прил.10!$D$12,2)</f>
        <v/>
      </c>
      <c r="J46" s="98">
        <f>ROUND(I46*E46,2)</f>
        <v/>
      </c>
    </row>
    <row r="47" hidden="1" outlineLevel="1" ht="14.25" customFormat="1" customHeight="1" s="181">
      <c r="A47" s="240" t="n">
        <v>16</v>
      </c>
      <c r="B47" s="91" t="inlineStr">
        <is>
          <t>01.7.06.07-0002</t>
        </is>
      </c>
      <c r="C47" s="245" t="inlineStr">
        <is>
          <t>Лента монтажная, тип ЛМ-5</t>
        </is>
      </c>
      <c r="D47" s="240" t="inlineStr">
        <is>
          <t>10 м</t>
        </is>
      </c>
      <c r="E47" s="275" t="n">
        <v>3.819</v>
      </c>
      <c r="F47" s="259" t="n">
        <v>6.9</v>
      </c>
      <c r="G47" s="98">
        <f>ROUND(F47*E47,2)</f>
        <v/>
      </c>
      <c r="H47" s="255">
        <f>G47/$G$66</f>
        <v/>
      </c>
      <c r="I47" s="98">
        <f>ROUND(F47*Прил.10!$D$12,2)</f>
        <v/>
      </c>
      <c r="J47" s="98">
        <f>ROUND(I47*E47,2)</f>
        <v/>
      </c>
    </row>
    <row r="48" hidden="1" outlineLevel="1" ht="14.25" customFormat="1" customHeight="1" s="181">
      <c r="A48" s="240" t="n">
        <v>17</v>
      </c>
      <c r="B48" s="91" t="inlineStr">
        <is>
          <t>25.2.01.01-0017</t>
        </is>
      </c>
      <c r="C48" s="245" t="inlineStr">
        <is>
          <t>Бирки маркировочные пластмассовые</t>
        </is>
      </c>
      <c r="D48" s="240" t="inlineStr">
        <is>
          <t>100 шт</t>
        </is>
      </c>
      <c r="E48" s="275" t="n">
        <v>0.74</v>
      </c>
      <c r="F48" s="259" t="n">
        <v>30.74</v>
      </c>
      <c r="G48" s="98">
        <f>ROUND(F48*E48,2)</f>
        <v/>
      </c>
      <c r="H48" s="255">
        <f>G48/$G$66</f>
        <v/>
      </c>
      <c r="I48" s="98">
        <f>ROUND(F48*Прил.10!$D$12,2)</f>
        <v/>
      </c>
      <c r="J48" s="98">
        <f>ROUND(I48*E48,2)</f>
        <v/>
      </c>
    </row>
    <row r="49" hidden="1" outlineLevel="1" ht="25.5" customFormat="1" customHeight="1" s="181">
      <c r="A49" s="240" t="n">
        <v>18</v>
      </c>
      <c r="B49" s="91" t="inlineStr">
        <is>
          <t>999-9950</t>
        </is>
      </c>
      <c r="C49" s="245" t="inlineStr">
        <is>
          <t>Вспомогательные ненормируемые ресурсы (2% от Оплаты труда рабочих)</t>
        </is>
      </c>
      <c r="D49" s="240" t="inlineStr">
        <is>
          <t>руб</t>
        </is>
      </c>
      <c r="E49" s="275" t="n">
        <v>19.3854</v>
      </c>
      <c r="F49" s="259" t="n">
        <v>1</v>
      </c>
      <c r="G49" s="98">
        <f>ROUND(F49*E49,2)</f>
        <v/>
      </c>
      <c r="H49" s="255">
        <f>G49/$G$66</f>
        <v/>
      </c>
      <c r="I49" s="98">
        <f>ROUND(F49*Прил.10!$D$12,2)</f>
        <v/>
      </c>
      <c r="J49" s="98">
        <f>ROUND(I49*E49,2)</f>
        <v/>
      </c>
    </row>
    <row r="50" hidden="1" outlineLevel="1" ht="38.25" customFormat="1" customHeight="1" s="181">
      <c r="A50" s="240" t="n">
        <v>19</v>
      </c>
      <c r="B50" s="91" t="inlineStr">
        <is>
          <t>01.7.06.05-0041</t>
        </is>
      </c>
      <c r="C50" s="245" t="inlineStr">
        <is>
          <t>Лента изоляционная прорезиненная односторонняя, ширина 20 мм, толщина 0,25-0,35 мм</t>
        </is>
      </c>
      <c r="D50" s="240" t="inlineStr">
        <is>
          <t>кг</t>
        </is>
      </c>
      <c r="E50" s="275" t="n">
        <v>0.5</v>
      </c>
      <c r="F50" s="259" t="n">
        <v>30.4</v>
      </c>
      <c r="G50" s="98">
        <f>ROUND(F50*E50,2)</f>
        <v/>
      </c>
      <c r="H50" s="255">
        <f>G50/$G$66</f>
        <v/>
      </c>
      <c r="I50" s="98">
        <f>ROUND(F50*Прил.10!$D$12,2)</f>
        <v/>
      </c>
      <c r="J50" s="98">
        <f>ROUND(I50*E50,2)</f>
        <v/>
      </c>
    </row>
    <row r="51" hidden="1" outlineLevel="1" ht="14.25" customFormat="1" customHeight="1" s="181">
      <c r="A51" s="240" t="n">
        <v>20</v>
      </c>
      <c r="B51" s="91" t="inlineStr">
        <is>
          <t>01.7.15.07-0152</t>
        </is>
      </c>
      <c r="C51" s="245" t="inlineStr">
        <is>
          <t>Дюбели с шурупом, размер 6х35 мм</t>
        </is>
      </c>
      <c r="D51" s="240" t="inlineStr">
        <is>
          <t>100 шт</t>
        </is>
      </c>
      <c r="E51" s="275" t="n">
        <v>1.75</v>
      </c>
      <c r="F51" s="259" t="n">
        <v>8</v>
      </c>
      <c r="G51" s="98">
        <f>ROUND(F51*E51,2)</f>
        <v/>
      </c>
      <c r="H51" s="255">
        <f>G51/$G$66</f>
        <v/>
      </c>
      <c r="I51" s="98">
        <f>ROUND(F51*Прил.10!$D$12,2)</f>
        <v/>
      </c>
      <c r="J51" s="98">
        <f>ROUND(I51*E51,2)</f>
        <v/>
      </c>
    </row>
    <row r="52" hidden="1" outlineLevel="1" ht="14.25" customFormat="1" customHeight="1" s="181">
      <c r="A52" s="240" t="n">
        <v>21</v>
      </c>
      <c r="B52" s="91" t="inlineStr">
        <is>
          <t>01.7.15.14-0165</t>
        </is>
      </c>
      <c r="C52" s="245" t="inlineStr">
        <is>
          <t>Шурупы с полукруглой головкой 4х40 мм</t>
        </is>
      </c>
      <c r="D52" s="240" t="inlineStr">
        <is>
          <t>т</t>
        </is>
      </c>
      <c r="E52" s="275" t="n">
        <v>0.000594</v>
      </c>
      <c r="F52" s="259" t="n">
        <v>12430</v>
      </c>
      <c r="G52" s="98">
        <f>ROUND(F52*E52,2)</f>
        <v/>
      </c>
      <c r="H52" s="255">
        <f>G52/$G$66</f>
        <v/>
      </c>
      <c r="I52" s="98">
        <f>ROUND(F52*Прил.10!$D$12,2)</f>
        <v/>
      </c>
      <c r="J52" s="98">
        <f>ROUND(I52*E52,2)</f>
        <v/>
      </c>
    </row>
    <row r="53" hidden="1" outlineLevel="1" ht="14.25" customFormat="1" customHeight="1" s="181">
      <c r="A53" s="240" t="n">
        <v>22</v>
      </c>
      <c r="B53" s="91" t="inlineStr">
        <is>
          <t>20.2.01.05-0005</t>
        </is>
      </c>
      <c r="C53" s="245" t="inlineStr">
        <is>
          <t>Гильзы кабельные медные ГМ 16</t>
        </is>
      </c>
      <c r="D53" s="240" t="inlineStr">
        <is>
          <t>100 шт</t>
        </is>
      </c>
      <c r="E53" s="275" t="n">
        <v>0.05</v>
      </c>
      <c r="F53" s="259" t="n">
        <v>143</v>
      </c>
      <c r="G53" s="98">
        <f>ROUND(F53*E53,2)</f>
        <v/>
      </c>
      <c r="H53" s="255">
        <f>G53/$G$66</f>
        <v/>
      </c>
      <c r="I53" s="98">
        <f>ROUND(F53*Прил.10!$D$12,2)</f>
        <v/>
      </c>
      <c r="J53" s="98">
        <f>ROUND(I53*E53,2)</f>
        <v/>
      </c>
    </row>
    <row r="54" hidden="1" outlineLevel="1" ht="25.5" customFormat="1" customHeight="1" s="181">
      <c r="A54" s="240" t="n">
        <v>23</v>
      </c>
      <c r="B54" s="91" t="inlineStr">
        <is>
          <t>10.3.02.03-0013</t>
        </is>
      </c>
      <c r="C54" s="245" t="inlineStr">
        <is>
          <t>Припои оловянно-свинцовые бессурьмянистые, марка ПОС61</t>
        </is>
      </c>
      <c r="D54" s="240" t="inlineStr">
        <is>
          <t>т</t>
        </is>
      </c>
      <c r="E54" s="275" t="n">
        <v>5.92e-05</v>
      </c>
      <c r="F54" s="259" t="n">
        <v>114220</v>
      </c>
      <c r="G54" s="98">
        <f>ROUND(F54*E54,2)</f>
        <v/>
      </c>
      <c r="H54" s="255">
        <f>G54/$G$66</f>
        <v/>
      </c>
      <c r="I54" s="98">
        <f>ROUND(F54*Прил.10!$D$12,2)</f>
        <v/>
      </c>
      <c r="J54" s="98">
        <f>ROUND(I54*E54,2)</f>
        <v/>
      </c>
    </row>
    <row r="55" hidden="1" outlineLevel="1" ht="25.5" customFormat="1" customHeight="1" s="181">
      <c r="A55" s="240" t="n">
        <v>24</v>
      </c>
      <c r="B55" s="91" t="inlineStr">
        <is>
          <t>01.7.11.07-0034</t>
        </is>
      </c>
      <c r="C55" s="245" t="inlineStr">
        <is>
          <t>Электроды сварочные Э42А, диаметр 4 мм</t>
        </is>
      </c>
      <c r="D55" s="240" t="inlineStr">
        <is>
          <t>кг</t>
        </is>
      </c>
      <c r="E55" s="275" t="n">
        <v>0.3</v>
      </c>
      <c r="F55" s="259" t="n">
        <v>10.57</v>
      </c>
      <c r="G55" s="98">
        <f>ROUND(F55*E55,2)</f>
        <v/>
      </c>
      <c r="H55" s="255">
        <f>G55/$G$66</f>
        <v/>
      </c>
      <c r="I55" s="98">
        <f>ROUND(F55*Прил.10!$D$12,2)</f>
        <v/>
      </c>
      <c r="J55" s="98">
        <f>ROUND(I55*E55,2)</f>
        <v/>
      </c>
    </row>
    <row r="56" hidden="1" outlineLevel="1" ht="14.25" customFormat="1" customHeight="1" s="181">
      <c r="A56" s="240" t="n">
        <v>25</v>
      </c>
      <c r="B56" s="91" t="inlineStr">
        <is>
          <t>20.2.02.01-0013</t>
        </is>
      </c>
      <c r="C56" s="245" t="inlineStr">
        <is>
          <t>Втулки, диаметр 28 мм</t>
        </is>
      </c>
      <c r="D56" s="240" t="inlineStr">
        <is>
          <t>1000 шт</t>
        </is>
      </c>
      <c r="E56" s="275" t="n">
        <v>0.0122</v>
      </c>
      <c r="F56" s="259" t="n">
        <v>176.21</v>
      </c>
      <c r="G56" s="98">
        <f>ROUND(F56*E56,2)</f>
        <v/>
      </c>
      <c r="H56" s="255">
        <f>G56/$G$66</f>
        <v/>
      </c>
      <c r="I56" s="98">
        <f>ROUND(F56*Прил.10!$D$12,2)</f>
        <v/>
      </c>
      <c r="J56" s="98">
        <f>ROUND(I56*E56,2)</f>
        <v/>
      </c>
    </row>
    <row r="57" hidden="1" outlineLevel="1" ht="14.25" customFormat="1" customHeight="1" s="181">
      <c r="A57" s="240" t="n">
        <v>26</v>
      </c>
      <c r="B57" s="91" t="inlineStr">
        <is>
          <t>14.4.02.09-0001</t>
        </is>
      </c>
      <c r="C57" s="245" t="inlineStr">
        <is>
          <t>Краска</t>
        </is>
      </c>
      <c r="D57" s="240" t="inlineStr">
        <is>
          <t>кг</t>
        </is>
      </c>
      <c r="E57" s="275" t="n">
        <v>0.07000000000000001</v>
      </c>
      <c r="F57" s="259" t="n">
        <v>28.6</v>
      </c>
      <c r="G57" s="98">
        <f>ROUND(F57*E57,2)</f>
        <v/>
      </c>
      <c r="H57" s="255">
        <f>G57/$G$66</f>
        <v/>
      </c>
      <c r="I57" s="98">
        <f>ROUND(F57*Прил.10!$D$12,2)</f>
        <v/>
      </c>
      <c r="J57" s="98">
        <f>ROUND(I57*E57,2)</f>
        <v/>
      </c>
    </row>
    <row r="58" hidden="1" outlineLevel="1" ht="14.25" customFormat="1" customHeight="1" s="181">
      <c r="A58" s="240" t="n">
        <v>27</v>
      </c>
      <c r="B58" s="91" t="inlineStr">
        <is>
          <t>01.7.07.20-0002</t>
        </is>
      </c>
      <c r="C58" s="245" t="inlineStr">
        <is>
          <t>Тальк молотый, сорт I</t>
        </is>
      </c>
      <c r="D58" s="240" t="inlineStr">
        <is>
          <t>т</t>
        </is>
      </c>
      <c r="E58" s="275" t="n">
        <v>0.00105</v>
      </c>
      <c r="F58" s="259" t="n">
        <v>1820</v>
      </c>
      <c r="G58" s="98">
        <f>ROUND(F58*E58,2)</f>
        <v/>
      </c>
      <c r="H58" s="255">
        <f>G58/$G$66</f>
        <v/>
      </c>
      <c r="I58" s="98">
        <f>ROUND(F58*Прил.10!$D$12,2)</f>
        <v/>
      </c>
      <c r="J58" s="98">
        <f>ROUND(I58*E58,2)</f>
        <v/>
      </c>
    </row>
    <row r="59" hidden="1" outlineLevel="1" ht="14.25" customFormat="1" customHeight="1" s="181">
      <c r="A59" s="240" t="n">
        <v>28</v>
      </c>
      <c r="B59" s="91" t="inlineStr">
        <is>
          <t>01.3.01.05-0009</t>
        </is>
      </c>
      <c r="C59" s="245" t="inlineStr">
        <is>
          <t>Парафин нефтяной твердый Т-1</t>
        </is>
      </c>
      <c r="D59" s="240" t="inlineStr">
        <is>
          <t>т</t>
        </is>
      </c>
      <c r="E59" s="275" t="n">
        <v>0.00018</v>
      </c>
      <c r="F59" s="259" t="n">
        <v>8105.71</v>
      </c>
      <c r="G59" s="98">
        <f>ROUND(F59*E59,2)</f>
        <v/>
      </c>
      <c r="H59" s="255">
        <f>G59/$G$66</f>
        <v/>
      </c>
      <c r="I59" s="98">
        <f>ROUND(F59*Прил.10!$D$12,2)</f>
        <v/>
      </c>
      <c r="J59" s="98">
        <f>ROUND(I59*E59,2)</f>
        <v/>
      </c>
    </row>
    <row r="60" hidden="1" outlineLevel="1" ht="14.25" customFormat="1" customHeight="1" s="181">
      <c r="A60" s="240" t="n">
        <v>29</v>
      </c>
      <c r="B60" s="91" t="inlineStr">
        <is>
          <t>24.3.01.01-0002</t>
        </is>
      </c>
      <c r="C60" s="245" t="inlineStr">
        <is>
          <t>Трубка полихлорвиниловая</t>
        </is>
      </c>
      <c r="D60" s="240" t="inlineStr">
        <is>
          <t>кг</t>
        </is>
      </c>
      <c r="E60" s="275" t="n">
        <v>0.0296</v>
      </c>
      <c r="F60" s="259" t="n">
        <v>35.7</v>
      </c>
      <c r="G60" s="98">
        <f>ROUND(F60*E60,2)</f>
        <v/>
      </c>
      <c r="H60" s="255">
        <f>G60/$G$66</f>
        <v/>
      </c>
      <c r="I60" s="98">
        <f>ROUND(F60*Прил.10!$D$12,2)</f>
        <v/>
      </c>
      <c r="J60" s="98">
        <f>ROUND(I60*E60,2)</f>
        <v/>
      </c>
    </row>
    <row r="61" hidden="1" outlineLevel="1" ht="25.5" customFormat="1" customHeight="1" s="181">
      <c r="A61" s="240" t="n">
        <v>30</v>
      </c>
      <c r="B61" s="91" t="inlineStr">
        <is>
          <t>01.3.01.07-0009</t>
        </is>
      </c>
      <c r="C61" s="245" t="inlineStr">
        <is>
          <t>Спирт этиловый ректификованный технический, сорт I</t>
        </is>
      </c>
      <c r="D61" s="240" t="inlineStr">
        <is>
          <t>кг</t>
        </is>
      </c>
      <c r="E61" s="275" t="n">
        <v>0.02146</v>
      </c>
      <c r="F61" s="259" t="n">
        <v>38.89</v>
      </c>
      <c r="G61" s="98">
        <f>ROUND(F61*E61,2)</f>
        <v/>
      </c>
      <c r="H61" s="255">
        <f>G61/$G$66</f>
        <v/>
      </c>
      <c r="I61" s="98">
        <f>ROUND(F61*Прил.10!$D$12,2)</f>
        <v/>
      </c>
      <c r="J61" s="98">
        <f>ROUND(I61*E61,2)</f>
        <v/>
      </c>
    </row>
    <row r="62" hidden="1" outlineLevel="1" ht="14.25" customFormat="1" customHeight="1" s="181">
      <c r="A62" s="240" t="n">
        <v>31</v>
      </c>
      <c r="B62" s="91" t="inlineStr">
        <is>
          <t>01.7.15.03-0042</t>
        </is>
      </c>
      <c r="C62" s="245" t="inlineStr">
        <is>
          <t>Болты с гайками и шайбами строительные</t>
        </is>
      </c>
      <c r="D62" s="240" t="inlineStr">
        <is>
          <t>кг</t>
        </is>
      </c>
      <c r="E62" s="275" t="n">
        <v>0.06</v>
      </c>
      <c r="F62" s="259" t="n">
        <v>9.039999999999999</v>
      </c>
      <c r="G62" s="98">
        <f>ROUND(F62*E62,2)</f>
        <v/>
      </c>
      <c r="H62" s="255">
        <f>G62/$G$66</f>
        <v/>
      </c>
      <c r="I62" s="98">
        <f>ROUND(F62*Прил.10!$D$12,2)</f>
        <v/>
      </c>
      <c r="J62" s="98">
        <f>ROUND(I62*E62,2)</f>
        <v/>
      </c>
    </row>
    <row r="63" hidden="1" outlineLevel="1" ht="14.25" customFormat="1" customHeight="1" s="181">
      <c r="A63" s="240" t="n">
        <v>32</v>
      </c>
      <c r="B63" s="91" t="inlineStr">
        <is>
          <t>01.3.05.17-0002</t>
        </is>
      </c>
      <c r="C63" s="245" t="inlineStr">
        <is>
          <t>Канифоль сосновая</t>
        </is>
      </c>
      <c r="D63" s="240" t="inlineStr">
        <is>
          <t>кг</t>
        </is>
      </c>
      <c r="E63" s="275" t="n">
        <v>0.01406</v>
      </c>
      <c r="F63" s="259" t="n">
        <v>27.74</v>
      </c>
      <c r="G63" s="98">
        <f>ROUND(F63*E63,2)</f>
        <v/>
      </c>
      <c r="H63" s="255">
        <f>G63/$G$66</f>
        <v/>
      </c>
      <c r="I63" s="98">
        <f>ROUND(F63*Прил.10!$D$12,2)</f>
        <v/>
      </c>
      <c r="J63" s="98">
        <f>ROUND(I63*E63,2)</f>
        <v/>
      </c>
    </row>
    <row r="64" hidden="1" outlineLevel="1" ht="14.25" customFormat="1" customHeight="1" s="181">
      <c r="A64" s="240" t="n">
        <v>33</v>
      </c>
      <c r="B64" s="91" t="inlineStr">
        <is>
          <t>01.3.05.11-0001</t>
        </is>
      </c>
      <c r="C64" s="245" t="inlineStr">
        <is>
          <t>Дихлорэтан технический, сорт I</t>
        </is>
      </c>
      <c r="D64" s="240" t="inlineStr">
        <is>
          <t>т</t>
        </is>
      </c>
      <c r="E64" s="275" t="n">
        <v>1.48e-05</v>
      </c>
      <c r="F64" s="259" t="n">
        <v>4934.48</v>
      </c>
      <c r="G64" s="98">
        <f>ROUND(F64*E64,2)</f>
        <v/>
      </c>
      <c r="H64" s="255">
        <f>G64/$G$66</f>
        <v/>
      </c>
      <c r="I64" s="98">
        <f>ROUND(F64*Прил.10!$D$12,2)</f>
        <v/>
      </c>
      <c r="J64" s="98">
        <f>ROUND(I64*E64,2)</f>
        <v/>
      </c>
    </row>
    <row r="65" collapsed="1" customFormat="1" s="181">
      <c r="A65" s="240" t="n"/>
      <c r="B65" s="240" t="n"/>
      <c r="C65" s="245" t="inlineStr">
        <is>
          <t>Итого прочие материалы</t>
        </is>
      </c>
      <c r="D65" s="240" t="n"/>
      <c r="E65" s="246" t="n"/>
      <c r="F65" s="247" t="n"/>
      <c r="G65" s="98">
        <f>SUM(G41:G64)</f>
        <v/>
      </c>
      <c r="H65" s="255">
        <f>G65/G66</f>
        <v/>
      </c>
      <c r="I65" s="98" t="n"/>
      <c r="J65" s="98">
        <f>SUM(J41:J64)</f>
        <v/>
      </c>
      <c r="L65" s="280" t="n"/>
    </row>
    <row r="66" ht="14.25" customFormat="1" customHeight="1" s="181">
      <c r="A66" s="240" t="n"/>
      <c r="B66" s="240" t="n"/>
      <c r="C66" s="254" t="inlineStr">
        <is>
          <t>Итого по разделу «Материалы»</t>
        </is>
      </c>
      <c r="D66" s="240" t="n"/>
      <c r="E66" s="246" t="n"/>
      <c r="F66" s="247" t="n"/>
      <c r="G66" s="98">
        <f>G40+G65</f>
        <v/>
      </c>
      <c r="H66" s="255" t="n">
        <v>1</v>
      </c>
      <c r="I66" s="247" t="n"/>
      <c r="J66" s="98">
        <f>J40+J65</f>
        <v/>
      </c>
      <c r="K66" s="277" t="n"/>
    </row>
    <row r="67" ht="14.25" customFormat="1" customHeight="1" s="181">
      <c r="A67" s="240" t="n"/>
      <c r="B67" s="240" t="n"/>
      <c r="C67" s="245" t="inlineStr">
        <is>
          <t>ИТОГО ПО РМ</t>
        </is>
      </c>
      <c r="D67" s="240" t="n"/>
      <c r="E67" s="246" t="n"/>
      <c r="F67" s="247" t="n"/>
      <c r="G67" s="98">
        <f>G14+G26+G66</f>
        <v/>
      </c>
      <c r="H67" s="255" t="n"/>
      <c r="I67" s="247" t="n"/>
      <c r="J67" s="98">
        <f>J14+J26+J66</f>
        <v/>
      </c>
    </row>
    <row r="68" ht="14.25" customFormat="1" customHeight="1" s="181">
      <c r="A68" s="240" t="n"/>
      <c r="B68" s="240" t="n"/>
      <c r="C68" s="245" t="inlineStr">
        <is>
          <t>Накладные расходы</t>
        </is>
      </c>
      <c r="D68" s="240" t="inlineStr">
        <is>
          <t>%</t>
        </is>
      </c>
      <c r="E68" s="67">
        <f>ROUND(G68/(G14+G16),2)</f>
        <v/>
      </c>
      <c r="F68" s="247" t="n"/>
      <c r="G68" s="98" t="n">
        <v>983.08</v>
      </c>
      <c r="H68" s="255" t="n"/>
      <c r="I68" s="247" t="n"/>
      <c r="J68" s="98">
        <f>ROUND(E68*(J14+J16),2)</f>
        <v/>
      </c>
      <c r="K68" s="68" t="n"/>
    </row>
    <row r="69" ht="14.25" customFormat="1" customHeight="1" s="181">
      <c r="A69" s="240" t="n"/>
      <c r="B69" s="240" t="n"/>
      <c r="C69" s="245" t="inlineStr">
        <is>
          <t>Сметная прибыль</t>
        </is>
      </c>
      <c r="D69" s="240" t="inlineStr">
        <is>
          <t>%</t>
        </is>
      </c>
      <c r="E69" s="67">
        <f>ROUND(G69/(G14+G16),2)</f>
        <v/>
      </c>
      <c r="F69" s="247" t="n"/>
      <c r="G69" s="98" t="n">
        <v>515.99</v>
      </c>
      <c r="H69" s="255" t="n"/>
      <c r="I69" s="247" t="n"/>
      <c r="J69" s="98">
        <f>ROUND(E69*(J14+J16),2)</f>
        <v/>
      </c>
      <c r="K69" s="68" t="n"/>
    </row>
    <row r="70" ht="14.25" customFormat="1" customHeight="1" s="181">
      <c r="A70" s="240" t="n"/>
      <c r="B70" s="240" t="n"/>
      <c r="C70" s="245" t="inlineStr">
        <is>
          <t>Итого СМР (с НР и СП)</t>
        </is>
      </c>
      <c r="D70" s="240" t="n"/>
      <c r="E70" s="246" t="n"/>
      <c r="F70" s="247" t="n"/>
      <c r="G70" s="98">
        <f>G14+G26+G66+G68+G69</f>
        <v/>
      </c>
      <c r="H70" s="255" t="n"/>
      <c r="I70" s="247" t="n"/>
      <c r="J70" s="98">
        <f>J14+J26+J66+J68+J69</f>
        <v/>
      </c>
      <c r="L70" s="69" t="n"/>
    </row>
    <row r="71" ht="14.25" customFormat="1" customHeight="1" s="181">
      <c r="A71" s="240" t="n"/>
      <c r="B71" s="240" t="n"/>
      <c r="C71" s="245" t="inlineStr">
        <is>
          <t>ВСЕГО СМР + ОБОРУДОВАНИЕ</t>
        </is>
      </c>
      <c r="D71" s="240" t="n"/>
      <c r="E71" s="246" t="n"/>
      <c r="F71" s="247" t="n"/>
      <c r="G71" s="98">
        <f>G70+G32</f>
        <v/>
      </c>
      <c r="H71" s="255" t="n"/>
      <c r="I71" s="247" t="n"/>
      <c r="J71" s="98">
        <f>J70+J32</f>
        <v/>
      </c>
      <c r="L71" s="68" t="n"/>
    </row>
    <row r="72" ht="14.25" customFormat="1" customHeight="1" s="181">
      <c r="A72" s="240" t="n"/>
      <c r="B72" s="240" t="n"/>
      <c r="C72" s="245" t="inlineStr">
        <is>
          <t>ИТОГО ПОКАЗАТЕЛЬ НА ЕД. ИЗМ.</t>
        </is>
      </c>
      <c r="D72" s="240" t="inlineStr">
        <is>
          <t>ед.</t>
        </is>
      </c>
      <c r="E72" s="134" t="n">
        <v>1</v>
      </c>
      <c r="F72" s="247" t="n"/>
      <c r="G72" s="98">
        <f>G71/E72</f>
        <v/>
      </c>
      <c r="H72" s="255" t="n"/>
      <c r="I72" s="247" t="n"/>
      <c r="J72" s="98">
        <f>J71/E72</f>
        <v/>
      </c>
      <c r="L72" s="274" t="n"/>
    </row>
    <row r="74" ht="14.25" customFormat="1" customHeight="1" s="181">
      <c r="A74" s="182" t="n"/>
    </row>
    <row r="75" ht="14.25" customFormat="1" customHeight="1" s="181">
      <c r="A75" s="180" t="inlineStr">
        <is>
          <t>Составил ______________________        Е.А. Князева</t>
        </is>
      </c>
      <c r="B75" s="181" t="n"/>
    </row>
    <row r="76" ht="14.25" customFormat="1" customHeight="1" s="181">
      <c r="A76" s="183" t="inlineStr">
        <is>
          <t xml:space="preserve">                         (подпись, инициалы, фамилия)</t>
        </is>
      </c>
      <c r="B76" s="181" t="n"/>
    </row>
    <row r="77" ht="14.25" customFormat="1" customHeight="1" s="181">
      <c r="A77" s="180" t="n"/>
      <c r="B77" s="181" t="n"/>
    </row>
    <row r="78" ht="14.25" customFormat="1" customHeight="1" s="181">
      <c r="A78" s="180" t="inlineStr">
        <is>
          <t>Проверил ______________________        А.В. Костянецкая</t>
        </is>
      </c>
      <c r="B78" s="181" t="n"/>
    </row>
    <row r="79" ht="14.25" customFormat="1" customHeight="1" s="181">
      <c r="A79" s="183" t="inlineStr">
        <is>
          <t xml:space="preserve">                        (подпись, инициалы, фамилия)</t>
        </is>
      </c>
      <c r="B79" s="181" t="n"/>
    </row>
  </sheetData>
  <mergeCells count="19">
    <mergeCell ref="H9:H10"/>
    <mergeCell ref="B15:H15"/>
    <mergeCell ref="C9:C10"/>
    <mergeCell ref="E9:E10"/>
    <mergeCell ref="B34:J34"/>
    <mergeCell ref="A7:H7"/>
    <mergeCell ref="B28:J28"/>
    <mergeCell ref="B35:H35"/>
    <mergeCell ref="B9:B10"/>
    <mergeCell ref="D9:D10"/>
    <mergeCell ref="B18:H18"/>
    <mergeCell ref="B12:H12"/>
    <mergeCell ref="D6:J6"/>
    <mergeCell ref="F9:G9"/>
    <mergeCell ref="A4:H4"/>
    <mergeCell ref="B17:H17"/>
    <mergeCell ref="A9:A10"/>
    <mergeCell ref="B27:J27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topLeftCell="A4" workbookViewId="0">
      <selection activeCell="B20" sqref="B20"/>
    </sheetView>
  </sheetViews>
  <sheetFormatPr baseColWidth="8" defaultRowHeight="15"/>
  <cols>
    <col width="5.7109375" customWidth="1" style="184" min="1" max="1"/>
    <col width="14.85546875" customWidth="1" style="184" min="2" max="2"/>
    <col width="39.140625" customWidth="1" style="184" min="3" max="3"/>
    <col width="8.28515625" customWidth="1" style="184" min="4" max="4"/>
    <col width="13.5703125" customWidth="1" style="184" min="5" max="5"/>
    <col width="12.42578125" customWidth="1" style="184" min="6" max="6"/>
    <col width="14.140625" customWidth="1" style="184" min="7" max="7"/>
  </cols>
  <sheetData>
    <row r="1">
      <c r="A1" s="260" t="inlineStr">
        <is>
          <t>Приложение №6</t>
        </is>
      </c>
    </row>
    <row r="2" s="184">
      <c r="A2" s="260" t="n"/>
      <c r="B2" s="260" t="n"/>
      <c r="C2" s="260" t="n"/>
      <c r="D2" s="260" t="n"/>
      <c r="E2" s="260" t="n"/>
      <c r="F2" s="260" t="n"/>
      <c r="G2" s="260" t="n"/>
    </row>
    <row r="3" s="184">
      <c r="A3" s="260" t="n"/>
      <c r="B3" s="260" t="n"/>
      <c r="C3" s="260" t="n"/>
      <c r="D3" s="260" t="n"/>
      <c r="E3" s="260" t="n"/>
      <c r="F3" s="260" t="n"/>
      <c r="G3" s="260" t="n"/>
    </row>
    <row r="4">
      <c r="A4" s="260" t="n"/>
      <c r="B4" s="260" t="n"/>
      <c r="C4" s="260" t="n"/>
      <c r="D4" s="260" t="n"/>
      <c r="E4" s="260" t="n"/>
      <c r="F4" s="260" t="n"/>
      <c r="G4" s="260" t="n"/>
    </row>
    <row r="5">
      <c r="A5" s="237" t="inlineStr">
        <is>
          <t>Расчет стоимости оборудования</t>
        </is>
      </c>
    </row>
    <row r="6" ht="64.5" customHeight="1" s="184">
      <c r="A6" s="262">
        <f>'Прил.1 Сравнит табл'!B7</f>
        <v/>
      </c>
    </row>
    <row r="7">
      <c r="A7" s="180" t="n"/>
      <c r="B7" s="180" t="n"/>
      <c r="C7" s="180" t="n"/>
      <c r="D7" s="180" t="n"/>
      <c r="E7" s="180" t="n"/>
      <c r="F7" s="180" t="n"/>
      <c r="G7" s="180" t="n"/>
    </row>
    <row r="8" ht="30" customHeight="1" s="184">
      <c r="A8" s="261" t="inlineStr">
        <is>
          <t>№ пп.</t>
        </is>
      </c>
      <c r="B8" s="261" t="inlineStr">
        <is>
          <t>Код ресурса</t>
        </is>
      </c>
      <c r="C8" s="261" t="inlineStr">
        <is>
          <t>Наименование</t>
        </is>
      </c>
      <c r="D8" s="261" t="inlineStr">
        <is>
          <t>Ед. изм.</t>
        </is>
      </c>
      <c r="E8" s="240" t="inlineStr">
        <is>
          <t>Кол-во единиц по проектным данным</t>
        </is>
      </c>
      <c r="F8" s="261" t="inlineStr">
        <is>
          <t>Сметная стоимость в ценах на 01.01.2000 (руб.)</t>
        </is>
      </c>
      <c r="G8" s="267" t="n"/>
    </row>
    <row r="9">
      <c r="A9" s="269" t="n"/>
      <c r="B9" s="269" t="n"/>
      <c r="C9" s="269" t="n"/>
      <c r="D9" s="269" t="n"/>
      <c r="E9" s="269" t="n"/>
      <c r="F9" s="240" t="inlineStr">
        <is>
          <t>на ед. изм.</t>
        </is>
      </c>
      <c r="G9" s="240" t="inlineStr">
        <is>
          <t>общая</t>
        </is>
      </c>
    </row>
    <row r="10">
      <c r="A10" s="240" t="n">
        <v>1</v>
      </c>
      <c r="B10" s="240" t="n">
        <v>2</v>
      </c>
      <c r="C10" s="240" t="n">
        <v>3</v>
      </c>
      <c r="D10" s="240" t="n">
        <v>4</v>
      </c>
      <c r="E10" s="240" t="n">
        <v>5</v>
      </c>
      <c r="F10" s="240" t="n">
        <v>6</v>
      </c>
      <c r="G10" s="240" t="n">
        <v>7</v>
      </c>
    </row>
    <row r="11" ht="15" customHeight="1" s="184">
      <c r="A11" s="31" t="n"/>
      <c r="B11" s="245" t="inlineStr">
        <is>
          <t>ИНЖЕНЕРНОЕ ОБОРУДОВАНИЕ</t>
        </is>
      </c>
      <c r="C11" s="266" t="n"/>
      <c r="D11" s="266" t="n"/>
      <c r="E11" s="266" t="n"/>
      <c r="F11" s="266" t="n"/>
      <c r="G11" s="267" t="n"/>
    </row>
    <row r="12" ht="27" customHeight="1" s="184">
      <c r="A12" s="240" t="n"/>
      <c r="B12" s="254" t="n"/>
      <c r="C12" s="245" t="inlineStr">
        <is>
          <t>ИТОГО ИНЖЕНЕРНОЕ ОБОРУДОВАНИЕ</t>
        </is>
      </c>
      <c r="D12" s="254" t="n"/>
      <c r="E12" s="9" t="n"/>
      <c r="F12" s="247" t="n"/>
      <c r="G12" s="247" t="n">
        <v>0</v>
      </c>
    </row>
    <row r="13">
      <c r="A13" s="240" t="n"/>
      <c r="B13" s="245" t="inlineStr">
        <is>
          <t>ТЕХНОЛОГИЧЕСКОЕ ОБОРУДОВАНИЕ</t>
        </is>
      </c>
      <c r="C13" s="266" t="n"/>
      <c r="D13" s="266" t="n"/>
      <c r="E13" s="266" t="n"/>
      <c r="F13" s="266" t="n"/>
      <c r="G13" s="267" t="n"/>
    </row>
    <row r="14" ht="30.75" customHeight="1" s="184">
      <c r="A14" s="240" t="n">
        <v>1</v>
      </c>
      <c r="B14" s="134">
        <f>'Прил.5 Расчет СМР и ОБ'!B29</f>
        <v/>
      </c>
      <c r="C14" s="135">
        <f>'Прил.5 Расчет СМР и ОБ'!C29</f>
        <v/>
      </c>
      <c r="D14" s="134">
        <f>'Прил.5 Расчет СМР и ОБ'!D29</f>
        <v/>
      </c>
      <c r="E14" s="134">
        <f>'Прил.5 Расчет СМР и ОБ'!E29</f>
        <v/>
      </c>
      <c r="F14" s="98">
        <f>'Прил.5 Расчет СМР и ОБ'!F29</f>
        <v/>
      </c>
      <c r="G14" s="98">
        <f>ROUND(E14*F14,2)</f>
        <v/>
      </c>
    </row>
    <row r="15" ht="25.5" customHeight="1" s="184">
      <c r="A15" s="240" t="n"/>
      <c r="B15" s="13" t="n"/>
      <c r="C15" s="13" t="inlineStr">
        <is>
          <t>ИТОГО ТЕХНОЛОГИЧЕСКОЕ ОБОРУДОВАНИЕ</t>
        </is>
      </c>
      <c r="D15" s="13" t="n"/>
      <c r="E15" s="14" t="n"/>
      <c r="F15" s="247" t="n"/>
      <c r="G15" s="98">
        <f>SUM(G14:G14)</f>
        <v/>
      </c>
    </row>
    <row r="16" ht="19.5" customHeight="1" s="184">
      <c r="A16" s="240" t="n"/>
      <c r="B16" s="245" t="n"/>
      <c r="C16" s="245" t="inlineStr">
        <is>
          <t>Всего по разделу «Оборудование»</t>
        </is>
      </c>
      <c r="D16" s="245" t="n"/>
      <c r="E16" s="259" t="n"/>
      <c r="F16" s="247" t="n"/>
      <c r="G16" s="98">
        <f>G12+G15</f>
        <v/>
      </c>
    </row>
    <row r="17">
      <c r="A17" s="182" t="n"/>
      <c r="B17" s="12" t="n"/>
      <c r="C17" s="182" t="n"/>
      <c r="D17" s="182" t="n"/>
      <c r="E17" s="182" t="n"/>
      <c r="F17" s="182" t="n"/>
      <c r="G17" s="182" t="n"/>
    </row>
    <row r="18" s="184">
      <c r="A18" s="180" t="inlineStr">
        <is>
          <t>Составил ______________________        Е.А. Князева</t>
        </is>
      </c>
      <c r="B18" s="181" t="n"/>
      <c r="C18" s="181" t="n"/>
      <c r="D18" s="182" t="n"/>
      <c r="E18" s="182" t="n"/>
      <c r="F18" s="182" t="n"/>
      <c r="G18" s="182" t="n"/>
    </row>
    <row r="19" s="184">
      <c r="A19" s="183" t="inlineStr">
        <is>
          <t xml:space="preserve">                         (подпись, инициалы, фамилия)</t>
        </is>
      </c>
      <c r="B19" s="181" t="n"/>
      <c r="C19" s="181" t="n"/>
      <c r="D19" s="182" t="n"/>
      <c r="E19" s="182" t="n"/>
      <c r="F19" s="182" t="n"/>
      <c r="G19" s="182" t="n"/>
    </row>
    <row r="20" s="184">
      <c r="A20" s="180" t="n"/>
      <c r="B20" s="181" t="n"/>
      <c r="C20" s="181" t="n"/>
      <c r="D20" s="182" t="n"/>
      <c r="E20" s="182" t="n"/>
      <c r="F20" s="182" t="n"/>
      <c r="G20" s="182" t="n"/>
    </row>
    <row r="21" s="184">
      <c r="A21" s="180" t="inlineStr">
        <is>
          <t>Проверил ______________________        А.В. Костянецкая</t>
        </is>
      </c>
      <c r="B21" s="181" t="n"/>
      <c r="C21" s="181" t="n"/>
      <c r="D21" s="182" t="n"/>
      <c r="E21" s="182" t="n"/>
      <c r="F21" s="182" t="n"/>
      <c r="G21" s="182" t="n"/>
    </row>
    <row r="22" s="184">
      <c r="A22" s="183" t="inlineStr">
        <is>
          <t xml:space="preserve">                        (подпись, инициалы, фамилия)</t>
        </is>
      </c>
      <c r="B22" s="181" t="n"/>
      <c r="C22" s="181" t="n"/>
      <c r="D22" s="182" t="n"/>
      <c r="E22" s="182" t="n"/>
      <c r="F22" s="182" t="n"/>
      <c r="G22" s="182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2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5" sqref="B15"/>
    </sheetView>
  </sheetViews>
  <sheetFormatPr baseColWidth="8" defaultRowHeight="15"/>
  <cols>
    <col width="12.7109375" customWidth="1" style="184" min="1" max="1"/>
    <col width="16.42578125" customWidth="1" style="184" min="2" max="2"/>
    <col width="24.42578125" customWidth="1" style="184" min="3" max="3"/>
    <col width="25.5703125" customWidth="1" style="184" min="4" max="4"/>
    <col width="9.140625" customWidth="1" style="184" min="5" max="5"/>
  </cols>
  <sheetData>
    <row r="1" ht="15.75" customHeight="1" s="184">
      <c r="A1" s="186" t="n"/>
      <c r="B1" s="186" t="n"/>
      <c r="C1" s="186" t="n"/>
      <c r="D1" s="186" t="inlineStr">
        <is>
          <t>Приложение №7</t>
        </is>
      </c>
    </row>
    <row r="2" ht="15.75" customHeight="1" s="184">
      <c r="A2" s="186" t="n"/>
      <c r="B2" s="186" t="n"/>
      <c r="C2" s="186" t="n"/>
      <c r="D2" s="186" t="n"/>
    </row>
    <row r="3" ht="15.75" customHeight="1" s="184">
      <c r="A3" s="186" t="n"/>
      <c r="B3" s="175" t="inlineStr">
        <is>
          <t>Расчет показателя УНЦ</t>
        </is>
      </c>
      <c r="C3" s="186" t="n"/>
      <c r="D3" s="186" t="n"/>
    </row>
    <row r="4" ht="15.75" customHeight="1" s="184">
      <c r="A4" s="186" t="n"/>
      <c r="B4" s="186" t="n"/>
      <c r="C4" s="186" t="n"/>
      <c r="D4" s="186" t="n"/>
    </row>
    <row r="5" ht="78.75" customHeight="1" s="184">
      <c r="A5" s="263" t="inlineStr">
        <is>
          <t xml:space="preserve">Наименование разрабатываемого показателя УНЦ - </t>
        </is>
      </c>
      <c r="D5" s="263">
        <f>'Прил.5 Расчет СМР и ОБ'!D6:J6</f>
        <v/>
      </c>
    </row>
    <row r="6" ht="15.75" customHeight="1" s="184">
      <c r="A6" s="186" t="inlineStr">
        <is>
          <t>Единица измерения  — 1 ед</t>
        </is>
      </c>
      <c r="B6" s="186" t="n"/>
      <c r="C6" s="186" t="n"/>
      <c r="D6" s="186" t="n"/>
    </row>
    <row r="7" ht="15.75" customHeight="1" s="184">
      <c r="A7" s="186" t="n"/>
      <c r="B7" s="186" t="n"/>
      <c r="C7" s="186" t="n"/>
      <c r="D7" s="186" t="n"/>
    </row>
    <row r="8">
      <c r="A8" s="236" t="inlineStr">
        <is>
          <t>Код показателя</t>
        </is>
      </c>
      <c r="B8" s="236" t="inlineStr">
        <is>
          <t>Наименование показателя</t>
        </is>
      </c>
      <c r="C8" s="236" t="inlineStr">
        <is>
          <t>Наименование РМ, входящих в состав показателя</t>
        </is>
      </c>
      <c r="D8" s="236" t="inlineStr">
        <is>
          <t>Норматив цены на 01.01.2023, тыс.руб.</t>
        </is>
      </c>
    </row>
    <row r="9">
      <c r="A9" s="269" t="n"/>
      <c r="B9" s="269" t="n"/>
      <c r="C9" s="269" t="n"/>
      <c r="D9" s="269" t="n"/>
    </row>
    <row r="10" ht="15.75" customHeight="1" s="184">
      <c r="A10" s="236" t="n">
        <v>1</v>
      </c>
      <c r="B10" s="236" t="n">
        <v>2</v>
      </c>
      <c r="C10" s="236" t="n">
        <v>3</v>
      </c>
      <c r="D10" s="236" t="n">
        <v>4</v>
      </c>
    </row>
    <row r="11" ht="47.25" customHeight="1" s="184">
      <c r="A11" s="236" t="inlineStr">
        <is>
          <t>И11-125</t>
        </is>
      </c>
      <c r="B11" s="236" t="inlineStr">
        <is>
          <t>УНЦ РЗА</t>
        </is>
      </c>
      <c r="C11" s="178">
        <f>D5</f>
        <v/>
      </c>
      <c r="D11" s="192">
        <f>'Прил.4 РМ'!C41/1000</f>
        <v/>
      </c>
    </row>
    <row r="13">
      <c r="A13" s="180" t="inlineStr">
        <is>
          <t>Составил ______________________      Е. А. Князева</t>
        </is>
      </c>
      <c r="B13" s="181" t="n"/>
      <c r="C13" s="181" t="n"/>
      <c r="D13" s="182" t="n"/>
    </row>
    <row r="14">
      <c r="A14" s="183" t="inlineStr">
        <is>
          <t xml:space="preserve">                         (подпись, инициалы, фамилия)</t>
        </is>
      </c>
      <c r="B14" s="181" t="n"/>
      <c r="C14" s="181" t="n"/>
      <c r="D14" s="182" t="n"/>
    </row>
    <row r="15">
      <c r="A15" s="180" t="n"/>
      <c r="B15" s="181" t="n"/>
      <c r="C15" s="181" t="n"/>
      <c r="D15" s="182" t="n"/>
    </row>
    <row r="16">
      <c r="A16" s="180" t="inlineStr">
        <is>
          <t>Проверил ______________________        А.В. Костянецкая</t>
        </is>
      </c>
      <c r="B16" s="181" t="n"/>
      <c r="C16" s="181" t="n"/>
      <c r="D16" s="182" t="n"/>
    </row>
    <row r="17">
      <c r="A17" s="183" t="inlineStr">
        <is>
          <t xml:space="preserve">                        (подпись, инициалы, фамилия)</t>
        </is>
      </c>
      <c r="B17" s="181" t="n"/>
      <c r="C17" s="181" t="n"/>
      <c r="D17" s="182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7" zoomScale="60" zoomScaleNormal="100" workbookViewId="0">
      <selection activeCell="C21" sqref="C21"/>
    </sheetView>
  </sheetViews>
  <sheetFormatPr baseColWidth="8" defaultRowHeight="15"/>
  <cols>
    <col width="40.7109375" customWidth="1" style="184" min="2" max="2"/>
    <col width="37" customWidth="1" style="184" min="3" max="3"/>
    <col width="32" customWidth="1" style="184" min="4" max="4"/>
  </cols>
  <sheetData>
    <row r="4" ht="15.75" customHeight="1" s="184">
      <c r="B4" s="224" t="inlineStr">
        <is>
          <t>Приложение № 10</t>
        </is>
      </c>
    </row>
    <row r="5" ht="18.75" customHeight="1" s="184">
      <c r="B5" s="22" t="n"/>
    </row>
    <row r="6" ht="15.75" customHeight="1" s="184">
      <c r="B6" s="225" t="inlineStr">
        <is>
          <t>Используемые индексы изменений сметной стоимости и нормы сопутствующих затрат</t>
        </is>
      </c>
    </row>
    <row r="7">
      <c r="B7" s="264" t="n"/>
    </row>
    <row r="8" ht="47.25" customHeight="1" s="184">
      <c r="B8" s="236" t="inlineStr">
        <is>
          <t>Наименование индекса / норм сопутствующих затрат</t>
        </is>
      </c>
      <c r="C8" s="236" t="inlineStr">
        <is>
          <t>Дата применения и обоснование индекса / норм сопутствующих затрат</t>
        </is>
      </c>
      <c r="D8" s="236" t="inlineStr">
        <is>
          <t>Размер индекса / норма сопутствующих затрат</t>
        </is>
      </c>
    </row>
    <row r="9" ht="15.75" customHeight="1" s="184">
      <c r="B9" s="236" t="n">
        <v>1</v>
      </c>
      <c r="C9" s="236" t="n">
        <v>2</v>
      </c>
      <c r="D9" s="236" t="n">
        <v>3</v>
      </c>
    </row>
    <row r="10" ht="31.5" customHeight="1" s="184">
      <c r="B10" s="236" t="inlineStr">
        <is>
          <t xml:space="preserve">Индекс изменения сметной стоимости на 1 квартал 2023 года. ОЗП </t>
        </is>
      </c>
      <c r="C10" s="236" t="inlineStr">
        <is>
          <t>Письмо Минстроя России от 30.03.2023г. №17106-ИФ/09  прил.1</t>
        </is>
      </c>
      <c r="D10" s="236" t="n">
        <v>44.29</v>
      </c>
    </row>
    <row r="11" ht="31.5" customHeight="1" s="184">
      <c r="B11" s="236" t="inlineStr">
        <is>
          <t>Индекс изменения сметной стоимости на 1 квартал 2023 года. ЭМ</t>
        </is>
      </c>
      <c r="C11" s="236" t="inlineStr">
        <is>
          <t>Письмо Минстроя России от 30.03.2023г. №17106-ИФ/09  прил.1</t>
        </is>
      </c>
      <c r="D11" s="236" t="n">
        <v>13.47</v>
      </c>
    </row>
    <row r="12" ht="31.5" customHeight="1" s="184">
      <c r="B12" s="236" t="inlineStr">
        <is>
          <t>Индекс изменения сметной стоимости на 1 квартал 2023 года. МАТ</t>
        </is>
      </c>
      <c r="C12" s="236" t="inlineStr">
        <is>
          <t>Письмо Минстроя России от 30.03.2023г. №17106-ИФ/09  прил.1</t>
        </is>
      </c>
      <c r="D12" s="236" t="n">
        <v>8.039999999999999</v>
      </c>
    </row>
    <row r="13" ht="31.5" customHeight="1" s="184">
      <c r="B13" s="236" t="inlineStr">
        <is>
          <t>Индекс изменения сметной стоимости на 1 квартал 2023 года. ОБ</t>
        </is>
      </c>
      <c r="C13" s="108" t="inlineStr">
        <is>
          <t>Письмо Минстроя России от 23.02.2023г. №9791-ИФ/09 прил.6</t>
        </is>
      </c>
      <c r="D13" s="236" t="n">
        <v>6.26</v>
      </c>
    </row>
    <row r="14" ht="78.75" customHeight="1" s="184">
      <c r="B14" s="236" t="inlineStr">
        <is>
          <t>Временные здания и сооружения</t>
        </is>
      </c>
      <c r="C14" s="236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9" t="n">
        <v>0.039</v>
      </c>
    </row>
    <row r="15" ht="78.75" customHeight="1" s="184">
      <c r="B15" s="236" t="inlineStr">
        <is>
          <t>Дополнительные затраты при производстве строительно-монтажных работ в зимнее время</t>
        </is>
      </c>
      <c r="C15" s="236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9" t="n">
        <v>0.021</v>
      </c>
    </row>
    <row r="16" ht="15.75" customHeight="1" s="184">
      <c r="B16" s="236" t="n"/>
      <c r="C16" s="236" t="n"/>
      <c r="D16" s="29" t="n"/>
    </row>
    <row r="17" ht="31.5" customHeight="1" s="184">
      <c r="B17" s="236" t="inlineStr">
        <is>
          <t>Строительный контроль</t>
        </is>
      </c>
      <c r="C17" s="236" t="inlineStr">
        <is>
          <t>Постановление Правительства РФ от 21.06.10 г. № 468</t>
        </is>
      </c>
      <c r="D17" s="29" t="n">
        <v>0.0214</v>
      </c>
    </row>
    <row r="18" ht="31.5" customHeight="1" s="184">
      <c r="B18" s="236" t="inlineStr">
        <is>
          <t>Авторский надзор - 0,2%</t>
        </is>
      </c>
      <c r="C18" s="236" t="inlineStr">
        <is>
          <t>Приказ от 4.08.2020 № 421/пр п.173</t>
        </is>
      </c>
      <c r="D18" s="29" t="n">
        <v>0.002</v>
      </c>
    </row>
    <row r="19" ht="24" customHeight="1" s="184">
      <c r="B19" s="236" t="inlineStr">
        <is>
          <t>Непредвиденные расходы</t>
        </is>
      </c>
      <c r="C19" s="236" t="inlineStr">
        <is>
          <t>Приказ от 4.08.2020 № 421/пр п.179</t>
        </is>
      </c>
      <c r="D19" s="29" t="n">
        <v>0.03</v>
      </c>
    </row>
    <row r="20" ht="18.75" customHeight="1" s="184">
      <c r="B20" s="23" t="n"/>
    </row>
    <row r="21" ht="18.75" customHeight="1" s="184">
      <c r="B21" s="23" t="n"/>
    </row>
    <row r="22" ht="18.75" customHeight="1" s="184">
      <c r="B22" s="23" t="n"/>
    </row>
    <row r="23" ht="18.75" customHeight="1" s="184">
      <c r="B23" s="23" t="n"/>
    </row>
    <row r="26">
      <c r="B26" s="180" t="inlineStr">
        <is>
          <t>Составил ______________________        Е.А. Князева</t>
        </is>
      </c>
      <c r="C26" s="181" t="n"/>
    </row>
    <row r="27">
      <c r="B27" s="183" t="inlineStr">
        <is>
          <t xml:space="preserve">                         (подпись, инициалы, фамилия)</t>
        </is>
      </c>
      <c r="C27" s="181" t="n"/>
    </row>
    <row r="28">
      <c r="B28" s="180" t="n"/>
      <c r="C28" s="181" t="n"/>
    </row>
    <row r="29">
      <c r="B29" s="180" t="inlineStr">
        <is>
          <t>Проверил ______________________        А.В. Костянецкая</t>
        </is>
      </c>
      <c r="C29" s="181" t="n"/>
    </row>
    <row r="30">
      <c r="B30" s="183" t="inlineStr">
        <is>
          <t xml:space="preserve">                        (подпись, инициалы, фамилия)</t>
        </is>
      </c>
      <c r="C30" s="18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tabSelected="1" view="pageBreakPreview" zoomScale="60" zoomScaleNormal="100" workbookViewId="0">
      <selection activeCell="C28" sqref="C28"/>
    </sheetView>
  </sheetViews>
  <sheetFormatPr baseColWidth="8" defaultColWidth="9.140625" defaultRowHeight="15"/>
  <cols>
    <col width="44.85546875" customWidth="1" style="184" min="2" max="2"/>
    <col width="13" customWidth="1" style="184" min="3" max="3"/>
    <col width="22.85546875" customWidth="1" style="184" min="4" max="4"/>
    <col width="21.5703125" customWidth="1" style="184" min="5" max="5"/>
    <col width="43.85546875" customWidth="1" style="184" min="6" max="6"/>
  </cols>
  <sheetData>
    <row r="1" s="184"/>
    <row r="2" ht="17.25" customHeight="1" s="184">
      <c r="A2" s="225" t="inlineStr">
        <is>
          <t>Расчет размера средств на оплату труда рабочих-строителей в текущем уровне цен (ФОТр.тек.)</t>
        </is>
      </c>
    </row>
    <row r="3" s="184"/>
    <row r="4" ht="18" customHeight="1" s="184">
      <c r="A4" s="185" t="inlineStr">
        <is>
          <t>Составлен в уровне цен на 01.01.2023 г.</t>
        </is>
      </c>
      <c r="B4" s="186" t="n"/>
      <c r="C4" s="186" t="n"/>
      <c r="D4" s="186" t="n"/>
      <c r="E4" s="186" t="n"/>
      <c r="F4" s="186" t="n"/>
      <c r="G4" s="186" t="n"/>
    </row>
    <row r="5" ht="15.75" customHeight="1" s="184">
      <c r="A5" s="187" t="inlineStr">
        <is>
          <t>№ пп.</t>
        </is>
      </c>
      <c r="B5" s="187" t="inlineStr">
        <is>
          <t>Наименование элемента</t>
        </is>
      </c>
      <c r="C5" s="187" t="inlineStr">
        <is>
          <t>Обозначение</t>
        </is>
      </c>
      <c r="D5" s="187" t="inlineStr">
        <is>
          <t>Формула</t>
        </is>
      </c>
      <c r="E5" s="187" t="inlineStr">
        <is>
          <t>Величина элемента</t>
        </is>
      </c>
      <c r="F5" s="187" t="inlineStr">
        <is>
          <t>Наименования обосновывающих документов</t>
        </is>
      </c>
      <c r="G5" s="186" t="n"/>
    </row>
    <row r="6" ht="15.75" customHeight="1" s="184">
      <c r="A6" s="187" t="n">
        <v>1</v>
      </c>
      <c r="B6" s="187" t="n">
        <v>2</v>
      </c>
      <c r="C6" s="187" t="n">
        <v>3</v>
      </c>
      <c r="D6" s="187" t="n">
        <v>4</v>
      </c>
      <c r="E6" s="187" t="n">
        <v>5</v>
      </c>
      <c r="F6" s="187" t="n">
        <v>6</v>
      </c>
      <c r="G6" s="186" t="n"/>
    </row>
    <row r="7" ht="110.25" customHeight="1" s="184">
      <c r="A7" s="188" t="inlineStr">
        <is>
          <t>1.1</t>
        </is>
      </c>
      <c r="B7" s="19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6" t="inlineStr">
        <is>
          <t>С1ср</t>
        </is>
      </c>
      <c r="D7" s="236" t="inlineStr">
        <is>
          <t>-</t>
        </is>
      </c>
      <c r="E7" s="191" t="n">
        <v>47872.94</v>
      </c>
      <c r="F7" s="19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86" t="n"/>
    </row>
    <row r="8" ht="31.5" customHeight="1" s="184">
      <c r="A8" s="188" t="inlineStr">
        <is>
          <t>1.2</t>
        </is>
      </c>
      <c r="B8" s="193" t="inlineStr">
        <is>
          <t>Среднегодовое нормативное число часов работы одного рабочего в месяц, часы (ч.)</t>
        </is>
      </c>
      <c r="C8" s="236" t="inlineStr">
        <is>
          <t>tср</t>
        </is>
      </c>
      <c r="D8" s="236" t="inlineStr">
        <is>
          <t>1973ч/12мес.</t>
        </is>
      </c>
      <c r="E8" s="192">
        <f>1973/12</f>
        <v/>
      </c>
      <c r="F8" s="193" t="inlineStr">
        <is>
          <t>Производственный календарь 2023 год
(40-часов.неделя)</t>
        </is>
      </c>
      <c r="G8" s="195" t="n"/>
    </row>
    <row r="9" ht="15.75" customHeight="1" s="184">
      <c r="A9" s="188" t="inlineStr">
        <is>
          <t>1.3</t>
        </is>
      </c>
      <c r="B9" s="193" t="inlineStr">
        <is>
          <t>Коэффициент увеличения</t>
        </is>
      </c>
      <c r="C9" s="236" t="inlineStr">
        <is>
          <t>Кув</t>
        </is>
      </c>
      <c r="D9" s="236" t="inlineStr">
        <is>
          <t>-</t>
        </is>
      </c>
      <c r="E9" s="192" t="n">
        <v>1</v>
      </c>
      <c r="F9" s="193" t="n"/>
      <c r="G9" s="195" t="n"/>
    </row>
    <row r="10" ht="15.75" customHeight="1" s="184">
      <c r="A10" s="188" t="inlineStr">
        <is>
          <t>1.4</t>
        </is>
      </c>
      <c r="B10" s="193" t="inlineStr">
        <is>
          <t>Средний разряд работ</t>
        </is>
      </c>
      <c r="C10" s="236" t="n"/>
      <c r="D10" s="236" t="n"/>
      <c r="E10" s="284" t="n">
        <v>3.8</v>
      </c>
      <c r="F10" s="193" t="inlineStr">
        <is>
          <t>РТМ</t>
        </is>
      </c>
      <c r="G10" s="195" t="n"/>
    </row>
    <row r="11" ht="78.75" customHeight="1" s="184">
      <c r="A11" s="188" t="inlineStr">
        <is>
          <t>1.5</t>
        </is>
      </c>
      <c r="B11" s="193" t="inlineStr">
        <is>
          <t>Тарифный коэффициент среднего разряда работ</t>
        </is>
      </c>
      <c r="C11" s="236" t="inlineStr">
        <is>
          <t>КТ</t>
        </is>
      </c>
      <c r="D11" s="236" t="inlineStr">
        <is>
          <t>-</t>
        </is>
      </c>
      <c r="E11" s="285" t="n">
        <v>1.308</v>
      </c>
      <c r="F11" s="19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86" t="n"/>
    </row>
    <row r="12" ht="78.75" customHeight="1" s="184">
      <c r="A12" s="188" t="inlineStr">
        <is>
          <t>1.6</t>
        </is>
      </c>
      <c r="B12" s="198" t="inlineStr">
        <is>
          <t>Коэффициент инфляции, определяемый поквартально</t>
        </is>
      </c>
      <c r="C12" s="236" t="inlineStr">
        <is>
          <t>Кинф</t>
        </is>
      </c>
      <c r="D12" s="236" t="inlineStr">
        <is>
          <t>-</t>
        </is>
      </c>
      <c r="E12" s="286" t="n">
        <v>1.139</v>
      </c>
      <c r="F12" s="20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9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84">
      <c r="A13" s="201" t="inlineStr">
        <is>
          <t>1.7</t>
        </is>
      </c>
      <c r="B13" s="202" t="inlineStr">
        <is>
          <t>Размер средств на оплату труда рабочих-строителей в текущем уровне цен (ФОТр.тек.), руб/чел.-ч</t>
        </is>
      </c>
      <c r="C13" s="203" t="inlineStr">
        <is>
          <t>ФОТр.тек.</t>
        </is>
      </c>
      <c r="D13" s="203" t="inlineStr">
        <is>
          <t>(С1ср/tср*КТ*Т*Кув)*Кинф</t>
        </is>
      </c>
      <c r="E13" s="204">
        <f>((E7*E9/E8)*E11)*E12</f>
        <v/>
      </c>
      <c r="F13" s="20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8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2025-01-24T12:00:42Z</dcterms:modified>
  <cp:lastModifiedBy>Danil</cp:lastModifiedBy>
  <cp:lastPrinted>2023-12-04T03:35:36Z</cp:lastPrinted>
</cp:coreProperties>
</file>