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1940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ОБ'!$A$1:$J$77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00"/>
    <numFmt numFmtId="168" formatCode="#,##0.0"/>
    <numFmt numFmtId="169" formatCode="#,##0.000"/>
    <numFmt numFmtId="170" formatCode="_-* #,##0.00\ _₽_-;\-* #,##0.00\ _₽_-;_-* &quot;-&quot;??\ _₽_-;_-@_-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7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1" pivotButton="0" quotePrefix="0" xfId="0"/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4" fontId="1" fillId="0" borderId="0" applyAlignment="1" pivotButton="0" quotePrefix="0" xfId="0">
      <alignment horizontal="left" vertical="top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top" wrapText="1"/>
    </xf>
    <xf numFmtId="0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4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2" fontId="1" fillId="4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10" fontId="1" fillId="4" borderId="2" applyAlignment="1" pivotButton="0" quotePrefix="0" xfId="0">
      <alignment horizontal="right" vertical="center" wrapText="1"/>
    </xf>
    <xf numFmtId="0" fontId="4" fillId="4" borderId="1" pivotButton="0" quotePrefix="0" xfId="0"/>
    <xf numFmtId="0" fontId="4" fillId="4" borderId="5" pivotButton="0" quotePrefix="0" xfId="0"/>
    <xf numFmtId="0" fontId="1" fillId="4" borderId="1" applyAlignment="1" pivotButton="0" quotePrefix="0" xfId="0">
      <alignment horizontal="left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5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70" fontId="15" fillId="0" borderId="1" applyAlignment="1" pivotButton="0" quotePrefix="0" xfId="0">
      <alignment vertical="center" wrapText="1"/>
    </xf>
    <xf numFmtId="0" fontId="21" fillId="0" borderId="4" applyAlignment="1" pivotButton="0" quotePrefix="0" xfId="0">
      <alignment vertical="center" wrapText="1"/>
    </xf>
    <xf numFmtId="170" fontId="21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170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170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4" borderId="5" applyAlignment="1" pivotButton="0" quotePrefix="0" xfId="0">
      <alignment horizontal="left" vertical="center" wrapText="1"/>
    </xf>
    <xf numFmtId="0" fontId="1" fillId="4" borderId="5" applyAlignment="1" pivotButton="0" quotePrefix="0" xfId="0">
      <alignment horizontal="center" vertical="center" wrapText="1"/>
    </xf>
    <xf numFmtId="2" fontId="1" fillId="4" borderId="5" applyAlignment="1" pivotButton="0" quotePrefix="0" xfId="0">
      <alignment horizontal="center" vertical="center" wrapText="1"/>
    </xf>
    <xf numFmtId="2" fontId="1" fillId="4" borderId="5" applyAlignment="1" pivotButton="0" quotePrefix="0" xfId="0">
      <alignment horizontal="right" vertical="center" wrapText="1"/>
    </xf>
    <xf numFmtId="10" fontId="1" fillId="4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right" vertical="center" wrapText="1"/>
    </xf>
    <xf numFmtId="10" fontId="2" fillId="4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1" fillId="0" borderId="0" pivotButton="0" quotePrefix="0" xfId="0"/>
    <xf numFmtId="49" fontId="16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6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0" fillId="0" borderId="10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4" pivotButton="0" quotePrefix="0" xfId="0"/>
    <xf numFmtId="170" fontId="15" fillId="0" borderId="1" applyAlignment="1" pivotButton="0" quotePrefix="0" xfId="0">
      <alignment horizontal="center" vertical="center" wrapText="1"/>
    </xf>
    <xf numFmtId="170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70" fontId="21" fillId="0" borderId="1" applyAlignment="1" pivotButton="0" quotePrefix="0" xfId="0">
      <alignment horizontal="center" vertical="center" wrapText="1"/>
    </xf>
    <xf numFmtId="17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165" fontId="1" fillId="4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7" zoomScale="60" zoomScaleNormal="55" workbookViewId="0">
      <selection activeCell="C28" sqref="C28"/>
    </sheetView>
  </sheetViews>
  <sheetFormatPr baseColWidth="8" defaultColWidth="9.140625" defaultRowHeight="15.75"/>
  <cols>
    <col width="9.140625" customWidth="1" style="322" min="1" max="2"/>
    <col width="51.7109375" customWidth="1" style="322" min="3" max="3"/>
    <col width="51.42578125" customWidth="1" style="322" min="4" max="4"/>
    <col width="37.42578125" customWidth="1" style="322" min="5" max="5"/>
    <col width="9.140625" customWidth="1" style="322" min="6" max="6"/>
  </cols>
  <sheetData>
    <row r="3">
      <c r="B3" s="351" t="inlineStr">
        <is>
          <t>Приложение № 1</t>
        </is>
      </c>
    </row>
    <row r="4">
      <c r="B4" s="352" t="inlineStr">
        <is>
          <t>Сравнительная таблица отбора объекта-представителя</t>
        </is>
      </c>
    </row>
    <row r="5" ht="84" customHeight="1" s="320">
      <c r="B5" s="35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0">
      <c r="B6" s="245" t="n"/>
      <c r="C6" s="245" t="n"/>
      <c r="D6" s="245" t="n"/>
    </row>
    <row r="7" ht="64.5" customHeight="1" s="320">
      <c r="B7" s="353" t="inlineStr">
        <is>
          <t>Наименование разрабатываемого показателя УНЦ — Шкафы РЗА 2 архитектуры. Комплект защит шунтирующего реактора 110-750 кВ, УРОВ, АУВ</t>
        </is>
      </c>
    </row>
    <row r="8" ht="31.5" customHeight="1" s="320">
      <c r="B8" s="353" t="inlineStr">
        <is>
          <t>Сопоставимый уровень цен: 4 кв. 2016 г.</t>
        </is>
      </c>
    </row>
    <row r="9" ht="15.75" customHeight="1" s="320">
      <c r="B9" s="353" t="inlineStr">
        <is>
          <t>Единица измерения  — 1 ед</t>
        </is>
      </c>
    </row>
    <row r="10">
      <c r="B10" s="353" t="n"/>
    </row>
    <row r="11">
      <c r="B11" s="357" t="inlineStr">
        <is>
          <t>№ п/п</t>
        </is>
      </c>
      <c r="C11" s="357" t="inlineStr">
        <is>
          <t>Параметр</t>
        </is>
      </c>
      <c r="D11" s="357" t="inlineStr">
        <is>
          <t>Объект-представитель</t>
        </is>
      </c>
      <c r="E11" s="223" t="n"/>
    </row>
    <row r="12" ht="96.75" customHeight="1" s="320">
      <c r="B12" s="357" t="n">
        <v>1</v>
      </c>
      <c r="C12" s="334" t="inlineStr">
        <is>
          <t>Наименование объекта-представителя</t>
        </is>
      </c>
      <c r="D12" s="357" t="inlineStr">
        <is>
          <t>ПС 500 кВ Преображенская (МЭС Урала)</t>
        </is>
      </c>
    </row>
    <row r="13">
      <c r="B13" s="357" t="n">
        <v>2</v>
      </c>
      <c r="C13" s="334" t="inlineStr">
        <is>
          <t>Наименование субъекта Российской Федерации</t>
        </is>
      </c>
      <c r="D13" s="357" t="inlineStr">
        <is>
          <t>Оренбургская область</t>
        </is>
      </c>
    </row>
    <row r="14">
      <c r="B14" s="357" t="n">
        <v>3</v>
      </c>
      <c r="C14" s="334" t="inlineStr">
        <is>
          <t>Климатический район и подрайон</t>
        </is>
      </c>
      <c r="D14" s="318" t="inlineStr">
        <is>
          <t>IIIА</t>
        </is>
      </c>
    </row>
    <row r="15">
      <c r="B15" s="357" t="n">
        <v>4</v>
      </c>
      <c r="C15" s="334" t="inlineStr">
        <is>
          <t>Мощность объекта</t>
        </is>
      </c>
      <c r="D15" s="357" t="n">
        <v>1</v>
      </c>
    </row>
    <row r="16" ht="116.25" customHeight="1" s="320">
      <c r="B16" s="357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7" t="inlineStr">
        <is>
          <t>Шкафы РЗА 2 архитектуры. Комплект защит шунтирующего реактора 110-750 кВ, УРОВ, АУВ</t>
        </is>
      </c>
    </row>
    <row r="17" ht="79.5" customHeight="1" s="320">
      <c r="B17" s="357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38">
        <f>D18+D19</f>
        <v/>
      </c>
      <c r="E17" s="244" t="n"/>
    </row>
    <row r="18">
      <c r="B18" s="222" t="inlineStr">
        <is>
          <t>6.1</t>
        </is>
      </c>
      <c r="C18" s="334" t="inlineStr">
        <is>
          <t>строительно-монтажные работы</t>
        </is>
      </c>
      <c r="D18" s="338">
        <f>'Прил.2 Расч стоим'!F14</f>
        <v/>
      </c>
    </row>
    <row r="19" ht="15.75" customHeight="1" s="320">
      <c r="B19" s="222" t="inlineStr">
        <is>
          <t>6.2</t>
        </is>
      </c>
      <c r="C19" s="334" t="inlineStr">
        <is>
          <t>оборудование и инвентарь</t>
        </is>
      </c>
      <c r="D19" s="338">
        <f>'Прил.2 Расч стоим'!H14</f>
        <v/>
      </c>
    </row>
    <row r="20" ht="16.5" customHeight="1" s="320">
      <c r="B20" s="222" t="inlineStr">
        <is>
          <t>6.3</t>
        </is>
      </c>
      <c r="C20" s="334" t="inlineStr">
        <is>
          <t>пусконаладочные работы</t>
        </is>
      </c>
      <c r="D20" s="338" t="n"/>
    </row>
    <row r="21" ht="35.25" customHeight="1" s="320">
      <c r="B21" s="222" t="inlineStr">
        <is>
          <t>6.4</t>
        </is>
      </c>
      <c r="C21" s="221" t="inlineStr">
        <is>
          <t>прочие и лимитированные затраты</t>
        </is>
      </c>
      <c r="D21" s="338" t="n"/>
    </row>
    <row r="22">
      <c r="B22" s="357" t="n">
        <v>7</v>
      </c>
      <c r="C22" s="221" t="inlineStr">
        <is>
          <t>Сопоставимый уровень цен</t>
        </is>
      </c>
      <c r="D22" s="319" t="inlineStr">
        <is>
          <t>4 кв. 2016 г.</t>
        </is>
      </c>
      <c r="E22" s="219" t="n"/>
    </row>
    <row r="23" ht="78.75" customHeight="1" s="320">
      <c r="B23" s="357" t="n">
        <v>8</v>
      </c>
      <c r="C23" s="22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38">
        <f>D17</f>
        <v/>
      </c>
      <c r="E23" s="244" t="n"/>
    </row>
    <row r="24" ht="31.5" customHeight="1" s="320">
      <c r="B24" s="357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38">
        <f>D17/D15</f>
        <v/>
      </c>
      <c r="E24" s="219" t="n"/>
    </row>
    <row r="25">
      <c r="B25" s="357" t="n">
        <v>10</v>
      </c>
      <c r="C25" s="334" t="inlineStr">
        <is>
          <t>Примечание</t>
        </is>
      </c>
      <c r="D25" s="357" t="n"/>
    </row>
    <row r="26">
      <c r="B26" s="217" t="n"/>
      <c r="C26" s="216" t="n"/>
      <c r="D26" s="216" t="n"/>
    </row>
    <row r="27">
      <c r="B27" s="266" t="n"/>
    </row>
    <row r="28">
      <c r="B28" s="322" t="inlineStr">
        <is>
          <t>Составил ______________________    Е. М. Добровольская</t>
        </is>
      </c>
    </row>
    <row r="29">
      <c r="B29" s="266" t="inlineStr">
        <is>
          <t xml:space="preserve">                         (подпись, инициалы, фамилия)</t>
        </is>
      </c>
    </row>
    <row r="31">
      <c r="B31" s="322" t="inlineStr">
        <is>
          <t>Проверил ______________________        А.В. Костянецкая</t>
        </is>
      </c>
    </row>
    <row r="32">
      <c r="B32" s="26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2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22" min="1" max="1"/>
    <col width="9.140625" customWidth="1" style="322" min="2" max="2"/>
    <col width="35.28515625" customWidth="1" style="322" min="3" max="3"/>
    <col width="13.85546875" customWidth="1" style="322" min="4" max="4"/>
    <col width="24.85546875" customWidth="1" style="322" min="5" max="5"/>
    <col width="15.5703125" customWidth="1" style="322" min="6" max="6"/>
    <col width="14.85546875" customWidth="1" style="322" min="7" max="7"/>
    <col width="16.7109375" customWidth="1" style="322" min="8" max="8"/>
    <col width="13" customWidth="1" style="322" min="9" max="10"/>
    <col width="18" customWidth="1" style="322" min="11" max="11"/>
    <col width="9.140625" customWidth="1" style="322" min="12" max="12"/>
  </cols>
  <sheetData>
    <row r="3">
      <c r="B3" s="351" t="inlineStr">
        <is>
          <t>Приложение № 2</t>
        </is>
      </c>
      <c r="K3" s="266" t="n"/>
    </row>
    <row r="4">
      <c r="B4" s="352" t="inlineStr">
        <is>
          <t>Расчет стоимости основных видов работ для выбора объекта-представителя</t>
        </is>
      </c>
    </row>
    <row r="5">
      <c r="B5" s="224" t="n"/>
      <c r="C5" s="224" t="n"/>
      <c r="D5" s="224" t="n"/>
      <c r="E5" s="224" t="n"/>
      <c r="F5" s="224" t="n"/>
      <c r="G5" s="224" t="n"/>
      <c r="H5" s="224" t="n"/>
      <c r="I5" s="224" t="n"/>
      <c r="J5" s="224" t="n"/>
      <c r="K5" s="224" t="n"/>
    </row>
    <row r="6" ht="42" customHeight="1" s="320">
      <c r="B6" s="359" t="inlineStr">
        <is>
          <t>Наименование разрабатываемого показателя УНЦ — Шкафы РЗА 2 архитектуры. Комплект защит шунтирующего реактора 110-750 кВ, УРОВ, АУВ</t>
        </is>
      </c>
      <c r="K6" s="266" t="n"/>
    </row>
    <row r="7" ht="15.75" customHeight="1" s="320">
      <c r="B7" s="360" t="inlineStr">
        <is>
          <t>Единица измерения  — 1 ед</t>
        </is>
      </c>
      <c r="K7" s="266" t="n"/>
    </row>
    <row r="8" ht="18.75" customHeight="1" s="320">
      <c r="B8" s="246" t="n"/>
    </row>
    <row r="9" ht="15.75" customHeight="1" s="320">
      <c r="B9" s="357" t="inlineStr">
        <is>
          <t>№ п/п</t>
        </is>
      </c>
      <c r="C9" s="35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7" t="inlineStr">
        <is>
          <t>Объект-представитель 1</t>
        </is>
      </c>
      <c r="E9" s="456" t="n"/>
      <c r="F9" s="456" t="n"/>
      <c r="G9" s="456" t="n"/>
      <c r="H9" s="456" t="n"/>
      <c r="I9" s="456" t="n"/>
      <c r="J9" s="457" t="n"/>
    </row>
    <row r="10" ht="15.75" customHeight="1" s="320">
      <c r="B10" s="458" t="n"/>
      <c r="C10" s="458" t="n"/>
      <c r="D10" s="357" t="inlineStr">
        <is>
          <t>Номер сметы</t>
        </is>
      </c>
      <c r="E10" s="357" t="inlineStr">
        <is>
          <t>Наименование сметы</t>
        </is>
      </c>
      <c r="F10" s="357" t="inlineStr">
        <is>
          <t>Сметная стоимость в уровне цен 4 кв. 2016 г., тыс. руб.</t>
        </is>
      </c>
      <c r="G10" s="456" t="n"/>
      <c r="H10" s="456" t="n"/>
      <c r="I10" s="456" t="n"/>
      <c r="J10" s="457" t="n"/>
    </row>
    <row r="11" ht="31.5" customHeight="1" s="320">
      <c r="B11" s="459" t="n"/>
      <c r="C11" s="459" t="n"/>
      <c r="D11" s="459" t="n"/>
      <c r="E11" s="459" t="n"/>
      <c r="F11" s="358" t="inlineStr">
        <is>
          <t>Строительные работы</t>
        </is>
      </c>
      <c r="G11" s="358" t="inlineStr">
        <is>
          <t>Монтажные работы</t>
        </is>
      </c>
      <c r="H11" s="358" t="inlineStr">
        <is>
          <t>Оборудование</t>
        </is>
      </c>
      <c r="I11" s="358" t="inlineStr">
        <is>
          <t>Прочее</t>
        </is>
      </c>
      <c r="J11" s="358" t="inlineStr">
        <is>
          <t>Всего</t>
        </is>
      </c>
    </row>
    <row r="12" ht="47.25" customHeight="1" s="320">
      <c r="B12" s="339" t="n"/>
      <c r="C12" s="339" t="inlineStr">
        <is>
          <t>Шкафы РЗА 2 архитектуры. Комплект защит шунтирующего реактора 110-750 кВ, УРОВ, АУВ</t>
        </is>
      </c>
      <c r="D12" s="339" t="n"/>
      <c r="E12" s="339" t="n"/>
      <c r="F12" s="460">
        <f>(Прил.3!H12+Прил.3!H17+Прил.3!H19+Прил.3!H27)*5.17/1000</f>
        <v/>
      </c>
      <c r="G12" s="457" t="n"/>
      <c r="H12" s="461">
        <f>Прил.3!H25*4.28/1000</f>
        <v/>
      </c>
      <c r="I12" s="339" t="n"/>
      <c r="J12" s="461">
        <f>F12+H12</f>
        <v/>
      </c>
    </row>
    <row r="13" ht="15" customHeight="1" s="320">
      <c r="B13" s="363" t="inlineStr">
        <is>
          <t>Всего по объекту:</t>
        </is>
      </c>
      <c r="C13" s="462" t="n"/>
      <c r="D13" s="462" t="n"/>
      <c r="E13" s="463" t="n"/>
      <c r="F13" s="341" t="n"/>
      <c r="G13" s="341" t="n"/>
      <c r="H13" s="341" t="n"/>
      <c r="I13" s="341" t="n"/>
      <c r="J13" s="341" t="n"/>
    </row>
    <row r="14" ht="15.75" customHeight="1" s="320">
      <c r="B14" s="364" t="inlineStr">
        <is>
          <t>Всего по объекту в сопоставимом уровне цен 4 кв. 2016 г:</t>
        </is>
      </c>
      <c r="C14" s="456" t="n"/>
      <c r="D14" s="456" t="n"/>
      <c r="E14" s="457" t="n"/>
      <c r="F14" s="464">
        <f>F12</f>
        <v/>
      </c>
      <c r="G14" s="457" t="n"/>
      <c r="H14" s="465">
        <f>H12</f>
        <v/>
      </c>
      <c r="I14" s="247" t="n"/>
      <c r="J14" s="465">
        <f>J12</f>
        <v/>
      </c>
    </row>
    <row r="15" ht="15" customHeight="1" s="320"/>
    <row r="16" ht="15" customHeight="1" s="320"/>
    <row r="17" ht="15" customHeight="1" s="320"/>
    <row r="18" ht="15" customHeight="1" s="320">
      <c r="C18" s="314" t="inlineStr">
        <is>
          <t>Составил ______________________     Е. М. Добровольская</t>
        </is>
      </c>
      <c r="D18" s="315" t="n"/>
      <c r="E18" s="315" t="n"/>
    </row>
    <row r="19" ht="15" customHeight="1" s="320">
      <c r="C19" s="317" t="inlineStr">
        <is>
          <t xml:space="preserve">                         (подпись, инициалы, фамилия)</t>
        </is>
      </c>
      <c r="D19" s="315" t="n"/>
      <c r="E19" s="315" t="n"/>
    </row>
    <row r="20" ht="15" customHeight="1" s="320">
      <c r="C20" s="314" t="n"/>
      <c r="D20" s="315" t="n"/>
      <c r="E20" s="315" t="n"/>
    </row>
    <row r="21" ht="15" customHeight="1" s="320">
      <c r="C21" s="314" t="inlineStr">
        <is>
          <t>Проверил ______________________        А.В. Костянецкая</t>
        </is>
      </c>
      <c r="D21" s="315" t="n"/>
      <c r="E21" s="315" t="n"/>
    </row>
    <row r="22" ht="15" customHeight="1" s="320">
      <c r="C22" s="317" t="inlineStr">
        <is>
          <t xml:space="preserve">                        (подпись, инициалы, фамилия)</t>
        </is>
      </c>
      <c r="D22" s="315" t="n"/>
      <c r="E22" s="315" t="n"/>
    </row>
    <row r="23" ht="15" customHeight="1" s="320"/>
    <row r="24" ht="15" customHeight="1" s="320"/>
    <row r="25" ht="15" customHeight="1" s="320"/>
    <row r="26" ht="15" customHeight="1" s="320"/>
    <row r="27" ht="15" customHeight="1" s="320"/>
    <row r="28" ht="15" customHeight="1" s="320"/>
  </sheetData>
  <mergeCells count="14">
    <mergeCell ref="B7:J7"/>
    <mergeCell ref="F12:G12"/>
    <mergeCell ref="B3:J3"/>
    <mergeCell ref="D10:D11"/>
    <mergeCell ref="B4:K4"/>
    <mergeCell ref="D9:J9"/>
    <mergeCell ref="B13:E13"/>
    <mergeCell ref="F10:J10"/>
    <mergeCell ref="B9:B11"/>
    <mergeCell ref="C9:C11"/>
    <mergeCell ref="F14:G14"/>
    <mergeCell ref="E10:E11"/>
    <mergeCell ref="B6:J6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61"/>
  <sheetViews>
    <sheetView view="pageBreakPreview" topLeftCell="A25" zoomScale="70" workbookViewId="0">
      <selection activeCell="C57" sqref="C57"/>
    </sheetView>
  </sheetViews>
  <sheetFormatPr baseColWidth="8" defaultColWidth="9.140625" defaultRowHeight="15.75"/>
  <cols>
    <col width="9.140625" customWidth="1" style="322" min="1" max="1"/>
    <col width="12.5703125" customWidth="1" style="322" min="2" max="2"/>
    <col width="22.42578125" customWidth="1" style="322" min="3" max="3"/>
    <col width="49.7109375" customWidth="1" style="322" min="4" max="4"/>
    <col width="10.140625" customWidth="1" style="322" min="5" max="5"/>
    <col width="20.7109375" customWidth="1" style="322" min="6" max="6"/>
    <col width="20" customWidth="1" style="322" min="7" max="7"/>
    <col width="16.7109375" customWidth="1" style="322" min="8" max="8"/>
    <col width="5.5703125" customWidth="1" style="322" min="9" max="9"/>
    <col width="9.140625" customWidth="1" style="322" min="10" max="10"/>
    <col width="15" customWidth="1" style="322" min="11" max="11"/>
    <col width="9.140625" customWidth="1" style="322" min="12" max="12"/>
  </cols>
  <sheetData>
    <row r="2">
      <c r="A2" s="351" t="inlineStr">
        <is>
          <t xml:space="preserve">Приложение № 3 </t>
        </is>
      </c>
    </row>
    <row r="3">
      <c r="A3" s="352" t="inlineStr">
        <is>
          <t>Объектная ресурсная ведомость</t>
        </is>
      </c>
    </row>
    <row r="4" ht="18.75" customHeight="1" s="320">
      <c r="A4" s="260" t="n"/>
      <c r="B4" s="260" t="n"/>
      <c r="C4" s="36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3" t="n"/>
    </row>
    <row r="6" ht="42.75" customHeight="1" s="320">
      <c r="A6" s="359" t="inlineStr">
        <is>
          <t>Наименование разрабатываемого показателя УНЦ — Шкафы РЗА 2 архитектуры. Комплект защит шунтирующего реактора 110-750 кВ, УРОВ, АУВ</t>
        </is>
      </c>
    </row>
    <row r="7" s="320">
      <c r="A7" s="359" t="n"/>
      <c r="B7" s="359" t="n"/>
      <c r="C7" s="359" t="n"/>
      <c r="D7" s="359" t="n"/>
      <c r="E7" s="359" t="n"/>
      <c r="F7" s="359" t="n"/>
      <c r="G7" s="359" t="n"/>
      <c r="H7" s="359" t="n"/>
      <c r="I7" s="322" t="n"/>
      <c r="J7" s="322" t="n"/>
      <c r="K7" s="322" t="n"/>
      <c r="L7" s="322" t="n"/>
    </row>
    <row r="8">
      <c r="A8" s="360" t="n"/>
      <c r="B8" s="360" t="n"/>
      <c r="C8" s="360" t="n"/>
      <c r="D8" s="360" t="n"/>
      <c r="E8" s="360" t="n"/>
      <c r="F8" s="360" t="n"/>
      <c r="G8" s="360" t="n"/>
      <c r="H8" s="360" t="n"/>
    </row>
    <row r="9" ht="38.25" customHeight="1" s="320">
      <c r="A9" s="357" t="inlineStr">
        <is>
          <t>п/п</t>
        </is>
      </c>
      <c r="B9" s="357" t="inlineStr">
        <is>
          <t>№ЛСР</t>
        </is>
      </c>
      <c r="C9" s="357" t="inlineStr">
        <is>
          <t>Код ресурса</t>
        </is>
      </c>
      <c r="D9" s="357" t="inlineStr">
        <is>
          <t>Наименование ресурса</t>
        </is>
      </c>
      <c r="E9" s="357" t="inlineStr">
        <is>
          <t>Ед. изм.</t>
        </is>
      </c>
      <c r="F9" s="357" t="inlineStr">
        <is>
          <t>Кол-во единиц по данным объекта-представителя</t>
        </is>
      </c>
      <c r="G9" s="357" t="inlineStr">
        <is>
          <t>Сметная стоимость в ценах на 01.01.2000 (руб.)</t>
        </is>
      </c>
      <c r="H9" s="457" t="n"/>
    </row>
    <row r="10" ht="40.5" customHeight="1" s="320">
      <c r="A10" s="459" t="n"/>
      <c r="B10" s="459" t="n"/>
      <c r="C10" s="459" t="n"/>
      <c r="D10" s="459" t="n"/>
      <c r="E10" s="459" t="n"/>
      <c r="F10" s="459" t="n"/>
      <c r="G10" s="357" t="inlineStr">
        <is>
          <t>на ед.изм.</t>
        </is>
      </c>
      <c r="H10" s="357" t="inlineStr">
        <is>
          <t>общая</t>
        </is>
      </c>
    </row>
    <row r="11">
      <c r="A11" s="358" t="n">
        <v>1</v>
      </c>
      <c r="B11" s="358" t="n"/>
      <c r="C11" s="358" t="n">
        <v>2</v>
      </c>
      <c r="D11" s="358" t="inlineStr">
        <is>
          <t>З</t>
        </is>
      </c>
      <c r="E11" s="358" t="n">
        <v>4</v>
      </c>
      <c r="F11" s="358" t="n">
        <v>5</v>
      </c>
      <c r="G11" s="358" t="n">
        <v>6</v>
      </c>
      <c r="H11" s="358" t="n">
        <v>7</v>
      </c>
    </row>
    <row r="12" customFormat="1" s="308">
      <c r="A12" s="366" t="inlineStr">
        <is>
          <t>Затраты труда рабочих</t>
        </is>
      </c>
      <c r="B12" s="456" t="n"/>
      <c r="C12" s="456" t="n"/>
      <c r="D12" s="456" t="n"/>
      <c r="E12" s="457" t="n"/>
      <c r="F12" s="466" t="n">
        <v>222.14</v>
      </c>
      <c r="G12" s="254" t="n"/>
      <c r="H12" s="466">
        <f>SUM(H13:H16)</f>
        <v/>
      </c>
    </row>
    <row r="13">
      <c r="A13" s="280" t="n">
        <v>1</v>
      </c>
      <c r="B13" s="230" t="n"/>
      <c r="C13" s="280" t="inlineStr">
        <is>
          <t>1-3-8</t>
        </is>
      </c>
      <c r="D13" s="281" t="inlineStr">
        <is>
          <t>Затраты труда рабочих (ср 3,8)</t>
        </is>
      </c>
      <c r="E13" s="403" t="inlineStr">
        <is>
          <t>чел.-ч</t>
        </is>
      </c>
      <c r="F13" s="280" t="n">
        <v>192.25</v>
      </c>
      <c r="G13" s="252" t="n">
        <v>9.4</v>
      </c>
      <c r="H13" s="252">
        <f>ROUND(F13*G13,2)</f>
        <v/>
      </c>
      <c r="I13" s="322" t="n"/>
      <c r="J13" s="322" t="n"/>
      <c r="K13" s="322" t="n"/>
      <c r="L13" s="322" t="n"/>
    </row>
    <row r="14">
      <c r="A14" s="403" t="n">
        <v>2</v>
      </c>
      <c r="B14" s="230" t="n"/>
      <c r="C14" s="280" t="inlineStr">
        <is>
          <t>1-3-6</t>
        </is>
      </c>
      <c r="D14" s="281" t="inlineStr">
        <is>
          <t>Затраты труда рабочих (ср 3,6)</t>
        </is>
      </c>
      <c r="E14" s="403" t="inlineStr">
        <is>
          <t>чел.-ч</t>
        </is>
      </c>
      <c r="F14" s="280" t="n">
        <v>15.2</v>
      </c>
      <c r="G14" s="252" t="n">
        <v>9.18</v>
      </c>
      <c r="H14" s="252">
        <f>ROUND(F14*G14,2)</f>
        <v/>
      </c>
      <c r="I14" s="322" t="n"/>
      <c r="J14" s="322" t="n"/>
      <c r="K14" s="322" t="n"/>
      <c r="L14" s="322" t="n"/>
    </row>
    <row r="15">
      <c r="A15" s="280" t="n">
        <v>3</v>
      </c>
      <c r="B15" s="230" t="n"/>
      <c r="C15" s="280" t="inlineStr">
        <is>
          <t>1-4-1</t>
        </is>
      </c>
      <c r="D15" s="281" t="inlineStr">
        <is>
          <t>Затраты труда рабочих (ср 4,1)</t>
        </is>
      </c>
      <c r="E15" s="403" t="inlineStr">
        <is>
          <t>чел.-ч</t>
        </is>
      </c>
      <c r="F15" s="280" t="n">
        <v>10.57</v>
      </c>
      <c r="G15" s="252" t="n">
        <v>9.76</v>
      </c>
      <c r="H15" s="252">
        <f>ROUND(F15*G15,2)</f>
        <v/>
      </c>
      <c r="I15" s="308" t="n"/>
      <c r="J15" s="308" t="n"/>
      <c r="K15" s="308" t="n"/>
      <c r="L15" s="308" t="n"/>
    </row>
    <row r="16">
      <c r="A16" s="403" t="n">
        <v>4</v>
      </c>
      <c r="B16" s="230" t="n"/>
      <c r="C16" s="280" t="inlineStr">
        <is>
          <t>1-4-2</t>
        </is>
      </c>
      <c r="D16" s="281" t="inlineStr">
        <is>
          <t>Затраты труда рабочих (ср 4,2)</t>
        </is>
      </c>
      <c r="E16" s="403" t="inlineStr">
        <is>
          <t>чел.-ч</t>
        </is>
      </c>
      <c r="F16" s="280" t="n">
        <v>4.12</v>
      </c>
      <c r="G16" s="252" t="n">
        <v>9.92</v>
      </c>
      <c r="H16" s="252">
        <f>ROUND(F16*G16,2)</f>
        <v/>
      </c>
      <c r="I16" s="322" t="n"/>
      <c r="J16" s="322" t="n"/>
      <c r="K16" s="322" t="n"/>
      <c r="L16" s="322" t="n"/>
    </row>
    <row r="17">
      <c r="A17" s="365" t="inlineStr">
        <is>
          <t>Затраты труда машинистов</t>
        </is>
      </c>
      <c r="B17" s="456" t="n"/>
      <c r="C17" s="456" t="n"/>
      <c r="D17" s="456" t="n"/>
      <c r="E17" s="457" t="n"/>
      <c r="F17" s="366" t="n"/>
      <c r="G17" s="228" t="n"/>
      <c r="H17" s="466">
        <f>H18</f>
        <v/>
      </c>
      <c r="I17" s="322" t="n"/>
      <c r="J17" s="322" t="n"/>
      <c r="K17" s="322" t="n"/>
      <c r="L17" s="322" t="n"/>
    </row>
    <row r="18">
      <c r="A18" s="403" t="n">
        <v>5</v>
      </c>
      <c r="B18" s="367" t="n"/>
      <c r="C18" s="280" t="n">
        <v>2</v>
      </c>
      <c r="D18" s="281" t="inlineStr">
        <is>
          <t>Затраты труда машинистов</t>
        </is>
      </c>
      <c r="E18" s="403" t="inlineStr">
        <is>
          <t>чел.-ч</t>
        </is>
      </c>
      <c r="F18" s="467" t="n">
        <v>11.16</v>
      </c>
      <c r="G18" s="252" t="n">
        <v>0</v>
      </c>
      <c r="H18" s="468" t="n">
        <v>140.06</v>
      </c>
      <c r="I18" s="308" t="n"/>
      <c r="J18" s="308" t="n"/>
      <c r="K18" s="308" t="n"/>
      <c r="L18" s="308" t="n"/>
    </row>
    <row r="19" customFormat="1" s="308">
      <c r="A19" s="366" t="inlineStr">
        <is>
          <t>Машины и механизмы</t>
        </is>
      </c>
      <c r="B19" s="456" t="n"/>
      <c r="C19" s="456" t="n"/>
      <c r="D19" s="456" t="n"/>
      <c r="E19" s="457" t="n"/>
      <c r="F19" s="366" t="n"/>
      <c r="G19" s="228" t="n"/>
      <c r="H19" s="466">
        <f>SUM(H20:H24)</f>
        <v/>
      </c>
      <c r="I19" s="322" t="n"/>
      <c r="J19" s="322" t="n"/>
      <c r="K19" s="322" t="n"/>
      <c r="L19" s="322" t="n"/>
    </row>
    <row r="20" ht="25.5" customHeight="1" s="320">
      <c r="A20" s="403" t="n">
        <v>6</v>
      </c>
      <c r="B20" s="367" t="n"/>
      <c r="C20" s="280" t="inlineStr">
        <is>
          <t>91.05.05-015</t>
        </is>
      </c>
      <c r="D20" s="281" t="inlineStr">
        <is>
          <t>Краны на автомобильном ходу, грузоподъемность 16 т</t>
        </is>
      </c>
      <c r="E20" s="403" t="inlineStr">
        <is>
          <t>маш.час</t>
        </is>
      </c>
      <c r="F20" s="280" t="n">
        <v>5.58</v>
      </c>
      <c r="G20" s="283" t="n">
        <v>115.4</v>
      </c>
      <c r="H20" s="252">
        <f>ROUND(F20*G20,2)</f>
        <v/>
      </c>
      <c r="I20" s="322" t="n"/>
      <c r="J20" s="322" t="n"/>
      <c r="K20" s="322" t="n"/>
      <c r="L20" s="322" t="n"/>
    </row>
    <row r="21">
      <c r="A21" s="403" t="n">
        <v>7</v>
      </c>
      <c r="B21" s="367" t="n"/>
      <c r="C21" s="280" t="inlineStr">
        <is>
          <t>91.14.02-001</t>
        </is>
      </c>
      <c r="D21" s="281" t="inlineStr">
        <is>
          <t>Автомобили бортовые, грузоподъемность до 5 т</t>
        </is>
      </c>
      <c r="E21" s="403" t="inlineStr">
        <is>
          <t>маш.час</t>
        </is>
      </c>
      <c r="F21" s="280" t="n">
        <v>5.58</v>
      </c>
      <c r="G21" s="283" t="n">
        <v>65.70999999999999</v>
      </c>
      <c r="H21" s="252">
        <f>ROUND(F21*G21,2)</f>
        <v/>
      </c>
      <c r="I21" s="308" t="n"/>
      <c r="J21" s="308" t="n"/>
      <c r="K21" s="308" t="n"/>
      <c r="L21" s="308" t="n"/>
    </row>
    <row r="22" ht="25.5" customHeight="1" s="320">
      <c r="A22" s="403" t="n">
        <v>8</v>
      </c>
      <c r="B22" s="367" t="n"/>
      <c r="C22" s="280" t="inlineStr">
        <is>
          <t>91.06.03-061</t>
        </is>
      </c>
      <c r="D22" s="281" t="inlineStr">
        <is>
          <t>Лебедки электрические тяговым усилием до 12,26 кН (1,25 т)</t>
        </is>
      </c>
      <c r="E22" s="403" t="inlineStr">
        <is>
          <t>маш.час</t>
        </is>
      </c>
      <c r="F22" s="280" t="n">
        <v>42.26</v>
      </c>
      <c r="G22" s="283" t="n">
        <v>3.28</v>
      </c>
      <c r="H22" s="252">
        <f>ROUND(F22*G22,2)</f>
        <v/>
      </c>
      <c r="I22" s="322" t="n"/>
      <c r="J22" s="322" t="n"/>
      <c r="K22" s="322" t="n"/>
      <c r="L22" s="322" t="n"/>
    </row>
    <row r="23" ht="25.5" customHeight="1" s="320">
      <c r="A23" s="403" t="n">
        <v>9</v>
      </c>
      <c r="B23" s="367" t="n"/>
      <c r="C23" s="280" t="inlineStr">
        <is>
          <t>91.06.01-003</t>
        </is>
      </c>
      <c r="D23" s="281" t="inlineStr">
        <is>
          <t>Домкраты гидравлические, грузоподъемность 63-100 т</t>
        </is>
      </c>
      <c r="E23" s="403" t="inlineStr">
        <is>
          <t>маш.час</t>
        </is>
      </c>
      <c r="F23" s="280" t="n">
        <v>42.26</v>
      </c>
      <c r="G23" s="283" t="n">
        <v>0.9</v>
      </c>
      <c r="H23" s="252">
        <f>ROUND(F23*G23,2)</f>
        <v/>
      </c>
      <c r="I23" s="322" t="n"/>
      <c r="J23" s="322" t="n"/>
      <c r="K23" s="322" t="n"/>
      <c r="L23" s="322" t="n"/>
    </row>
    <row r="24" ht="25.5" customHeight="1" s="320">
      <c r="A24" s="403" t="n">
        <v>10</v>
      </c>
      <c r="B24" s="367" t="n"/>
      <c r="C24" s="280" t="inlineStr">
        <is>
          <t>91.17.04-233</t>
        </is>
      </c>
      <c r="D24" s="281" t="inlineStr">
        <is>
          <t>Установки для сварки ручной дуговой (постоянного тока)</t>
        </is>
      </c>
      <c r="E24" s="403" t="inlineStr">
        <is>
          <t>маш.час</t>
        </is>
      </c>
      <c r="F24" s="280" t="n">
        <v>0.9</v>
      </c>
      <c r="G24" s="283" t="n">
        <v>8.1</v>
      </c>
      <c r="H24" s="252">
        <f>ROUND(F24*G24,2)</f>
        <v/>
      </c>
      <c r="I24" s="308" t="n"/>
      <c r="J24" s="308" t="n"/>
      <c r="K24" s="308" t="n"/>
      <c r="L24" s="308" t="n"/>
    </row>
    <row r="25">
      <c r="A25" s="366" t="inlineStr">
        <is>
          <t>Оборудование</t>
        </is>
      </c>
      <c r="B25" s="456" t="n"/>
      <c r="C25" s="456" t="n"/>
      <c r="D25" s="456" t="n"/>
      <c r="E25" s="457" t="n"/>
      <c r="F25" s="366" t="n"/>
      <c r="G25" s="228" t="n"/>
      <c r="H25" s="466">
        <f>SUM(H26:H26)</f>
        <v/>
      </c>
      <c r="I25" s="322" t="n"/>
      <c r="J25" s="322" t="n"/>
      <c r="K25" s="322" t="n"/>
      <c r="L25" s="322" t="n"/>
    </row>
    <row r="26" ht="25.5" customHeight="1" s="320">
      <c r="A26" s="403" t="n">
        <v>11</v>
      </c>
      <c r="B26" s="367" t="n"/>
      <c r="C26" s="274" t="inlineStr">
        <is>
          <t>Прайс из СД ОП</t>
        </is>
      </c>
      <c r="D26" s="281" t="inlineStr">
        <is>
          <t>Шкафы РЗА 2 архитектуры. Комплект защит шунтирующего реактора 110-750 кВ, УРОВ, АУВ</t>
        </is>
      </c>
      <c r="E26" s="403" t="inlineStr">
        <is>
          <t>шт</t>
        </is>
      </c>
      <c r="F26" s="403" t="n">
        <v>1</v>
      </c>
      <c r="G26" s="252" t="n">
        <v>680511.1800000001</v>
      </c>
      <c r="H26" s="252">
        <f>ROUND(F26*G26,2)</f>
        <v/>
      </c>
      <c r="I26" s="322" t="n"/>
      <c r="J26" s="322" t="n"/>
      <c r="K26" s="322" t="n"/>
      <c r="L26" s="322" t="n"/>
    </row>
    <row r="27">
      <c r="A27" s="366" t="inlineStr">
        <is>
          <t>Материалы</t>
        </is>
      </c>
      <c r="B27" s="456" t="n"/>
      <c r="C27" s="456" t="n"/>
      <c r="D27" s="456" t="n"/>
      <c r="E27" s="457" t="n"/>
      <c r="F27" s="366" t="n"/>
      <c r="G27" s="228" t="n"/>
      <c r="H27" s="466">
        <f>SUM(H28:H54)</f>
        <v/>
      </c>
      <c r="I27" s="308" t="n"/>
      <c r="J27" s="308" t="n"/>
      <c r="K27" s="308" t="n"/>
      <c r="L27" s="308" t="n"/>
    </row>
    <row r="28">
      <c r="A28" s="259" t="n">
        <v>12</v>
      </c>
      <c r="B28" s="367" t="n"/>
      <c r="C28" s="280" t="inlineStr">
        <is>
          <t>21.1.08.03-0579</t>
        </is>
      </c>
      <c r="D28" s="281" t="inlineStr">
        <is>
          <t>Кабель контрольный КВВГЭнг(A)-LS 5х2,5</t>
        </is>
      </c>
      <c r="E28" s="403" t="inlineStr">
        <is>
          <t>1000 м</t>
        </is>
      </c>
      <c r="F28" s="280" t="n">
        <v>2.04</v>
      </c>
      <c r="G28" s="283" t="n">
        <v>38348.22</v>
      </c>
      <c r="H28" s="252">
        <f>ROUND(F28*G28,2)</f>
        <v/>
      </c>
      <c r="I28" s="322" t="n"/>
      <c r="J28" s="322" t="n"/>
      <c r="K28" s="322" t="n"/>
      <c r="L28" s="322" t="n"/>
    </row>
    <row r="29">
      <c r="A29" s="259" t="n">
        <v>13</v>
      </c>
      <c r="B29" s="367" t="n"/>
      <c r="C29" s="280" t="inlineStr">
        <is>
          <t>21.1.08.03-0581</t>
        </is>
      </c>
      <c r="D29" s="281" t="inlineStr">
        <is>
          <t>Кабель контрольный КВВГЭнг(A)-LS 7х1,5</t>
        </is>
      </c>
      <c r="E29" s="403" t="inlineStr">
        <is>
          <t>1000 м</t>
        </is>
      </c>
      <c r="F29" s="280" t="n">
        <v>0.51</v>
      </c>
      <c r="G29" s="283" t="n">
        <v>37014.5</v>
      </c>
      <c r="H29" s="252">
        <f>ROUND(F29*G29,2)</f>
        <v/>
      </c>
      <c r="I29" s="261" t="n"/>
    </row>
    <row r="30" ht="51" customHeight="1" s="320">
      <c r="A30" s="259" t="n">
        <v>14</v>
      </c>
      <c r="B30" s="367" t="n"/>
      <c r="C30" s="280" t="inlineStr">
        <is>
          <t>21.1.01.01-0001</t>
        </is>
      </c>
      <c r="D30" s="281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E30" s="403" t="inlineStr">
        <is>
          <t>1000 м</t>
        </is>
      </c>
      <c r="F30" s="280" t="n">
        <v>0.1</v>
      </c>
      <c r="G30" s="283" t="n">
        <v>45920.85</v>
      </c>
      <c r="H30" s="252">
        <f>ROUND(F30*G30,2)</f>
        <v/>
      </c>
      <c r="I30" s="261" t="n"/>
    </row>
    <row r="31">
      <c r="A31" s="259" t="n">
        <v>15</v>
      </c>
      <c r="B31" s="367" t="n"/>
      <c r="C31" s="280" t="inlineStr">
        <is>
          <t>21.1.08.03-0574</t>
        </is>
      </c>
      <c r="D31" s="281" t="inlineStr">
        <is>
          <t>Кабель контрольный КВВГЭнг(A)-LS 4х2,5</t>
        </is>
      </c>
      <c r="E31" s="403" t="inlineStr">
        <is>
          <t>1000 м</t>
        </is>
      </c>
      <c r="F31" s="280" t="n">
        <v>0.102</v>
      </c>
      <c r="G31" s="283" t="n">
        <v>32828.83</v>
      </c>
      <c r="H31" s="252">
        <f>ROUND(F31*G31,2)</f>
        <v/>
      </c>
      <c r="I31" s="261" t="n"/>
    </row>
    <row r="32" ht="25.5" customHeight="1" s="320">
      <c r="A32" s="259" t="n">
        <v>16</v>
      </c>
      <c r="B32" s="367" t="n"/>
      <c r="C32" s="280" t="inlineStr">
        <is>
          <t>10.3.02.03-0011</t>
        </is>
      </c>
      <c r="D32" s="281" t="inlineStr">
        <is>
          <t>Припои оловянно-свинцовые бессурьмянистые, марка ПОС30</t>
        </is>
      </c>
      <c r="E32" s="403" t="inlineStr">
        <is>
          <t>т</t>
        </is>
      </c>
      <c r="F32" s="280" t="n">
        <v>0.01248</v>
      </c>
      <c r="G32" s="283" t="n">
        <v>68050</v>
      </c>
      <c r="H32" s="252">
        <f>ROUND(F32*G32,2)</f>
        <v/>
      </c>
      <c r="I32" s="261" t="n"/>
    </row>
    <row r="33" ht="25.5" customHeight="1" s="320">
      <c r="A33" s="259" t="n">
        <v>17</v>
      </c>
      <c r="B33" s="367" t="n"/>
      <c r="C33" s="280" t="inlineStr">
        <is>
          <t>24.3.01.02-0002</t>
        </is>
      </c>
      <c r="D33" s="281" t="inlineStr">
        <is>
          <t>Трубы гибкие гофрированные из самозатухающего ПВХ легкие с протяжкой, диаметр 25 мм</t>
        </is>
      </c>
      <c r="E33" s="403" t="inlineStr">
        <is>
          <t>м</t>
        </is>
      </c>
      <c r="F33" s="280" t="n">
        <v>102</v>
      </c>
      <c r="G33" s="283" t="n">
        <v>3.43</v>
      </c>
      <c r="H33" s="252">
        <f>ROUND(F33*G33,2)</f>
        <v/>
      </c>
      <c r="I33" s="261" t="n"/>
    </row>
    <row r="34" ht="25.5" customHeight="1" s="320">
      <c r="A34" s="259" t="n">
        <v>18</v>
      </c>
      <c r="B34" s="367" t="n"/>
      <c r="C34" s="280" t="inlineStr">
        <is>
          <t>07.2.07.04-0007</t>
        </is>
      </c>
      <c r="D34" s="281" t="inlineStr">
        <is>
          <t>Конструкции стальные индивидуальные решетчатые сварные, масса до 0,1 т</t>
        </is>
      </c>
      <c r="E34" s="403" t="inlineStr">
        <is>
          <t>т</t>
        </is>
      </c>
      <c r="F34" s="280" t="n">
        <v>0.03</v>
      </c>
      <c r="G34" s="283" t="n">
        <v>11500</v>
      </c>
      <c r="H34" s="252">
        <f>ROUND(F34*G34,2)</f>
        <v/>
      </c>
      <c r="I34" s="261" t="n"/>
    </row>
    <row r="35">
      <c r="A35" s="259" t="n">
        <v>19</v>
      </c>
      <c r="B35" s="367" t="n"/>
      <c r="C35" s="280" t="inlineStr">
        <is>
          <t>01.7.06.07-0002</t>
        </is>
      </c>
      <c r="D35" s="281" t="inlineStr">
        <is>
          <t>Лента монтажная, тип ЛМ-5</t>
        </is>
      </c>
      <c r="E35" s="403" t="inlineStr">
        <is>
          <t>10 м</t>
        </is>
      </c>
      <c r="F35" s="280" t="n">
        <v>19.24</v>
      </c>
      <c r="G35" s="283" t="n">
        <v>6.9</v>
      </c>
      <c r="H35" s="252">
        <f>ROUND(F35*G35,2)</f>
        <v/>
      </c>
      <c r="I35" s="261" t="n"/>
    </row>
    <row r="36">
      <c r="A36" s="259" t="n">
        <v>20</v>
      </c>
      <c r="B36" s="367" t="n"/>
      <c r="C36" s="280" t="inlineStr">
        <is>
          <t>20.1.02.06-0001</t>
        </is>
      </c>
      <c r="D36" s="281" t="inlineStr">
        <is>
          <t>Жир паяльный</t>
        </is>
      </c>
      <c r="E36" s="403" t="inlineStr">
        <is>
          <t>кг</t>
        </is>
      </c>
      <c r="F36" s="280" t="n">
        <v>0.5600000000000001</v>
      </c>
      <c r="G36" s="283" t="n">
        <v>100.8</v>
      </c>
      <c r="H36" s="252">
        <f>ROUND(F36*G36,2)</f>
        <v/>
      </c>
      <c r="I36" s="261" t="n"/>
    </row>
    <row r="37">
      <c r="A37" s="259" t="n">
        <v>21</v>
      </c>
      <c r="B37" s="367" t="n"/>
      <c r="C37" s="280" t="inlineStr">
        <is>
          <t>14.4.03.03-0002</t>
        </is>
      </c>
      <c r="D37" s="281" t="inlineStr">
        <is>
          <t>Лак битумный БТ-123</t>
        </is>
      </c>
      <c r="E37" s="403" t="inlineStr">
        <is>
          <t>т</t>
        </is>
      </c>
      <c r="F37" s="280" t="n">
        <v>0.00684</v>
      </c>
      <c r="G37" s="283" t="n">
        <v>7826.9</v>
      </c>
      <c r="H37" s="252">
        <f>ROUND(F37*G37,2)</f>
        <v/>
      </c>
      <c r="I37" s="261" t="n"/>
    </row>
    <row r="38" ht="25.5" customHeight="1" s="320">
      <c r="A38" s="259" t="n">
        <v>22</v>
      </c>
      <c r="B38" s="367" t="n"/>
      <c r="C38" s="280" t="inlineStr">
        <is>
          <t>999-9950</t>
        </is>
      </c>
      <c r="D38" s="281" t="inlineStr">
        <is>
          <t>Вспомогательные ненормируемые ресурсы (2% от Оплаты труда рабочих)</t>
        </is>
      </c>
      <c r="E38" s="403" t="inlineStr">
        <is>
          <t>руб</t>
        </is>
      </c>
      <c r="F38" s="280" t="n">
        <v>41.8334</v>
      </c>
      <c r="G38" s="283" t="n">
        <v>1</v>
      </c>
      <c r="H38" s="252">
        <f>ROUND(F38*G38,2)</f>
        <v/>
      </c>
      <c r="I38" s="261" t="n"/>
    </row>
    <row r="39">
      <c r="A39" s="259" t="n">
        <v>23</v>
      </c>
      <c r="B39" s="367" t="n"/>
      <c r="C39" s="280" t="inlineStr">
        <is>
          <t>25.2.01.01-0017</t>
        </is>
      </c>
      <c r="D39" s="281" t="inlineStr">
        <is>
          <t>Бирки маркировочные пластмассовые</t>
        </is>
      </c>
      <c r="E39" s="403" t="inlineStr">
        <is>
          <t>100 шт</t>
        </is>
      </c>
      <c r="F39" s="280" t="n">
        <v>1.14</v>
      </c>
      <c r="G39" s="283" t="n">
        <v>30.74</v>
      </c>
      <c r="H39" s="252">
        <f>ROUND(F39*G39,2)</f>
        <v/>
      </c>
      <c r="I39" s="261" t="n"/>
    </row>
    <row r="40">
      <c r="A40" s="259" t="n">
        <v>24</v>
      </c>
      <c r="B40" s="367" t="n"/>
      <c r="C40" s="280" t="inlineStr">
        <is>
          <t>01.7.15.07-0152</t>
        </is>
      </c>
      <c r="D40" s="281" t="inlineStr">
        <is>
          <t>Дюбели с шурупом, размер 6х35 мм</t>
        </is>
      </c>
      <c r="E40" s="403" t="inlineStr">
        <is>
          <t>100 шт</t>
        </is>
      </c>
      <c r="F40" s="280" t="n">
        <v>1.75</v>
      </c>
      <c r="G40" s="283" t="n">
        <v>8</v>
      </c>
      <c r="H40" s="252">
        <f>ROUND(F40*G40,2)</f>
        <v/>
      </c>
      <c r="I40" s="261" t="n"/>
    </row>
    <row r="41" ht="25.5" customHeight="1" s="320">
      <c r="A41" s="259" t="n">
        <v>25</v>
      </c>
      <c r="B41" s="367" t="n"/>
      <c r="C41" s="280" t="inlineStr">
        <is>
          <t>01.7.06.05-0041</t>
        </is>
      </c>
      <c r="D41" s="281" t="inlineStr">
        <is>
          <t>Лента изоляционная прорезиненная односторонняя, ширина 20 мм, толщина 0,25-0,35 мм</t>
        </is>
      </c>
      <c r="E41" s="403" t="inlineStr">
        <is>
          <t>кг</t>
        </is>
      </c>
      <c r="F41" s="280" t="n">
        <v>0.44</v>
      </c>
      <c r="G41" s="283" t="n">
        <v>30.4</v>
      </c>
      <c r="H41" s="252">
        <f>ROUND(F41*G41,2)</f>
        <v/>
      </c>
      <c r="I41" s="261" t="n"/>
    </row>
    <row r="42">
      <c r="A42" s="259" t="n">
        <v>26</v>
      </c>
      <c r="B42" s="367" t="n"/>
      <c r="C42" s="280" t="inlineStr">
        <is>
          <t>01.7.15.14-0165</t>
        </is>
      </c>
      <c r="D42" s="281" t="inlineStr">
        <is>
          <t>Шурупы с полукруглой головкой 4х40 мм</t>
        </is>
      </c>
      <c r="E42" s="403" t="inlineStr">
        <is>
          <t>т</t>
        </is>
      </c>
      <c r="F42" s="280" t="n">
        <v>0.00088</v>
      </c>
      <c r="G42" s="283" t="n">
        <v>12430</v>
      </c>
      <c r="H42" s="252">
        <f>ROUND(F42*G42,2)</f>
        <v/>
      </c>
      <c r="I42" s="261" t="n"/>
    </row>
    <row r="43" ht="25.5" customHeight="1" s="320">
      <c r="A43" s="259" t="n">
        <v>27</v>
      </c>
      <c r="B43" s="367" t="n"/>
      <c r="C43" s="280" t="inlineStr">
        <is>
          <t>10.3.02.03-0013</t>
        </is>
      </c>
      <c r="D43" s="281" t="inlineStr">
        <is>
          <t>Припои оловянно-свинцовые бессурьмянистые, марка ПОС61</t>
        </is>
      </c>
      <c r="E43" s="403" t="inlineStr">
        <is>
          <t>т</t>
        </is>
      </c>
      <c r="F43" s="280" t="n">
        <v>9.119999999999999e-05</v>
      </c>
      <c r="G43" s="283" t="n">
        <v>114220</v>
      </c>
      <c r="H43" s="252">
        <f>ROUND(F43*G43,2)</f>
        <v/>
      </c>
      <c r="I43" s="261" t="n"/>
    </row>
    <row r="44">
      <c r="A44" s="259" t="n">
        <v>28</v>
      </c>
      <c r="B44" s="367" t="n"/>
      <c r="C44" s="280" t="inlineStr">
        <is>
          <t>20.2.01.05-0001</t>
        </is>
      </c>
      <c r="D44" s="281" t="inlineStr">
        <is>
          <t>Гильзы кабельные медные ГМ 2,5</t>
        </is>
      </c>
      <c r="E44" s="403" t="inlineStr">
        <is>
          <t>100 шт</t>
        </is>
      </c>
      <c r="F44" s="280" t="n">
        <v>0.05</v>
      </c>
      <c r="G44" s="283" t="n">
        <v>66</v>
      </c>
      <c r="H44" s="252">
        <f>ROUND(F44*G44,2)</f>
        <v/>
      </c>
      <c r="I44" s="261" t="n"/>
    </row>
    <row r="45">
      <c r="A45" s="259" t="n">
        <v>29</v>
      </c>
      <c r="B45" s="367" t="n"/>
      <c r="C45" s="280" t="inlineStr">
        <is>
          <t>01.7.11.07-0034</t>
        </is>
      </c>
      <c r="D45" s="281" t="inlineStr">
        <is>
          <t>Электроды сварочные Э42А, диаметр 4 мм</t>
        </is>
      </c>
      <c r="E45" s="403" t="inlineStr">
        <is>
          <t>кг</t>
        </is>
      </c>
      <c r="F45" s="280" t="n">
        <v>0.3</v>
      </c>
      <c r="G45" s="283" t="n">
        <v>10.57</v>
      </c>
      <c r="H45" s="252">
        <f>ROUND(F45*G45,2)</f>
        <v/>
      </c>
      <c r="I45" s="261" t="n"/>
    </row>
    <row r="46">
      <c r="A46" s="259" t="n">
        <v>30</v>
      </c>
      <c r="B46" s="367" t="n"/>
      <c r="C46" s="280" t="inlineStr">
        <is>
          <t>01.3.01.05-0009</t>
        </is>
      </c>
      <c r="D46" s="281" t="inlineStr">
        <is>
          <t>Парафин нефтяной твердый Т-1</t>
        </is>
      </c>
      <c r="E46" s="403" t="inlineStr">
        <is>
          <t>т</t>
        </is>
      </c>
      <c r="F46" s="280" t="n">
        <v>0.00028</v>
      </c>
      <c r="G46" s="283" t="n">
        <v>8105.71</v>
      </c>
      <c r="H46" s="252">
        <f>ROUND(F46*G46,2)</f>
        <v/>
      </c>
      <c r="I46" s="261" t="n"/>
    </row>
    <row r="47">
      <c r="A47" s="259" t="n">
        <v>31</v>
      </c>
      <c r="B47" s="367" t="n"/>
      <c r="C47" s="280" t="inlineStr">
        <is>
          <t>14.4.02.09-0001</t>
        </is>
      </c>
      <c r="D47" s="281" t="inlineStr">
        <is>
          <t>Краска</t>
        </is>
      </c>
      <c r="E47" s="403" t="inlineStr">
        <is>
          <t>кг</t>
        </is>
      </c>
      <c r="F47" s="280" t="n">
        <v>0.07000000000000001</v>
      </c>
      <c r="G47" s="283" t="n">
        <v>28.6</v>
      </c>
      <c r="H47" s="252">
        <f>ROUND(F47*G47,2)</f>
        <v/>
      </c>
      <c r="I47" s="261" t="n"/>
    </row>
    <row r="48">
      <c r="A48" s="259" t="n">
        <v>32</v>
      </c>
      <c r="B48" s="367" t="n"/>
      <c r="C48" s="280" t="inlineStr">
        <is>
          <t>24.3.01.01-0002</t>
        </is>
      </c>
      <c r="D48" s="281" t="inlineStr">
        <is>
          <t>Трубка полихлорвиниловая</t>
        </is>
      </c>
      <c r="E48" s="403" t="inlineStr">
        <is>
          <t>кг</t>
        </is>
      </c>
      <c r="F48" s="280" t="n">
        <v>0.0456</v>
      </c>
      <c r="G48" s="283" t="n">
        <v>35.7</v>
      </c>
      <c r="H48" s="252">
        <f>ROUND(F48*G48,2)</f>
        <v/>
      </c>
      <c r="I48" s="261" t="n"/>
    </row>
    <row r="49">
      <c r="A49" s="259" t="n">
        <v>33</v>
      </c>
      <c r="B49" s="367" t="n"/>
      <c r="C49" s="280" t="inlineStr">
        <is>
          <t>01.3.01.07-0009</t>
        </is>
      </c>
      <c r="D49" s="281" t="inlineStr">
        <is>
          <t>Спирт этиловый ректификованный технический, сорт I</t>
        </is>
      </c>
      <c r="E49" s="403" t="inlineStr">
        <is>
          <t>кг</t>
        </is>
      </c>
      <c r="F49" s="280" t="n">
        <v>0.03306</v>
      </c>
      <c r="G49" s="283" t="n">
        <v>38.89</v>
      </c>
      <c r="H49" s="252">
        <f>ROUND(F49*G49,2)</f>
        <v/>
      </c>
      <c r="I49" s="261" t="n"/>
    </row>
    <row r="50">
      <c r="A50" s="259" t="n">
        <v>34</v>
      </c>
      <c r="B50" s="367" t="n"/>
      <c r="C50" s="280" t="inlineStr">
        <is>
          <t>20.2.02.01-0011</t>
        </is>
      </c>
      <c r="D50" s="281" t="inlineStr">
        <is>
          <t>Втулки, диаметр 17 мм</t>
        </is>
      </c>
      <c r="E50" s="403" t="inlineStr">
        <is>
          <t>1000 шт</t>
        </is>
      </c>
      <c r="F50" s="280" t="n">
        <v>0.0122</v>
      </c>
      <c r="G50" s="283" t="n">
        <v>75.40000000000001</v>
      </c>
      <c r="H50" s="252">
        <f>ROUND(F50*G50,2)</f>
        <v/>
      </c>
      <c r="I50" s="261" t="n"/>
    </row>
    <row r="51">
      <c r="A51" s="259" t="n">
        <v>35</v>
      </c>
      <c r="B51" s="367" t="n"/>
      <c r="C51" s="280" t="inlineStr">
        <is>
          <t>01.7.07.20-0002</t>
        </is>
      </c>
      <c r="D51" s="281" t="inlineStr">
        <is>
          <t>Тальк молотый, сорт I</t>
        </is>
      </c>
      <c r="E51" s="403" t="inlineStr">
        <is>
          <t>т</t>
        </is>
      </c>
      <c r="F51" s="280" t="n">
        <v>0.00043</v>
      </c>
      <c r="G51" s="283" t="n">
        <v>1820</v>
      </c>
      <c r="H51" s="252">
        <f>ROUND(F51*G51,2)</f>
        <v/>
      </c>
      <c r="I51" s="261" t="n"/>
    </row>
    <row r="52">
      <c r="A52" s="259" t="n">
        <v>36</v>
      </c>
      <c r="B52" s="367" t="n"/>
      <c r="C52" s="280" t="inlineStr">
        <is>
          <t>01.3.05.17-0002</t>
        </is>
      </c>
      <c r="D52" s="281" t="inlineStr">
        <is>
          <t>Канифоль сосновая</t>
        </is>
      </c>
      <c r="E52" s="403" t="inlineStr">
        <is>
          <t>кг</t>
        </is>
      </c>
      <c r="F52" s="280" t="n">
        <v>0.02166</v>
      </c>
      <c r="G52" s="283" t="n">
        <v>27.74</v>
      </c>
      <c r="H52" s="252">
        <f>ROUND(F52*G52,2)</f>
        <v/>
      </c>
      <c r="I52" s="261" t="n"/>
    </row>
    <row r="53">
      <c r="A53" s="259" t="n">
        <v>37</v>
      </c>
      <c r="B53" s="367" t="n"/>
      <c r="C53" s="280" t="inlineStr">
        <is>
          <t>01.7.15.03-0042</t>
        </is>
      </c>
      <c r="D53" s="281" t="inlineStr">
        <is>
          <t>Болты с гайками и шайбами строительные</t>
        </is>
      </c>
      <c r="E53" s="403" t="inlineStr">
        <is>
          <t>кг</t>
        </is>
      </c>
      <c r="F53" s="280" t="n">
        <v>0.06</v>
      </c>
      <c r="G53" s="283" t="n">
        <v>9.039999999999999</v>
      </c>
      <c r="H53" s="252">
        <f>ROUND(F53*G53,2)</f>
        <v/>
      </c>
      <c r="I53" s="261" t="n"/>
    </row>
    <row r="54">
      <c r="A54" s="259" t="n">
        <v>38</v>
      </c>
      <c r="B54" s="367" t="n"/>
      <c r="C54" s="280" t="inlineStr">
        <is>
          <t>01.3.05.11-0001</t>
        </is>
      </c>
      <c r="D54" s="281" t="inlineStr">
        <is>
          <t>Дихлорэтан технический, сорт I</t>
        </is>
      </c>
      <c r="E54" s="403" t="inlineStr">
        <is>
          <t>т</t>
        </is>
      </c>
      <c r="F54" s="280" t="n">
        <v>2.28e-05</v>
      </c>
      <c r="G54" s="283" t="n">
        <v>4934.48</v>
      </c>
      <c r="H54" s="252">
        <f>ROUND(F54*G54,2)</f>
        <v/>
      </c>
      <c r="I54" s="261" t="n"/>
    </row>
    <row r="57">
      <c r="B57" s="322" t="inlineStr">
        <is>
          <t>Составил ______________________     Е. М. Добровольская</t>
        </is>
      </c>
    </row>
    <row r="58">
      <c r="B58" s="266" t="inlineStr">
        <is>
          <t xml:space="preserve">                         (подпись, инициалы, фамилия)</t>
        </is>
      </c>
    </row>
    <row r="60">
      <c r="B60" s="322" t="inlineStr">
        <is>
          <t>Проверил ______________________        А.В. Костянецкая</t>
        </is>
      </c>
    </row>
    <row r="61">
      <c r="B61" s="266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A12:E12"/>
    <mergeCell ref="D9:D10"/>
    <mergeCell ref="E9:E10"/>
    <mergeCell ref="F9:F10"/>
    <mergeCell ref="A9:A10"/>
    <mergeCell ref="A2:H2"/>
    <mergeCell ref="A25:E25"/>
    <mergeCell ref="A19:E19"/>
    <mergeCell ref="C4:H4"/>
    <mergeCell ref="G9:H9"/>
    <mergeCell ref="A17:E17"/>
    <mergeCell ref="A6:H6"/>
    <mergeCell ref="A27:E27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28" workbookViewId="0">
      <selection activeCell="B43" sqref="B43"/>
    </sheetView>
  </sheetViews>
  <sheetFormatPr baseColWidth="8" defaultRowHeight="15"/>
  <cols>
    <col width="4.140625" customWidth="1" style="320" min="1" max="1"/>
    <col width="36.28515625" customWidth="1" style="320" min="2" max="2"/>
    <col width="18.85546875" customWidth="1" style="320" min="3" max="3"/>
    <col width="18.28515625" customWidth="1" style="320" min="4" max="4"/>
    <col width="18.85546875" customWidth="1" style="320" min="5" max="5"/>
    <col width="9.140625" customWidth="1" style="320" min="6" max="6"/>
    <col width="13.42578125" customWidth="1" style="320" min="7" max="7"/>
    <col width="9.140625" customWidth="1" style="320" min="8" max="11"/>
    <col width="13.5703125" customWidth="1" style="320" min="12" max="12"/>
    <col width="9.140625" customWidth="1" style="320" min="13" max="13"/>
  </cols>
  <sheetData>
    <row r="1">
      <c r="B1" s="314" t="n"/>
      <c r="C1" s="314" t="n"/>
      <c r="D1" s="314" t="n"/>
      <c r="E1" s="314" t="n"/>
    </row>
    <row r="2">
      <c r="B2" s="314" t="n"/>
      <c r="C2" s="314" t="n"/>
      <c r="D2" s="314" t="n"/>
      <c r="E2" s="398" t="inlineStr">
        <is>
          <t>Приложение № 4</t>
        </is>
      </c>
    </row>
    <row r="3">
      <c r="B3" s="314" t="n"/>
      <c r="C3" s="314" t="n"/>
      <c r="D3" s="314" t="n"/>
      <c r="E3" s="314" t="n"/>
    </row>
    <row r="4">
      <c r="B4" s="314" t="n"/>
      <c r="C4" s="314" t="n"/>
      <c r="D4" s="314" t="n"/>
      <c r="E4" s="314" t="n"/>
    </row>
    <row r="5">
      <c r="B5" s="344" t="inlineStr">
        <is>
          <t>Ресурсная модель</t>
        </is>
      </c>
    </row>
    <row r="6">
      <c r="B6" s="242" t="n"/>
      <c r="C6" s="314" t="n"/>
      <c r="D6" s="314" t="n"/>
      <c r="E6" s="314" t="n"/>
    </row>
    <row r="7" ht="45.75" customHeight="1" s="320">
      <c r="B7" s="370" t="inlineStr">
        <is>
          <t>Наименование разрабатываемого показателя УНЦ — Шкафы РЗА 2 архитектуры. Комплект защит шунтирующего реактора 110-750 кВ, УРОВ, АУВ</t>
        </is>
      </c>
    </row>
    <row r="8">
      <c r="B8" s="371" t="inlineStr">
        <is>
          <t>Единица измерения  — 1 ед</t>
        </is>
      </c>
    </row>
    <row r="9">
      <c r="B9" s="242" t="n"/>
      <c r="C9" s="314" t="n"/>
      <c r="D9" s="314" t="n"/>
      <c r="E9" s="314" t="n"/>
    </row>
    <row r="10" ht="51" customHeight="1" s="320">
      <c r="B10" s="375" t="inlineStr">
        <is>
          <t>Наименование</t>
        </is>
      </c>
      <c r="C10" s="375" t="inlineStr">
        <is>
          <t>Сметная стоимость в ценах на 01.01.2023
 (руб.)</t>
        </is>
      </c>
      <c r="D10" s="375" t="inlineStr">
        <is>
          <t>Удельный вес, 
(в СМР)</t>
        </is>
      </c>
      <c r="E10" s="375" t="inlineStr">
        <is>
          <t>Удельный вес, % 
(от всего по РМ)</t>
        </is>
      </c>
    </row>
    <row r="11">
      <c r="B11" s="234" t="inlineStr">
        <is>
          <t>Оплата труда рабочих</t>
        </is>
      </c>
      <c r="C11" s="235">
        <f>'Прил.5 Расчет СМР и ОБ'!J14</f>
        <v/>
      </c>
      <c r="D11" s="236">
        <f>C11/$C$24</f>
        <v/>
      </c>
      <c r="E11" s="236">
        <f>C11/$C$40</f>
        <v/>
      </c>
    </row>
    <row r="12">
      <c r="B12" s="234" t="inlineStr">
        <is>
          <t>Эксплуатация машин основных</t>
        </is>
      </c>
      <c r="C12" s="235">
        <f>'Прил.5 Расчет СМР и ОБ'!J22</f>
        <v/>
      </c>
      <c r="D12" s="236">
        <f>C12/$C$24</f>
        <v/>
      </c>
      <c r="E12" s="236">
        <f>C12/$C$40</f>
        <v/>
      </c>
    </row>
    <row r="13">
      <c r="B13" s="234" t="inlineStr">
        <is>
          <t>Эксплуатация машин прочих</t>
        </is>
      </c>
      <c r="C13" s="235">
        <f>'Прил.5 Расчет СМР и ОБ'!J25</f>
        <v/>
      </c>
      <c r="D13" s="236">
        <f>C13/$C$24</f>
        <v/>
      </c>
      <c r="E13" s="236">
        <f>C13/$C$40</f>
        <v/>
      </c>
    </row>
    <row r="14">
      <c r="B14" s="234" t="inlineStr">
        <is>
          <t>ЭКСПЛУАТАЦИЯ МАШИН, ВСЕГО:</t>
        </is>
      </c>
      <c r="C14" s="235">
        <f>C13+C12</f>
        <v/>
      </c>
      <c r="D14" s="236">
        <f>C14/$C$24</f>
        <v/>
      </c>
      <c r="E14" s="236">
        <f>C14/$C$40</f>
        <v/>
      </c>
    </row>
    <row r="15">
      <c r="B15" s="234" t="inlineStr">
        <is>
          <t>в том числе зарплата машинистов</t>
        </is>
      </c>
      <c r="C15" s="235">
        <f>'Прил.5 Расчет СМР и ОБ'!J16</f>
        <v/>
      </c>
      <c r="D15" s="236">
        <f>C15/$C$24</f>
        <v/>
      </c>
      <c r="E15" s="236">
        <f>C15/$C$40</f>
        <v/>
      </c>
    </row>
    <row r="16">
      <c r="B16" s="234" t="inlineStr">
        <is>
          <t>Материалы основные</t>
        </is>
      </c>
      <c r="C16" s="235">
        <f>'Прил.5 Расчет СМР и ОБ'!J38</f>
        <v/>
      </c>
      <c r="D16" s="236">
        <f>C16/$C$24</f>
        <v/>
      </c>
      <c r="E16" s="236">
        <f>C16/$C$40</f>
        <v/>
      </c>
    </row>
    <row r="17">
      <c r="B17" s="234" t="inlineStr">
        <is>
          <t>Материалы прочие</t>
        </is>
      </c>
      <c r="C17" s="235">
        <f>'Прил.5 Расчет СМР и ОБ'!J64</f>
        <v/>
      </c>
      <c r="D17" s="236">
        <f>C17/$C$24</f>
        <v/>
      </c>
      <c r="E17" s="236">
        <f>C17/$C$40</f>
        <v/>
      </c>
      <c r="G17" s="469" t="n"/>
    </row>
    <row r="18">
      <c r="B18" s="234" t="inlineStr">
        <is>
          <t>МАТЕРИАЛЫ, ВСЕГО:</t>
        </is>
      </c>
      <c r="C18" s="235">
        <f>C17+C16</f>
        <v/>
      </c>
      <c r="D18" s="236">
        <f>C18/$C$24</f>
        <v/>
      </c>
      <c r="E18" s="236">
        <f>C18/$C$40</f>
        <v/>
      </c>
    </row>
    <row r="19">
      <c r="B19" s="234" t="inlineStr">
        <is>
          <t>ИТОГО</t>
        </is>
      </c>
      <c r="C19" s="235">
        <f>C18+C14+C11</f>
        <v/>
      </c>
      <c r="D19" s="236" t="n"/>
      <c r="E19" s="234" t="n"/>
    </row>
    <row r="20">
      <c r="B20" s="234" t="inlineStr">
        <is>
          <t>Сметная прибыль, руб.</t>
        </is>
      </c>
      <c r="C20" s="235">
        <f>ROUND(C21*(C11+C15),2)</f>
        <v/>
      </c>
      <c r="D20" s="236">
        <f>C20/$C$24</f>
        <v/>
      </c>
      <c r="E20" s="236">
        <f>C20/$C$40</f>
        <v/>
      </c>
    </row>
    <row r="21">
      <c r="B21" s="234" t="inlineStr">
        <is>
          <t>Сметная прибыль, %</t>
        </is>
      </c>
      <c r="C21" s="239">
        <f>'Прил.5 Расчет СМР и ОБ'!D68</f>
        <v/>
      </c>
      <c r="D21" s="236" t="n"/>
      <c r="E21" s="234" t="n"/>
    </row>
    <row r="22">
      <c r="B22" s="234" t="inlineStr">
        <is>
          <t>Накладные расходы, руб.</t>
        </is>
      </c>
      <c r="C22" s="235">
        <f>ROUND(C23*(C11+C15),2)</f>
        <v/>
      </c>
      <c r="D22" s="236">
        <f>C22/$C$24</f>
        <v/>
      </c>
      <c r="E22" s="236">
        <f>C22/$C$40</f>
        <v/>
      </c>
    </row>
    <row r="23">
      <c r="B23" s="234" t="inlineStr">
        <is>
          <t>Накладные расходы, %</t>
        </is>
      </c>
      <c r="C23" s="239">
        <f>'Прил.5 Расчет СМР и ОБ'!D67</f>
        <v/>
      </c>
      <c r="D23" s="236" t="n"/>
      <c r="E23" s="234" t="n"/>
    </row>
    <row r="24">
      <c r="B24" s="234" t="inlineStr">
        <is>
          <t>ВСЕГО СМР с НР и СП</t>
        </is>
      </c>
      <c r="C24" s="235">
        <f>C19+C20+C22</f>
        <v/>
      </c>
      <c r="D24" s="236">
        <f>C24/$C$24</f>
        <v/>
      </c>
      <c r="E24" s="236">
        <f>C24/$C$40</f>
        <v/>
      </c>
    </row>
    <row r="25" ht="25.5" customHeight="1" s="320">
      <c r="B25" s="234" t="inlineStr">
        <is>
          <t>ВСЕГО стоимость оборудования, в том числе</t>
        </is>
      </c>
      <c r="C25" s="235">
        <f>'Прил.5 Расчет СМР и ОБ'!J32</f>
        <v/>
      </c>
      <c r="D25" s="236" t="n"/>
      <c r="E25" s="236">
        <f>C25/$C$40</f>
        <v/>
      </c>
    </row>
    <row r="26" ht="25.5" customHeight="1" s="320">
      <c r="B26" s="234" t="inlineStr">
        <is>
          <t>стоимость оборудования технологического</t>
        </is>
      </c>
      <c r="C26" s="235">
        <f>'Прил.5 Расчет СМР и ОБ'!J33</f>
        <v/>
      </c>
      <c r="D26" s="236" t="n"/>
      <c r="E26" s="236">
        <f>C26/$C$40</f>
        <v/>
      </c>
    </row>
    <row r="27">
      <c r="B27" s="234" t="inlineStr">
        <is>
          <t>ИТОГО (СМР + ОБОРУДОВАНИЕ)</t>
        </is>
      </c>
      <c r="C27" s="238">
        <f>C24+C25</f>
        <v/>
      </c>
      <c r="D27" s="236" t="n"/>
      <c r="E27" s="236">
        <f>C27/$C$40</f>
        <v/>
      </c>
      <c r="G27" s="237" t="n"/>
    </row>
    <row r="28" ht="33" customHeight="1" s="320">
      <c r="B28" s="234" t="inlineStr">
        <is>
          <t>ПРОЧ. ЗАТР., УЧТЕННЫЕ ПОКАЗАТЕЛЕМ,  в том числе</t>
        </is>
      </c>
      <c r="C28" s="234" t="n"/>
      <c r="D28" s="234" t="n"/>
      <c r="E28" s="234" t="n"/>
    </row>
    <row r="29" ht="25.5" customHeight="1" s="320">
      <c r="B29" s="234" t="inlineStr">
        <is>
          <t>Временные здания и сооружения - 3,9%</t>
        </is>
      </c>
      <c r="C29" s="238">
        <f>ROUND(C24*3.9%,2)</f>
        <v/>
      </c>
      <c r="D29" s="234" t="n"/>
      <c r="E29" s="236" t="n">
        <v>0.039</v>
      </c>
    </row>
    <row r="30" ht="38.25" customHeight="1" s="320">
      <c r="B30" s="234" t="inlineStr">
        <is>
          <t>Дополнительные затраты при производстве строительно-монтажных работ в зимнее время - 2,1%</t>
        </is>
      </c>
      <c r="C30" s="238">
        <f>ROUND((C24+C29)*2.1%,2)</f>
        <v/>
      </c>
      <c r="D30" s="234" t="n"/>
      <c r="E30" s="236" t="n">
        <v>0.021</v>
      </c>
    </row>
    <row r="31">
      <c r="B31" s="234" t="inlineStr">
        <is>
          <t>Пусконаладочные работы</t>
        </is>
      </c>
      <c r="C31" s="238" t="n">
        <v>105140</v>
      </c>
      <c r="D31" s="234" t="n"/>
      <c r="E31" s="236">
        <f>C31/$C$40</f>
        <v/>
      </c>
    </row>
    <row r="32" ht="25.5" customHeight="1" s="320">
      <c r="B32" s="234" t="inlineStr">
        <is>
          <t>Затраты по перевозке работников к месту работы и обратно</t>
        </is>
      </c>
      <c r="C32" s="238" t="n">
        <v>0</v>
      </c>
      <c r="D32" s="234" t="n"/>
      <c r="E32" s="236">
        <f>C32/$C$40</f>
        <v/>
      </c>
    </row>
    <row r="33" ht="25.5" customHeight="1" s="320">
      <c r="B33" s="234" t="inlineStr">
        <is>
          <t>Затраты, связанные с осуществлением работ вахтовым методом</t>
        </is>
      </c>
      <c r="C33" s="238">
        <f>ROUND(C27*0%,2)</f>
        <v/>
      </c>
      <c r="D33" s="234" t="n"/>
      <c r="E33" s="236">
        <f>C33/$C$40</f>
        <v/>
      </c>
    </row>
    <row r="34" ht="51" customHeight="1" s="320">
      <c r="B34" s="23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8" t="n">
        <v>0</v>
      </c>
      <c r="D34" s="234" t="n"/>
      <c r="E34" s="236">
        <f>C34/$C$40</f>
        <v/>
      </c>
    </row>
    <row r="35" ht="76.5" customHeight="1" s="320">
      <c r="B35" s="23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8">
        <f>ROUND(C27*0%,2)</f>
        <v/>
      </c>
      <c r="D35" s="234" t="n"/>
      <c r="E35" s="236">
        <f>C35/$C$40</f>
        <v/>
      </c>
    </row>
    <row r="36" ht="25.5" customHeight="1" s="320">
      <c r="B36" s="234" t="inlineStr">
        <is>
          <t>Строительный контроль и содержание службы заказчика - 2,14%</t>
        </is>
      </c>
      <c r="C36" s="238">
        <f>ROUND((C27+C32+C33+C34+C35+C29+C31+C30)*2.14%,2)</f>
        <v/>
      </c>
      <c r="D36" s="234" t="n"/>
      <c r="E36" s="236">
        <f>C36/$C$40</f>
        <v/>
      </c>
      <c r="L36" s="237" t="n"/>
    </row>
    <row r="37">
      <c r="B37" s="234" t="inlineStr">
        <is>
          <t>Авторский надзор - 0,2%</t>
        </is>
      </c>
      <c r="C37" s="238">
        <f>ROUND((C27+C32+C33+C34+C35+C29+C31+C30)*0.2%,2)</f>
        <v/>
      </c>
      <c r="D37" s="234" t="n"/>
      <c r="E37" s="236">
        <f>C37/$C$40</f>
        <v/>
      </c>
      <c r="L37" s="237" t="n"/>
    </row>
    <row r="38" ht="38.25" customHeight="1" s="320">
      <c r="B38" s="234" t="inlineStr">
        <is>
          <t>ИТОГО (СМР+ОБОРУДОВАНИЕ+ПРОЧ. ЗАТР., УЧТЕННЫЕ ПОКАЗАТЕЛЕМ)</t>
        </is>
      </c>
      <c r="C38" s="235">
        <f>C27+C32+C33+C34+C35+C29+C31+C30+C36+C37</f>
        <v/>
      </c>
      <c r="D38" s="234" t="n"/>
      <c r="E38" s="236">
        <f>C38/$C$40</f>
        <v/>
      </c>
    </row>
    <row r="39" ht="13.5" customHeight="1" s="320">
      <c r="B39" s="234" t="inlineStr">
        <is>
          <t>Непредвиденные расходы</t>
        </is>
      </c>
      <c r="C39" s="235">
        <f>ROUND(C38*3%,2)</f>
        <v/>
      </c>
      <c r="D39" s="234" t="n"/>
      <c r="E39" s="236">
        <f>C39/$C$38</f>
        <v/>
      </c>
    </row>
    <row r="40">
      <c r="B40" s="234" t="inlineStr">
        <is>
          <t>ВСЕГО:</t>
        </is>
      </c>
      <c r="C40" s="235">
        <f>C39+C38</f>
        <v/>
      </c>
      <c r="D40" s="234" t="n"/>
      <c r="E40" s="236">
        <f>C40/$C$40</f>
        <v/>
      </c>
    </row>
    <row r="41">
      <c r="B41" s="234" t="inlineStr">
        <is>
          <t>ИТОГО ПОКАЗАТЕЛЬ НА ЕД. ИЗМ.</t>
        </is>
      </c>
      <c r="C41" s="235">
        <f>C40/'Прил.5 Расчет СМР и ОБ'!E71</f>
        <v/>
      </c>
      <c r="D41" s="234" t="n"/>
      <c r="E41" s="234" t="n"/>
    </row>
    <row r="42">
      <c r="B42" s="233" t="n"/>
      <c r="C42" s="314" t="n"/>
      <c r="D42" s="314" t="n"/>
      <c r="E42" s="314" t="n"/>
    </row>
    <row r="43">
      <c r="B43" s="233" t="inlineStr">
        <is>
          <t>Составил ____________________________  Е. М. Добровольская</t>
        </is>
      </c>
      <c r="C43" s="314" t="n"/>
      <c r="D43" s="314" t="n"/>
      <c r="E43" s="314" t="n"/>
    </row>
    <row r="44">
      <c r="B44" s="233" t="inlineStr">
        <is>
          <t xml:space="preserve">(должность, подпись, инициалы, фамилия) </t>
        </is>
      </c>
      <c r="C44" s="314" t="n"/>
      <c r="D44" s="314" t="n"/>
      <c r="E44" s="314" t="n"/>
    </row>
    <row r="45">
      <c r="B45" s="233" t="n"/>
      <c r="C45" s="314" t="n"/>
      <c r="D45" s="314" t="n"/>
      <c r="E45" s="314" t="n"/>
    </row>
    <row r="46">
      <c r="B46" s="233" t="inlineStr">
        <is>
          <t>Проверил ____________________________ А.В. Костянецкая</t>
        </is>
      </c>
      <c r="C46" s="314" t="n"/>
      <c r="D46" s="314" t="n"/>
      <c r="E46" s="314" t="n"/>
    </row>
    <row r="47">
      <c r="B47" s="371" t="inlineStr">
        <is>
          <t>(должность, подпись, инициалы, фамилия)</t>
        </is>
      </c>
      <c r="D47" s="314" t="n"/>
      <c r="E47" s="314" t="n"/>
    </row>
    <row r="49">
      <c r="B49" s="314" t="n"/>
      <c r="C49" s="314" t="n"/>
      <c r="D49" s="314" t="n"/>
      <c r="E49" s="314" t="n"/>
    </row>
    <row r="50">
      <c r="B50" s="314" t="n"/>
      <c r="C50" s="314" t="n"/>
      <c r="D50" s="314" t="n"/>
      <c r="E50" s="31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4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view="pageBreakPreview" topLeftCell="A31" workbookViewId="0">
      <selection activeCell="B72" sqref="B72"/>
    </sheetView>
  </sheetViews>
  <sheetFormatPr baseColWidth="8" defaultColWidth="9.140625" defaultRowHeight="15" outlineLevelRow="1"/>
  <cols>
    <col width="5.7109375" customWidth="1" style="315" min="1" max="1"/>
    <col width="22.5703125" customWidth="1" style="315" min="2" max="2"/>
    <col width="39.140625" customWidth="1" style="315" min="3" max="3"/>
    <col width="10.7109375" customWidth="1" style="315" min="4" max="4"/>
    <col width="14.5703125" customWidth="1" style="315" min="5" max="6"/>
    <col width="15.85546875" customWidth="1" style="315" min="7" max="7"/>
    <col width="12.7109375" customWidth="1" style="315" min="8" max="8"/>
    <col width="13.85546875" customWidth="1" style="315" min="9" max="9"/>
    <col width="17.5703125" customWidth="1" style="315" min="10" max="10"/>
    <col width="10.85546875" customWidth="1" style="315" min="11" max="11"/>
    <col width="13.85546875" customWidth="1" style="315" min="12" max="12"/>
    <col width="9.140625" customWidth="1" style="320" min="13" max="13"/>
  </cols>
  <sheetData>
    <row r="1" s="320">
      <c r="A1" s="315" t="n"/>
      <c r="B1" s="315" t="n"/>
      <c r="C1" s="315" t="n"/>
      <c r="D1" s="315" t="n"/>
      <c r="E1" s="315" t="n"/>
      <c r="F1" s="315" t="n"/>
      <c r="G1" s="315" t="n"/>
      <c r="H1" s="315" t="n"/>
      <c r="I1" s="315" t="n"/>
      <c r="J1" s="315" t="n"/>
      <c r="K1" s="315" t="n"/>
      <c r="L1" s="315" t="n"/>
      <c r="M1" s="315" t="n"/>
      <c r="N1" s="315" t="n"/>
    </row>
    <row r="2" ht="15.75" customHeight="1" s="320">
      <c r="A2" s="315" t="n"/>
      <c r="B2" s="315" t="n"/>
      <c r="C2" s="315" t="n"/>
      <c r="D2" s="315" t="n"/>
      <c r="E2" s="315" t="n"/>
      <c r="F2" s="315" t="n"/>
      <c r="G2" s="315" t="n"/>
      <c r="H2" s="372" t="inlineStr">
        <is>
          <t>Приложение №5</t>
        </is>
      </c>
      <c r="K2" s="315" t="n"/>
      <c r="L2" s="315" t="n"/>
      <c r="M2" s="315" t="n"/>
      <c r="N2" s="315" t="n"/>
    </row>
    <row r="3" s="320">
      <c r="A3" s="315" t="n"/>
      <c r="B3" s="315" t="n"/>
      <c r="C3" s="315" t="n"/>
      <c r="D3" s="315" t="n"/>
      <c r="E3" s="315" t="n"/>
      <c r="F3" s="315" t="n"/>
      <c r="G3" s="315" t="n"/>
      <c r="H3" s="315" t="n"/>
      <c r="I3" s="315" t="n"/>
      <c r="J3" s="315" t="n"/>
      <c r="K3" s="315" t="n"/>
      <c r="L3" s="315" t="n"/>
      <c r="M3" s="315" t="n"/>
      <c r="N3" s="315" t="n"/>
    </row>
    <row r="4" ht="12.75" customFormat="1" customHeight="1" s="314">
      <c r="A4" s="344" t="inlineStr">
        <is>
          <t>Расчет стоимости СМР и оборудования</t>
        </is>
      </c>
    </row>
    <row r="5" ht="12.75" customFormat="1" customHeight="1" s="314">
      <c r="A5" s="344" t="n"/>
      <c r="B5" s="344" t="n"/>
      <c r="C5" s="406" t="n"/>
      <c r="D5" s="344" t="n"/>
      <c r="E5" s="344" t="n"/>
      <c r="F5" s="344" t="n"/>
      <c r="G5" s="344" t="n"/>
      <c r="H5" s="344" t="n"/>
      <c r="I5" s="344" t="n"/>
      <c r="J5" s="344" t="n"/>
    </row>
    <row r="6" ht="33.75" customFormat="1" customHeight="1" s="314">
      <c r="A6" s="267" t="inlineStr">
        <is>
          <t>Наименование разрабатываемого показателя УНЦ</t>
        </is>
      </c>
      <c r="B6" s="204" t="n"/>
      <c r="C6" s="204" t="n"/>
      <c r="D6" s="347" t="inlineStr">
        <is>
          <t>Шкафы РЗА 2 архитектуры. Комплект защит шунтирующего реактора 110-750 кВ, УРОВ, АУВ</t>
        </is>
      </c>
    </row>
    <row r="7" ht="12.75" customFormat="1" customHeight="1" s="314">
      <c r="A7" s="347" t="inlineStr">
        <is>
          <t>Единица измерения  — 1 ед</t>
        </is>
      </c>
      <c r="I7" s="370" t="n"/>
      <c r="J7" s="370" t="n"/>
    </row>
    <row r="8" ht="13.5" customFormat="1" customHeight="1" s="314">
      <c r="A8" s="347" t="n"/>
    </row>
    <row r="9" ht="27" customHeight="1" s="320">
      <c r="A9" s="375" t="inlineStr">
        <is>
          <t>№ пп.</t>
        </is>
      </c>
      <c r="B9" s="375" t="inlineStr">
        <is>
          <t>Код ресурса</t>
        </is>
      </c>
      <c r="C9" s="375" t="inlineStr">
        <is>
          <t>Наименование</t>
        </is>
      </c>
      <c r="D9" s="375" t="inlineStr">
        <is>
          <t>Ед. изм.</t>
        </is>
      </c>
      <c r="E9" s="375" t="inlineStr">
        <is>
          <t>Кол-во единиц по проектным данным</t>
        </is>
      </c>
      <c r="F9" s="375" t="inlineStr">
        <is>
          <t>Сметная стоимость в ценах на 01.01.2000 (руб.)</t>
        </is>
      </c>
      <c r="G9" s="457" t="n"/>
      <c r="H9" s="375" t="inlineStr">
        <is>
          <t>Удельный вес, %</t>
        </is>
      </c>
      <c r="I9" s="375" t="inlineStr">
        <is>
          <t>Сметная стоимость в ценах на 01.01.2023 (руб.)</t>
        </is>
      </c>
      <c r="J9" s="457" t="n"/>
      <c r="K9" s="315" t="n"/>
      <c r="L9" s="315" t="n"/>
      <c r="M9" s="315" t="n"/>
      <c r="N9" s="315" t="n"/>
    </row>
    <row r="10" ht="28.5" customHeight="1" s="320">
      <c r="A10" s="459" t="n"/>
      <c r="B10" s="459" t="n"/>
      <c r="C10" s="459" t="n"/>
      <c r="D10" s="459" t="n"/>
      <c r="E10" s="459" t="n"/>
      <c r="F10" s="375" t="inlineStr">
        <is>
          <t>на ед. изм.</t>
        </is>
      </c>
      <c r="G10" s="375" t="inlineStr">
        <is>
          <t>общая</t>
        </is>
      </c>
      <c r="H10" s="459" t="n"/>
      <c r="I10" s="375" t="inlineStr">
        <is>
          <t>на ед. изм.</t>
        </is>
      </c>
      <c r="J10" s="375" t="inlineStr">
        <is>
          <t>общая</t>
        </is>
      </c>
      <c r="K10" s="315" t="n"/>
      <c r="L10" s="315" t="n"/>
      <c r="M10" s="315" t="n"/>
      <c r="N10" s="315" t="n"/>
    </row>
    <row r="11" s="320">
      <c r="A11" s="375" t="n">
        <v>1</v>
      </c>
      <c r="B11" s="375" t="n">
        <v>2</v>
      </c>
      <c r="C11" s="375" t="n">
        <v>3</v>
      </c>
      <c r="D11" s="375" t="n">
        <v>4</v>
      </c>
      <c r="E11" s="375" t="n">
        <v>5</v>
      </c>
      <c r="F11" s="375" t="n">
        <v>6</v>
      </c>
      <c r="G11" s="375" t="n">
        <v>7</v>
      </c>
      <c r="H11" s="375" t="n">
        <v>8</v>
      </c>
      <c r="I11" s="376" t="n">
        <v>9</v>
      </c>
      <c r="J11" s="376" t="n">
        <v>10</v>
      </c>
      <c r="K11" s="315" t="n"/>
      <c r="L11" s="315" t="n"/>
      <c r="M11" s="315" t="n"/>
      <c r="N11" s="315" t="n"/>
    </row>
    <row r="12">
      <c r="A12" s="375" t="n"/>
      <c r="B12" s="365" t="inlineStr">
        <is>
          <t>Затраты труда рабочих-строителей</t>
        </is>
      </c>
      <c r="C12" s="456" t="n"/>
      <c r="D12" s="456" t="n"/>
      <c r="E12" s="456" t="n"/>
      <c r="F12" s="456" t="n"/>
      <c r="G12" s="456" t="n"/>
      <c r="H12" s="457" t="n"/>
      <c r="I12" s="192" t="n"/>
      <c r="J12" s="192" t="n"/>
    </row>
    <row r="13" ht="25.5" customHeight="1" s="320">
      <c r="A13" s="375" t="n">
        <v>1</v>
      </c>
      <c r="B13" s="274" t="inlineStr">
        <is>
          <t>1-3-8</t>
        </is>
      </c>
      <c r="C13" s="383" t="inlineStr">
        <is>
          <t>Затраты труда рабочих-строителей среднего разряда (3,8)</t>
        </is>
      </c>
      <c r="D13" s="375" t="inlineStr">
        <is>
          <t>чел.-ч.</t>
        </is>
      </c>
      <c r="E13" s="470">
        <f>G13/F13</f>
        <v/>
      </c>
      <c r="F13" s="198" t="n">
        <v>9.4</v>
      </c>
      <c r="G13" s="198">
        <f>Прил.3!H12</f>
        <v/>
      </c>
      <c r="H13" s="264">
        <f>G13/G14</f>
        <v/>
      </c>
      <c r="I13" s="198">
        <f>ФОТр.тек.!E13</f>
        <v/>
      </c>
      <c r="J13" s="198">
        <f>ROUND(I13*E13,2)</f>
        <v/>
      </c>
    </row>
    <row r="14" ht="25.5" customFormat="1" customHeight="1" s="315">
      <c r="A14" s="375" t="n"/>
      <c r="B14" s="375" t="n"/>
      <c r="C14" s="365" t="inlineStr">
        <is>
          <t>Итого по разделу "Затраты труда рабочих-строителей"</t>
        </is>
      </c>
      <c r="D14" s="375" t="inlineStr">
        <is>
          <t>чел.-ч.</t>
        </is>
      </c>
      <c r="E14" s="470">
        <f>SUM(E13:E13)</f>
        <v/>
      </c>
      <c r="F14" s="198" t="n"/>
      <c r="G14" s="198">
        <f>SUM(G13:G13)</f>
        <v/>
      </c>
      <c r="H14" s="386" t="n">
        <v>1</v>
      </c>
      <c r="I14" s="192" t="n"/>
      <c r="J14" s="198">
        <f>SUM(J13:J13)</f>
        <v/>
      </c>
    </row>
    <row r="15" ht="14.25" customFormat="1" customHeight="1" s="315">
      <c r="A15" s="375" t="n"/>
      <c r="B15" s="383" t="inlineStr">
        <is>
          <t>Затраты труда машинистов</t>
        </is>
      </c>
      <c r="C15" s="456" t="n"/>
      <c r="D15" s="456" t="n"/>
      <c r="E15" s="456" t="n"/>
      <c r="F15" s="456" t="n"/>
      <c r="G15" s="456" t="n"/>
      <c r="H15" s="457" t="n"/>
      <c r="I15" s="192" t="n"/>
      <c r="J15" s="192" t="n"/>
    </row>
    <row r="16" ht="14.25" customFormat="1" customHeight="1" s="315">
      <c r="A16" s="375" t="n">
        <v>2</v>
      </c>
      <c r="B16" s="375" t="n">
        <v>2</v>
      </c>
      <c r="C16" s="383" t="inlineStr">
        <is>
          <t>Затраты труда машинистов</t>
        </is>
      </c>
      <c r="D16" s="375" t="inlineStr">
        <is>
          <t>чел.-ч.</t>
        </is>
      </c>
      <c r="E16" s="470">
        <f>Прил.3!F18</f>
        <v/>
      </c>
      <c r="F16" s="198">
        <f>G16/E16</f>
        <v/>
      </c>
      <c r="G16" s="198">
        <f>Прил.3!H17</f>
        <v/>
      </c>
      <c r="H16" s="386" t="n">
        <v>1</v>
      </c>
      <c r="I16" s="198">
        <f>ROUND(F16*'Прил. 10'!D11,2)</f>
        <v/>
      </c>
      <c r="J16" s="198">
        <f>ROUND(I16*E16,2)</f>
        <v/>
      </c>
    </row>
    <row r="17" ht="14.25" customFormat="1" customHeight="1" s="315">
      <c r="A17" s="375" t="n"/>
      <c r="B17" s="365" t="inlineStr">
        <is>
          <t>Машины и механизмы</t>
        </is>
      </c>
      <c r="C17" s="456" t="n"/>
      <c r="D17" s="456" t="n"/>
      <c r="E17" s="456" t="n"/>
      <c r="F17" s="456" t="n"/>
      <c r="G17" s="456" t="n"/>
      <c r="H17" s="457" t="n"/>
      <c r="I17" s="192" t="n"/>
      <c r="J17" s="192" t="n"/>
    </row>
    <row r="18" ht="14.25" customFormat="1" customHeight="1" s="315">
      <c r="A18" s="375" t="n"/>
      <c r="B18" s="383" t="inlineStr">
        <is>
          <t>Основные машины и механизмы</t>
        </is>
      </c>
      <c r="C18" s="456" t="n"/>
      <c r="D18" s="456" t="n"/>
      <c r="E18" s="456" t="n"/>
      <c r="F18" s="456" t="n"/>
      <c r="G18" s="456" t="n"/>
      <c r="H18" s="457" t="n"/>
      <c r="I18" s="192" t="n"/>
      <c r="J18" s="192" t="n"/>
    </row>
    <row r="19" ht="25.5" customFormat="1" customHeight="1" s="315">
      <c r="A19" s="375" t="n">
        <v>3</v>
      </c>
      <c r="B19" s="274" t="inlineStr">
        <is>
          <t>91.05.05-015</t>
        </is>
      </c>
      <c r="C19" s="383" t="inlineStr">
        <is>
          <t>Краны на автомобильном ходу, грузоподъемность 16 т</t>
        </is>
      </c>
      <c r="D19" s="375" t="inlineStr">
        <is>
          <t>маш.час</t>
        </is>
      </c>
      <c r="E19" s="470" t="n">
        <v>5.58</v>
      </c>
      <c r="F19" s="385" t="n">
        <v>115.4</v>
      </c>
      <c r="G19" s="198">
        <f>ROUND(E19*F19,2)</f>
        <v/>
      </c>
      <c r="H19" s="264">
        <f>G19/$G$26</f>
        <v/>
      </c>
      <c r="I19" s="198">
        <f>ROUND(F19*'Прил. 10'!$D$12,2)</f>
        <v/>
      </c>
      <c r="J19" s="198">
        <f>ROUND(I19*E19,2)</f>
        <v/>
      </c>
    </row>
    <row r="20" ht="25.5" customFormat="1" customHeight="1" s="315">
      <c r="A20" s="375" t="n">
        <v>4</v>
      </c>
      <c r="B20" s="274" t="inlineStr">
        <is>
          <t>91.14.02-001</t>
        </is>
      </c>
      <c r="C20" s="383" t="inlineStr">
        <is>
          <t>Автомобили бортовые, грузоподъемность до 5 т</t>
        </is>
      </c>
      <c r="D20" s="375" t="inlineStr">
        <is>
          <t>маш.час</t>
        </is>
      </c>
      <c r="E20" s="470" t="n">
        <v>5.58</v>
      </c>
      <c r="F20" s="385" t="n">
        <v>65.70999999999999</v>
      </c>
      <c r="G20" s="198">
        <f>ROUND(E20*F20,2)</f>
        <v/>
      </c>
      <c r="H20" s="264">
        <f>G20/$G$26</f>
        <v/>
      </c>
      <c r="I20" s="198">
        <f>ROUND(F20*'Прил. 10'!$D$12,2)</f>
        <v/>
      </c>
      <c r="J20" s="198">
        <f>ROUND(I20*E20,2)</f>
        <v/>
      </c>
    </row>
    <row r="21" ht="25.5" customFormat="1" customHeight="1" s="315">
      <c r="A21" s="375" t="n">
        <v>5</v>
      </c>
      <c r="B21" s="274" t="inlineStr">
        <is>
          <t>91.06.03-061</t>
        </is>
      </c>
      <c r="C21" s="383" t="inlineStr">
        <is>
          <t>Лебедки электрические тяговым усилием до 12,26 кН (1,25 т)</t>
        </is>
      </c>
      <c r="D21" s="375" t="inlineStr">
        <is>
          <t>маш.час</t>
        </is>
      </c>
      <c r="E21" s="470" t="n">
        <v>42.26</v>
      </c>
      <c r="F21" s="385" t="n">
        <v>3.28</v>
      </c>
      <c r="G21" s="198">
        <f>ROUND(E21*F21,2)</f>
        <v/>
      </c>
      <c r="H21" s="264">
        <f>G21/$G$26</f>
        <v/>
      </c>
      <c r="I21" s="198">
        <f>ROUND(F21*'Прил. 10'!$D$12,2)</f>
        <v/>
      </c>
      <c r="J21" s="198">
        <f>ROUND(I21*E21,2)</f>
        <v/>
      </c>
    </row>
    <row r="22" ht="14.25" customFormat="1" customHeight="1" s="315">
      <c r="A22" s="375" t="n"/>
      <c r="B22" s="375" t="n"/>
      <c r="C22" s="383" t="inlineStr">
        <is>
          <t>Итого основные машины и механизмы</t>
        </is>
      </c>
      <c r="D22" s="375" t="n"/>
      <c r="E22" s="470" t="n"/>
      <c r="F22" s="198" t="n"/>
      <c r="G22" s="198">
        <f>SUM(G19:G21)</f>
        <v/>
      </c>
      <c r="H22" s="386">
        <f>G22/G26</f>
        <v/>
      </c>
      <c r="I22" s="185" t="n"/>
      <c r="J22" s="198">
        <f>SUM(J19:J21)</f>
        <v/>
      </c>
    </row>
    <row r="23" hidden="1" outlineLevel="1" ht="25.5" customFormat="1" customHeight="1" s="315">
      <c r="A23" s="375" t="n">
        <v>6</v>
      </c>
      <c r="B23" s="274" t="inlineStr">
        <is>
          <t>91.06.01-003</t>
        </is>
      </c>
      <c r="C23" s="383" t="inlineStr">
        <is>
          <t>Домкраты гидравлические, грузоподъемность 63-100 т</t>
        </is>
      </c>
      <c r="D23" s="375" t="inlineStr">
        <is>
          <t>маш.час</t>
        </is>
      </c>
      <c r="E23" s="470" t="n">
        <v>42.26</v>
      </c>
      <c r="F23" s="385" t="n">
        <v>0.9</v>
      </c>
      <c r="G23" s="198">
        <f>ROUND(E23*F23,2)</f>
        <v/>
      </c>
      <c r="H23" s="264">
        <f>G23/$G$26</f>
        <v/>
      </c>
      <c r="I23" s="198">
        <f>ROUND(F23*'Прил. 10'!$D$12,2)</f>
        <v/>
      </c>
      <c r="J23" s="198">
        <f>ROUND(I23*E23,2)</f>
        <v/>
      </c>
    </row>
    <row r="24" hidden="1" outlineLevel="1" ht="25.5" customFormat="1" customHeight="1" s="315">
      <c r="A24" s="375" t="n">
        <v>7</v>
      </c>
      <c r="B24" s="274" t="inlineStr">
        <is>
          <t>91.17.04-233</t>
        </is>
      </c>
      <c r="C24" s="383" t="inlineStr">
        <is>
          <t>Установки для сварки ручной дуговой (постоянного тока)</t>
        </is>
      </c>
      <c r="D24" s="375" t="inlineStr">
        <is>
          <t>маш.час</t>
        </is>
      </c>
      <c r="E24" s="470" t="n">
        <v>0.9</v>
      </c>
      <c r="F24" s="385" t="n">
        <v>8.1</v>
      </c>
      <c r="G24" s="198">
        <f>ROUND(E24*F24,2)</f>
        <v/>
      </c>
      <c r="H24" s="264">
        <f>G24/$G$26</f>
        <v/>
      </c>
      <c r="I24" s="198">
        <f>ROUND(F24*'Прил. 10'!$D$12,2)</f>
        <v/>
      </c>
      <c r="J24" s="198">
        <f>ROUND(I24*E24,2)</f>
        <v/>
      </c>
    </row>
    <row r="25" collapsed="1" ht="14.25" customFormat="1" customHeight="1" s="315">
      <c r="A25" s="375" t="n"/>
      <c r="B25" s="375" t="n"/>
      <c r="C25" s="383" t="inlineStr">
        <is>
          <t>Итого прочие машины и механизмы</t>
        </is>
      </c>
      <c r="D25" s="375" t="n"/>
      <c r="E25" s="384" t="n"/>
      <c r="F25" s="198" t="n"/>
      <c r="G25" s="185">
        <f>SUM(G23:G24)</f>
        <v/>
      </c>
      <c r="H25" s="264">
        <f>G25/G26</f>
        <v/>
      </c>
      <c r="I25" s="198" t="n"/>
      <c r="J25" s="185">
        <f>SUM(J23:J24)</f>
        <v/>
      </c>
    </row>
    <row r="26" ht="25.5" customFormat="1" customHeight="1" s="315">
      <c r="A26" s="375" t="n"/>
      <c r="B26" s="375" t="n"/>
      <c r="C26" s="365" t="inlineStr">
        <is>
          <t>Итого по разделу «Машины и механизмы»</t>
        </is>
      </c>
      <c r="D26" s="375" t="n"/>
      <c r="E26" s="384" t="n"/>
      <c r="F26" s="198" t="n"/>
      <c r="G26" s="198">
        <f>G25+G22</f>
        <v/>
      </c>
      <c r="H26" s="188" t="n">
        <v>1</v>
      </c>
      <c r="I26" s="189" t="n"/>
      <c r="J26" s="211">
        <f>J25+J22</f>
        <v/>
      </c>
    </row>
    <row r="27" ht="14.25" customFormat="1" customHeight="1" s="315">
      <c r="A27" s="375" t="n"/>
      <c r="B27" s="365" t="inlineStr">
        <is>
          <t>Оборудование</t>
        </is>
      </c>
      <c r="C27" s="456" t="n"/>
      <c r="D27" s="456" t="n"/>
      <c r="E27" s="456" t="n"/>
      <c r="F27" s="456" t="n"/>
      <c r="G27" s="456" t="n"/>
      <c r="H27" s="457" t="n"/>
      <c r="I27" s="192" t="n"/>
      <c r="J27" s="192" t="n"/>
    </row>
    <row r="28">
      <c r="A28" s="375" t="n"/>
      <c r="B28" s="160" t="inlineStr">
        <is>
          <t>Основное оборудование</t>
        </is>
      </c>
      <c r="C28" s="471" t="n"/>
      <c r="D28" s="471" t="n"/>
      <c r="E28" s="471" t="n"/>
      <c r="F28" s="471" t="n"/>
      <c r="G28" s="471" t="n"/>
      <c r="H28" s="472" t="n"/>
      <c r="I28" s="192" t="n"/>
      <c r="J28" s="192" t="n"/>
      <c r="K28" s="315" t="n"/>
      <c r="L28" s="315" t="n"/>
    </row>
    <row r="29" ht="84" customHeight="1" s="320">
      <c r="A29" s="375" t="n">
        <v>8</v>
      </c>
      <c r="B29" s="285" t="inlineStr">
        <is>
          <t>БЦ.30_2.26</t>
        </is>
      </c>
      <c r="C29" s="303" t="inlineStr">
        <is>
          <t>Шкафы РЗА 2 архитектуры. Комплект защит шунтирующего реактора 110-750 кВ, УРОВ, АУВ</t>
        </is>
      </c>
      <c r="D29" s="292" t="inlineStr">
        <is>
          <t>шт</t>
        </is>
      </c>
      <c r="E29" s="473" t="n">
        <v>1</v>
      </c>
      <c r="F29" s="294">
        <f>ROUND(I29/'Прил. 10'!D14,2)</f>
        <v/>
      </c>
      <c r="G29" s="294">
        <f>ROUND(E29*F29,2)</f>
        <v/>
      </c>
      <c r="H29" s="305">
        <f>G29/G32</f>
        <v/>
      </c>
      <c r="I29" s="294" t="n">
        <v>4260000</v>
      </c>
      <c r="J29" s="198">
        <f>ROUND(I29*E29,2)</f>
        <v/>
      </c>
      <c r="K29" s="315" t="n"/>
      <c r="L29" s="315" t="n"/>
    </row>
    <row r="30">
      <c r="A30" s="375" t="n"/>
      <c r="B30" s="292" t="n"/>
      <c r="C30" s="303" t="inlineStr">
        <is>
          <t>Итого основное оборудование</t>
        </is>
      </c>
      <c r="D30" s="292" t="n"/>
      <c r="E30" s="473" t="n"/>
      <c r="F30" s="304" t="n"/>
      <c r="G30" s="294">
        <f>G29</f>
        <v/>
      </c>
      <c r="H30" s="300" t="n">
        <v>0</v>
      </c>
      <c r="I30" s="296" t="n"/>
      <c r="J30" s="198">
        <f>J29</f>
        <v/>
      </c>
      <c r="K30" s="315" t="n"/>
      <c r="L30" s="315" t="n"/>
    </row>
    <row r="31">
      <c r="A31" s="375" t="n"/>
      <c r="B31" s="292" t="n"/>
      <c r="C31" s="303" t="inlineStr">
        <is>
          <t>Итого прочее оборудование</t>
        </is>
      </c>
      <c r="D31" s="292" t="n"/>
      <c r="E31" s="473" t="n"/>
      <c r="F31" s="304" t="n"/>
      <c r="G31" s="294" t="n">
        <v>0</v>
      </c>
      <c r="H31" s="300" t="n">
        <v>0</v>
      </c>
      <c r="I31" s="296" t="n"/>
      <c r="J31" s="198" t="n">
        <v>0</v>
      </c>
      <c r="K31" s="315" t="n"/>
      <c r="L31" s="315" t="n"/>
    </row>
    <row r="32">
      <c r="A32" s="375" t="n"/>
      <c r="B32" s="292" t="n"/>
      <c r="C32" s="393" t="inlineStr">
        <is>
          <t>Итого по разделу «Оборудование»</t>
        </is>
      </c>
      <c r="D32" s="292" t="n"/>
      <c r="E32" s="298" t="n"/>
      <c r="F32" s="304" t="n"/>
      <c r="G32" s="294">
        <f>G31+G30</f>
        <v/>
      </c>
      <c r="H32" s="300">
        <f>H31+H30</f>
        <v/>
      </c>
      <c r="I32" s="296" t="n"/>
      <c r="J32" s="198">
        <f>J31+J30</f>
        <v/>
      </c>
      <c r="K32" s="315" t="n"/>
      <c r="L32" s="315" t="n"/>
    </row>
    <row r="33" ht="25.5" customHeight="1" s="320">
      <c r="A33" s="375" t="n"/>
      <c r="B33" s="292" t="n"/>
      <c r="C33" s="303" t="inlineStr">
        <is>
          <t>в том числе технологическое оборудование</t>
        </is>
      </c>
      <c r="D33" s="292" t="n"/>
      <c r="E33" s="474" t="n"/>
      <c r="F33" s="304" t="n"/>
      <c r="G33" s="294">
        <f>G32</f>
        <v/>
      </c>
      <c r="H33" s="300" t="n"/>
      <c r="I33" s="296" t="n"/>
      <c r="J33" s="198">
        <f>J32</f>
        <v/>
      </c>
      <c r="K33" s="315" t="n"/>
      <c r="L33" s="315" t="n"/>
    </row>
    <row r="34" ht="14.25" customFormat="1" customHeight="1" s="315">
      <c r="A34" s="375" t="n"/>
      <c r="B34" s="393" t="inlineStr">
        <is>
          <t>Материалы</t>
        </is>
      </c>
      <c r="C34" s="456" t="n"/>
      <c r="D34" s="456" t="n"/>
      <c r="E34" s="456" t="n"/>
      <c r="F34" s="456" t="n"/>
      <c r="G34" s="456" t="n"/>
      <c r="H34" s="457" t="n"/>
      <c r="I34" s="301" t="n"/>
      <c r="J34" s="192" t="n"/>
    </row>
    <row r="35" ht="14.25" customFormat="1" customHeight="1" s="315">
      <c r="A35" s="376" t="n"/>
      <c r="B35" s="378" t="inlineStr">
        <is>
          <t>Основные материалы</t>
        </is>
      </c>
      <c r="C35" s="471" t="n"/>
      <c r="D35" s="471" t="n"/>
      <c r="E35" s="471" t="n"/>
      <c r="F35" s="471" t="n"/>
      <c r="G35" s="471" t="n"/>
      <c r="H35" s="472" t="n"/>
      <c r="I35" s="302" t="n"/>
      <c r="J35" s="206" t="n"/>
    </row>
    <row r="36" ht="27.75" customFormat="1" customHeight="1" s="315">
      <c r="A36" s="375" t="n">
        <v>9</v>
      </c>
      <c r="B36" s="285" t="inlineStr">
        <is>
          <t>21.1.08.03-0579</t>
        </is>
      </c>
      <c r="C36" s="303" t="inlineStr">
        <is>
          <t>Кабель контрольный КВВГЭнг(A)-LS 5х2,5</t>
        </is>
      </c>
      <c r="D36" s="292" t="inlineStr">
        <is>
          <t>1000 м</t>
        </is>
      </c>
      <c r="E36" s="473" t="n">
        <v>2.04</v>
      </c>
      <c r="F36" s="304" t="n">
        <v>38348.22</v>
      </c>
      <c r="G36" s="294">
        <f>ROUND(E36*F36,2)</f>
        <v/>
      </c>
      <c r="H36" s="305">
        <f>G36/$G$65</f>
        <v/>
      </c>
      <c r="I36" s="294">
        <f>ROUND(F36*'Прил. 10'!$D$13,2)</f>
        <v/>
      </c>
      <c r="J36" s="198">
        <f>ROUND(I36*E36,2)</f>
        <v/>
      </c>
    </row>
    <row r="37" ht="28.5" customFormat="1" customHeight="1" s="315">
      <c r="A37" s="375" t="n">
        <v>10</v>
      </c>
      <c r="B37" s="274" t="inlineStr">
        <is>
          <t>21.1.08.03-0581</t>
        </is>
      </c>
      <c r="C37" s="383" t="inlineStr">
        <is>
          <t>Кабель контрольный КВВГЭнг(A)-LS 7х1,5</t>
        </is>
      </c>
      <c r="D37" s="375" t="inlineStr">
        <is>
          <t>1000 м</t>
        </is>
      </c>
      <c r="E37" s="470" t="n">
        <v>0.51</v>
      </c>
      <c r="F37" s="385" t="n">
        <v>37014.5</v>
      </c>
      <c r="G37" s="198">
        <f>ROUND(E37*F37,2)</f>
        <v/>
      </c>
      <c r="H37" s="264">
        <f>G37/$G$65</f>
        <v/>
      </c>
      <c r="I37" s="198">
        <f>ROUND(F37*'Прил. 10'!$D$13,2)</f>
        <v/>
      </c>
      <c r="J37" s="198">
        <f>ROUND(I37*E37,2)</f>
        <v/>
      </c>
    </row>
    <row r="38" ht="14.25" customFormat="1" customHeight="1" s="315">
      <c r="A38" s="375" t="n"/>
      <c r="B38" s="207" t="n"/>
      <c r="C38" s="208" t="inlineStr">
        <is>
          <t>Итого основные материалы</t>
        </is>
      </c>
      <c r="D38" s="377" t="n"/>
      <c r="E38" s="470" t="n"/>
      <c r="F38" s="211" t="n"/>
      <c r="G38" s="211">
        <f>SUM(G36:G37)</f>
        <v/>
      </c>
      <c r="H38" s="264">
        <f>G38/$G$65</f>
        <v/>
      </c>
      <c r="I38" s="198" t="n"/>
      <c r="J38" s="211">
        <f>SUM(J36:J37)</f>
        <v/>
      </c>
    </row>
    <row r="39" hidden="1" outlineLevel="1" ht="63.75" customFormat="1" customHeight="1" s="315">
      <c r="A39" s="375" t="n">
        <v>11</v>
      </c>
      <c r="B39" s="274" t="inlineStr">
        <is>
          <t>21.1.01.01-0001</t>
        </is>
      </c>
      <c r="C39" s="383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D39" s="375" t="inlineStr">
        <is>
          <t>1000 м</t>
        </is>
      </c>
      <c r="E39" s="470" t="n">
        <v>0.1</v>
      </c>
      <c r="F39" s="385" t="n">
        <v>45920.85</v>
      </c>
      <c r="G39" s="198">
        <f>ROUND(E39*F39,2)</f>
        <v/>
      </c>
      <c r="H39" s="264">
        <f>G39/$G$65</f>
        <v/>
      </c>
      <c r="I39" s="198">
        <f>ROUND(F39*'Прил. 10'!$D$13,2)</f>
        <v/>
      </c>
      <c r="J39" s="198">
        <f>ROUND(I39*E39,2)</f>
        <v/>
      </c>
    </row>
    <row r="40" hidden="1" outlineLevel="1" ht="14.25" customFormat="1" customHeight="1" s="315">
      <c r="A40" s="375" t="n">
        <v>12</v>
      </c>
      <c r="B40" s="274" t="inlineStr">
        <is>
          <t>21.1.08.03-0574</t>
        </is>
      </c>
      <c r="C40" s="383" t="inlineStr">
        <is>
          <t>Кабель контрольный КВВГЭнг(A)-LS 4х2,5</t>
        </is>
      </c>
      <c r="D40" s="375" t="inlineStr">
        <is>
          <t>1000 м</t>
        </is>
      </c>
      <c r="E40" s="470" t="n">
        <v>0.102</v>
      </c>
      <c r="F40" s="385" t="n">
        <v>32828.83</v>
      </c>
      <c r="G40" s="198">
        <f>ROUND(E40*F40,2)</f>
        <v/>
      </c>
      <c r="H40" s="264">
        <f>G40/$G$65</f>
        <v/>
      </c>
      <c r="I40" s="198">
        <f>ROUND(F40*'Прил. 10'!$D$13,2)</f>
        <v/>
      </c>
      <c r="J40" s="198">
        <f>ROUND(I40*E40,2)</f>
        <v/>
      </c>
    </row>
    <row r="41" hidden="1" outlineLevel="1" ht="25.5" customFormat="1" customHeight="1" s="315">
      <c r="A41" s="375" t="n">
        <v>13</v>
      </c>
      <c r="B41" s="274" t="inlineStr">
        <is>
          <t>10.3.02.03-0011</t>
        </is>
      </c>
      <c r="C41" s="383" t="inlineStr">
        <is>
          <t>Припои оловянно-свинцовые бессурьмянистые, марка ПОС30</t>
        </is>
      </c>
      <c r="D41" s="375" t="inlineStr">
        <is>
          <t>т</t>
        </is>
      </c>
      <c r="E41" s="470" t="n">
        <v>0.01248</v>
      </c>
      <c r="F41" s="385" t="n">
        <v>68050</v>
      </c>
      <c r="G41" s="198">
        <f>ROUND(E41*F41,2)</f>
        <v/>
      </c>
      <c r="H41" s="264">
        <f>G41/$G$65</f>
        <v/>
      </c>
      <c r="I41" s="198">
        <f>ROUND(F41*'Прил. 10'!$D$13,2)</f>
        <v/>
      </c>
      <c r="J41" s="198">
        <f>ROUND(I41*E41,2)</f>
        <v/>
      </c>
    </row>
    <row r="42" hidden="1" outlineLevel="1" ht="38.25" customFormat="1" customHeight="1" s="315">
      <c r="A42" s="375" t="n">
        <v>14</v>
      </c>
      <c r="B42" s="274" t="inlineStr">
        <is>
          <t>24.3.01.02-0002</t>
        </is>
      </c>
      <c r="C42" s="383" t="inlineStr">
        <is>
          <t>Трубы гибкие гофрированные из самозатухающего ПВХ легкие с протяжкой, диаметр 25 мм</t>
        </is>
      </c>
      <c r="D42" s="375" t="inlineStr">
        <is>
          <t>м</t>
        </is>
      </c>
      <c r="E42" s="470" t="n">
        <v>102</v>
      </c>
      <c r="F42" s="385" t="n">
        <v>3.43</v>
      </c>
      <c r="G42" s="198">
        <f>ROUND(E42*F42,2)</f>
        <v/>
      </c>
      <c r="H42" s="264">
        <f>G42/$G$65</f>
        <v/>
      </c>
      <c r="I42" s="198">
        <f>ROUND(F42*'Прил. 10'!$D$13,2)</f>
        <v/>
      </c>
      <c r="J42" s="198">
        <f>ROUND(I42*E42,2)</f>
        <v/>
      </c>
    </row>
    <row r="43" hidden="1" outlineLevel="1" ht="25.5" customFormat="1" customHeight="1" s="315">
      <c r="A43" s="375" t="n">
        <v>15</v>
      </c>
      <c r="B43" s="274" t="inlineStr">
        <is>
          <t>07.2.07.04-0007</t>
        </is>
      </c>
      <c r="C43" s="383" t="inlineStr">
        <is>
          <t>Конструкции стальные индивидуальные решетчатые сварные, масса до 0,1 т</t>
        </is>
      </c>
      <c r="D43" s="375" t="inlineStr">
        <is>
          <t>т</t>
        </is>
      </c>
      <c r="E43" s="470" t="n">
        <v>0.03</v>
      </c>
      <c r="F43" s="385" t="n">
        <v>11500</v>
      </c>
      <c r="G43" s="198">
        <f>ROUND(E43*F43,2)</f>
        <v/>
      </c>
      <c r="H43" s="264">
        <f>G43/$G$65</f>
        <v/>
      </c>
      <c r="I43" s="198">
        <f>ROUND(F43*'Прил. 10'!$D$13,2)</f>
        <v/>
      </c>
      <c r="J43" s="198">
        <f>ROUND(I43*E43,2)</f>
        <v/>
      </c>
    </row>
    <row r="44" hidden="1" outlineLevel="1" ht="14.25" customFormat="1" customHeight="1" s="315">
      <c r="A44" s="375" t="n">
        <v>16</v>
      </c>
      <c r="B44" s="274" t="inlineStr">
        <is>
          <t>01.7.06.07-0002</t>
        </is>
      </c>
      <c r="C44" s="383" t="inlineStr">
        <is>
          <t>Лента монтажная, тип ЛМ-5</t>
        </is>
      </c>
      <c r="D44" s="375" t="inlineStr">
        <is>
          <t>10 м</t>
        </is>
      </c>
      <c r="E44" s="470" t="n">
        <v>19.24</v>
      </c>
      <c r="F44" s="385" t="n">
        <v>6.9</v>
      </c>
      <c r="G44" s="198">
        <f>ROUND(E44*F44,2)</f>
        <v/>
      </c>
      <c r="H44" s="264">
        <f>G44/$G$65</f>
        <v/>
      </c>
      <c r="I44" s="198">
        <f>ROUND(F44*'Прил. 10'!$D$13,2)</f>
        <v/>
      </c>
      <c r="J44" s="198">
        <f>ROUND(I44*E44,2)</f>
        <v/>
      </c>
    </row>
    <row r="45" hidden="1" outlineLevel="1" ht="14.25" customFormat="1" customHeight="1" s="315">
      <c r="A45" s="375" t="n">
        <v>17</v>
      </c>
      <c r="B45" s="274" t="inlineStr">
        <is>
          <t>20.1.02.06-0001</t>
        </is>
      </c>
      <c r="C45" s="383" t="inlineStr">
        <is>
          <t>Жир паяльный</t>
        </is>
      </c>
      <c r="D45" s="375" t="inlineStr">
        <is>
          <t>кг</t>
        </is>
      </c>
      <c r="E45" s="470" t="n">
        <v>0.5600000000000001</v>
      </c>
      <c r="F45" s="385" t="n">
        <v>100.8</v>
      </c>
      <c r="G45" s="198">
        <f>ROUND(E45*F45,2)</f>
        <v/>
      </c>
      <c r="H45" s="264">
        <f>G45/$G$65</f>
        <v/>
      </c>
      <c r="I45" s="198">
        <f>ROUND(F45*'Прил. 10'!$D$13,2)</f>
        <v/>
      </c>
      <c r="J45" s="198">
        <f>ROUND(I45*E45,2)</f>
        <v/>
      </c>
    </row>
    <row r="46" hidden="1" outlineLevel="1" ht="14.25" customFormat="1" customHeight="1" s="315">
      <c r="A46" s="375" t="n">
        <v>18</v>
      </c>
      <c r="B46" s="274" t="inlineStr">
        <is>
          <t>14.4.03.03-0002</t>
        </is>
      </c>
      <c r="C46" s="383" t="inlineStr">
        <is>
          <t>Лак битумный БТ-123</t>
        </is>
      </c>
      <c r="D46" s="375" t="inlineStr">
        <is>
          <t>т</t>
        </is>
      </c>
      <c r="E46" s="470" t="n">
        <v>0.00684</v>
      </c>
      <c r="F46" s="385" t="n">
        <v>7826.9</v>
      </c>
      <c r="G46" s="198">
        <f>ROUND(E46*F46,2)</f>
        <v/>
      </c>
      <c r="H46" s="264">
        <f>G46/$G$65</f>
        <v/>
      </c>
      <c r="I46" s="198">
        <f>ROUND(F46*'Прил. 10'!$D$13,2)</f>
        <v/>
      </c>
      <c r="J46" s="198">
        <f>ROUND(I46*E46,2)</f>
        <v/>
      </c>
    </row>
    <row r="47" hidden="1" outlineLevel="1" ht="25.5" customFormat="1" customHeight="1" s="315">
      <c r="A47" s="375" t="n">
        <v>19</v>
      </c>
      <c r="B47" s="274" t="inlineStr">
        <is>
          <t>999-9950</t>
        </is>
      </c>
      <c r="C47" s="383" t="inlineStr">
        <is>
          <t>Вспомогательные ненормируемые ресурсы (2% от Оплаты труда рабочих)</t>
        </is>
      </c>
      <c r="D47" s="375" t="inlineStr">
        <is>
          <t>руб</t>
        </is>
      </c>
      <c r="E47" s="470" t="n">
        <v>41.8334</v>
      </c>
      <c r="F47" s="385" t="n">
        <v>1</v>
      </c>
      <c r="G47" s="198">
        <f>ROUND(E47*F47,2)</f>
        <v/>
      </c>
      <c r="H47" s="264">
        <f>G47/$G$65</f>
        <v/>
      </c>
      <c r="I47" s="198">
        <f>ROUND(F47*'Прил. 10'!$D$13,2)</f>
        <v/>
      </c>
      <c r="J47" s="198">
        <f>ROUND(I47*E47,2)</f>
        <v/>
      </c>
    </row>
    <row r="48" hidden="1" outlineLevel="1" ht="14.25" customFormat="1" customHeight="1" s="315">
      <c r="A48" s="375" t="n">
        <v>20</v>
      </c>
      <c r="B48" s="274" t="inlineStr">
        <is>
          <t>25.2.01.01-0017</t>
        </is>
      </c>
      <c r="C48" s="383" t="inlineStr">
        <is>
          <t>Бирки маркировочные пластмассовые</t>
        </is>
      </c>
      <c r="D48" s="375" t="inlineStr">
        <is>
          <t>100 шт</t>
        </is>
      </c>
      <c r="E48" s="470" t="n">
        <v>1.14</v>
      </c>
      <c r="F48" s="385" t="n">
        <v>30.74</v>
      </c>
      <c r="G48" s="198">
        <f>ROUND(E48*F48,2)</f>
        <v/>
      </c>
      <c r="H48" s="264">
        <f>G48/$G$65</f>
        <v/>
      </c>
      <c r="I48" s="198">
        <f>ROUND(F48*'Прил. 10'!$D$13,2)</f>
        <v/>
      </c>
      <c r="J48" s="198">
        <f>ROUND(I48*E48,2)</f>
        <v/>
      </c>
    </row>
    <row r="49" hidden="1" outlineLevel="1" ht="14.25" customFormat="1" customHeight="1" s="315">
      <c r="A49" s="375" t="n">
        <v>21</v>
      </c>
      <c r="B49" s="274" t="inlineStr">
        <is>
          <t>01.7.15.07-0152</t>
        </is>
      </c>
      <c r="C49" s="383" t="inlineStr">
        <is>
          <t>Дюбели с шурупом, размер 6х35 мм</t>
        </is>
      </c>
      <c r="D49" s="375" t="inlineStr">
        <is>
          <t>100 шт</t>
        </is>
      </c>
      <c r="E49" s="470" t="n">
        <v>1.75</v>
      </c>
      <c r="F49" s="385" t="n">
        <v>8</v>
      </c>
      <c r="G49" s="198">
        <f>ROUND(E49*F49,2)</f>
        <v/>
      </c>
      <c r="H49" s="264">
        <f>G49/$G$65</f>
        <v/>
      </c>
      <c r="I49" s="198">
        <f>ROUND(F49*'Прил. 10'!$D$13,2)</f>
        <v/>
      </c>
      <c r="J49" s="198">
        <f>ROUND(I49*E49,2)</f>
        <v/>
      </c>
    </row>
    <row r="50" hidden="1" outlineLevel="1" ht="38.25" customFormat="1" customHeight="1" s="315">
      <c r="A50" s="375" t="n">
        <v>22</v>
      </c>
      <c r="B50" s="274" t="inlineStr">
        <is>
          <t>01.7.06.05-0041</t>
        </is>
      </c>
      <c r="C50" s="383" t="inlineStr">
        <is>
          <t>Лента изоляционная прорезиненная односторонняя, ширина 20 мм, толщина 0,25-0,35 мм</t>
        </is>
      </c>
      <c r="D50" s="375" t="inlineStr">
        <is>
          <t>кг</t>
        </is>
      </c>
      <c r="E50" s="470" t="n">
        <v>0.44</v>
      </c>
      <c r="F50" s="385" t="n">
        <v>30.4</v>
      </c>
      <c r="G50" s="198">
        <f>ROUND(E50*F50,2)</f>
        <v/>
      </c>
      <c r="H50" s="264">
        <f>G50/$G$65</f>
        <v/>
      </c>
      <c r="I50" s="198">
        <f>ROUND(F50*'Прил. 10'!$D$13,2)</f>
        <v/>
      </c>
      <c r="J50" s="198">
        <f>ROUND(I50*E50,2)</f>
        <v/>
      </c>
    </row>
    <row r="51" hidden="1" outlineLevel="1" ht="14.25" customFormat="1" customHeight="1" s="315">
      <c r="A51" s="375" t="n">
        <v>23</v>
      </c>
      <c r="B51" s="274" t="inlineStr">
        <is>
          <t>01.7.15.14-0165</t>
        </is>
      </c>
      <c r="C51" s="383" t="inlineStr">
        <is>
          <t>Шурупы с полукруглой головкой 4х40 мм</t>
        </is>
      </c>
      <c r="D51" s="375" t="inlineStr">
        <is>
          <t>т</t>
        </is>
      </c>
      <c r="E51" s="470" t="n">
        <v>0.00088</v>
      </c>
      <c r="F51" s="385" t="n">
        <v>12430</v>
      </c>
      <c r="G51" s="198">
        <f>ROUND(E51*F51,2)</f>
        <v/>
      </c>
      <c r="H51" s="264">
        <f>G51/$G$65</f>
        <v/>
      </c>
      <c r="I51" s="198">
        <f>ROUND(F51*'Прил. 10'!$D$13,2)</f>
        <v/>
      </c>
      <c r="J51" s="198">
        <f>ROUND(I51*E51,2)</f>
        <v/>
      </c>
    </row>
    <row r="52" hidden="1" outlineLevel="1" ht="25.5" customFormat="1" customHeight="1" s="315">
      <c r="A52" s="375" t="n">
        <v>24</v>
      </c>
      <c r="B52" s="274" t="inlineStr">
        <is>
          <t>10.3.02.03-0013</t>
        </is>
      </c>
      <c r="C52" s="383" t="inlineStr">
        <is>
          <t>Припои оловянно-свинцовые бессурьмянистые, марка ПОС61</t>
        </is>
      </c>
      <c r="D52" s="375" t="inlineStr">
        <is>
          <t>т</t>
        </is>
      </c>
      <c r="E52" s="470" t="n">
        <v>9.119999999999999e-05</v>
      </c>
      <c r="F52" s="385" t="n">
        <v>114220</v>
      </c>
      <c r="G52" s="198">
        <f>ROUND(E52*F52,2)</f>
        <v/>
      </c>
      <c r="H52" s="264">
        <f>G52/$G$65</f>
        <v/>
      </c>
      <c r="I52" s="198">
        <f>ROUND(F52*'Прил. 10'!$D$13,2)</f>
        <v/>
      </c>
      <c r="J52" s="198">
        <f>ROUND(I52*E52,2)</f>
        <v/>
      </c>
    </row>
    <row r="53" hidden="1" outlineLevel="1" ht="14.25" customFormat="1" customHeight="1" s="315">
      <c r="A53" s="375" t="n">
        <v>25</v>
      </c>
      <c r="B53" s="274" t="inlineStr">
        <is>
          <t>20.2.01.05-0001</t>
        </is>
      </c>
      <c r="C53" s="383" t="inlineStr">
        <is>
          <t>Гильзы кабельные медные ГМ 2,5</t>
        </is>
      </c>
      <c r="D53" s="375" t="inlineStr">
        <is>
          <t>100 шт</t>
        </is>
      </c>
      <c r="E53" s="470" t="n">
        <v>0.05</v>
      </c>
      <c r="F53" s="385" t="n">
        <v>66</v>
      </c>
      <c r="G53" s="198">
        <f>ROUND(E53*F53,2)</f>
        <v/>
      </c>
      <c r="H53" s="264">
        <f>G53/$G$65</f>
        <v/>
      </c>
      <c r="I53" s="198">
        <f>ROUND(F53*'Прил. 10'!$D$13,2)</f>
        <v/>
      </c>
      <c r="J53" s="198">
        <f>ROUND(I53*E53,2)</f>
        <v/>
      </c>
    </row>
    <row r="54" hidden="1" outlineLevel="1" ht="25.5" customFormat="1" customHeight="1" s="315">
      <c r="A54" s="375" t="n">
        <v>26</v>
      </c>
      <c r="B54" s="274" t="inlineStr">
        <is>
          <t>01.7.11.07-0034</t>
        </is>
      </c>
      <c r="C54" s="383" t="inlineStr">
        <is>
          <t>Электроды сварочные Э42А, диаметр 4 мм</t>
        </is>
      </c>
      <c r="D54" s="375" t="inlineStr">
        <is>
          <t>кг</t>
        </is>
      </c>
      <c r="E54" s="470" t="n">
        <v>0.3</v>
      </c>
      <c r="F54" s="385" t="n">
        <v>10.57</v>
      </c>
      <c r="G54" s="198">
        <f>ROUND(E54*F54,2)</f>
        <v/>
      </c>
      <c r="H54" s="264">
        <f>G54/$G$65</f>
        <v/>
      </c>
      <c r="I54" s="198">
        <f>ROUND(F54*'Прил. 10'!$D$13,2)</f>
        <v/>
      </c>
      <c r="J54" s="198">
        <f>ROUND(I54*E54,2)</f>
        <v/>
      </c>
    </row>
    <row r="55" hidden="1" outlineLevel="1" ht="14.25" customFormat="1" customHeight="1" s="315">
      <c r="A55" s="375" t="n">
        <v>27</v>
      </c>
      <c r="B55" s="274" t="inlineStr">
        <is>
          <t>01.3.01.05-0009</t>
        </is>
      </c>
      <c r="C55" s="383" t="inlineStr">
        <is>
          <t>Парафин нефтяной твердый Т-1</t>
        </is>
      </c>
      <c r="D55" s="375" t="inlineStr">
        <is>
          <t>т</t>
        </is>
      </c>
      <c r="E55" s="470" t="n">
        <v>0.00028</v>
      </c>
      <c r="F55" s="385" t="n">
        <v>8105.71</v>
      </c>
      <c r="G55" s="198">
        <f>ROUND(E55*F55,2)</f>
        <v/>
      </c>
      <c r="H55" s="264">
        <f>G55/$G$65</f>
        <v/>
      </c>
      <c r="I55" s="198">
        <f>ROUND(F55*'Прил. 10'!$D$13,2)</f>
        <v/>
      </c>
      <c r="J55" s="198">
        <f>ROUND(I55*E55,2)</f>
        <v/>
      </c>
    </row>
    <row r="56" hidden="1" outlineLevel="1" ht="14.25" customFormat="1" customHeight="1" s="315">
      <c r="A56" s="375" t="n">
        <v>28</v>
      </c>
      <c r="B56" s="274" t="inlineStr">
        <is>
          <t>14.4.02.09-0001</t>
        </is>
      </c>
      <c r="C56" s="383" t="inlineStr">
        <is>
          <t>Краска</t>
        </is>
      </c>
      <c r="D56" s="375" t="inlineStr">
        <is>
          <t>кг</t>
        </is>
      </c>
      <c r="E56" s="470" t="n">
        <v>0.07000000000000001</v>
      </c>
      <c r="F56" s="385" t="n">
        <v>28.6</v>
      </c>
      <c r="G56" s="198">
        <f>ROUND(E56*F56,2)</f>
        <v/>
      </c>
      <c r="H56" s="264">
        <f>G56/$G$65</f>
        <v/>
      </c>
      <c r="I56" s="198">
        <f>ROUND(F56*'Прил. 10'!$D$13,2)</f>
        <v/>
      </c>
      <c r="J56" s="198">
        <f>ROUND(I56*E56,2)</f>
        <v/>
      </c>
    </row>
    <row r="57" hidden="1" outlineLevel="1" ht="14.25" customFormat="1" customHeight="1" s="315">
      <c r="A57" s="375" t="n">
        <v>29</v>
      </c>
      <c r="B57" s="274" t="inlineStr">
        <is>
          <t>24.3.01.01-0002</t>
        </is>
      </c>
      <c r="C57" s="383" t="inlineStr">
        <is>
          <t>Трубка полихлорвиниловая</t>
        </is>
      </c>
      <c r="D57" s="375" t="inlineStr">
        <is>
          <t>кг</t>
        </is>
      </c>
      <c r="E57" s="470" t="n">
        <v>0.0456</v>
      </c>
      <c r="F57" s="385" t="n">
        <v>35.7</v>
      </c>
      <c r="G57" s="198">
        <f>ROUND(E57*F57,2)</f>
        <v/>
      </c>
      <c r="H57" s="264">
        <f>G57/$G$65</f>
        <v/>
      </c>
      <c r="I57" s="198">
        <f>ROUND(F57*'Прил. 10'!$D$13,2)</f>
        <v/>
      </c>
      <c r="J57" s="198">
        <f>ROUND(I57*E57,2)</f>
        <v/>
      </c>
    </row>
    <row r="58" hidden="1" outlineLevel="1" ht="25.5" customFormat="1" customHeight="1" s="315">
      <c r="A58" s="375" t="n">
        <v>30</v>
      </c>
      <c r="B58" s="274" t="inlineStr">
        <is>
          <t>01.3.01.07-0009</t>
        </is>
      </c>
      <c r="C58" s="383" t="inlineStr">
        <is>
          <t>Спирт этиловый ректификованный технический, сорт I</t>
        </is>
      </c>
      <c r="D58" s="375" t="inlineStr">
        <is>
          <t>кг</t>
        </is>
      </c>
      <c r="E58" s="470" t="n">
        <v>0.03306</v>
      </c>
      <c r="F58" s="385" t="n">
        <v>38.89</v>
      </c>
      <c r="G58" s="198">
        <f>ROUND(E58*F58,2)</f>
        <v/>
      </c>
      <c r="H58" s="264">
        <f>G58/$G$65</f>
        <v/>
      </c>
      <c r="I58" s="198">
        <f>ROUND(F58*'Прил. 10'!$D$13,2)</f>
        <v/>
      </c>
      <c r="J58" s="198">
        <f>ROUND(I58*E58,2)</f>
        <v/>
      </c>
    </row>
    <row r="59" hidden="1" outlineLevel="1" ht="14.25" customFormat="1" customHeight="1" s="315">
      <c r="A59" s="375" t="n">
        <v>31</v>
      </c>
      <c r="B59" s="274" t="inlineStr">
        <is>
          <t>20.2.02.01-0011</t>
        </is>
      </c>
      <c r="C59" s="383" t="inlineStr">
        <is>
          <t>Втулки, диаметр 17 мм</t>
        </is>
      </c>
      <c r="D59" s="375" t="inlineStr">
        <is>
          <t>1000 шт</t>
        </is>
      </c>
      <c r="E59" s="470" t="n">
        <v>0.0122</v>
      </c>
      <c r="F59" s="385" t="n">
        <v>75.40000000000001</v>
      </c>
      <c r="G59" s="198">
        <f>ROUND(E59*F59,2)</f>
        <v/>
      </c>
      <c r="H59" s="264">
        <f>G59/$G$65</f>
        <v/>
      </c>
      <c r="I59" s="198">
        <f>ROUND(F59*'Прил. 10'!$D$13,2)</f>
        <v/>
      </c>
      <c r="J59" s="198">
        <f>ROUND(I59*E59,2)</f>
        <v/>
      </c>
    </row>
    <row r="60" hidden="1" outlineLevel="1" ht="14.25" customFormat="1" customHeight="1" s="315">
      <c r="A60" s="375" t="n">
        <v>32</v>
      </c>
      <c r="B60" s="274" t="inlineStr">
        <is>
          <t>01.7.07.20-0002</t>
        </is>
      </c>
      <c r="C60" s="383" t="inlineStr">
        <is>
          <t>Тальк молотый, сорт I</t>
        </is>
      </c>
      <c r="D60" s="375" t="inlineStr">
        <is>
          <t>т</t>
        </is>
      </c>
      <c r="E60" s="470" t="n">
        <v>0.00043</v>
      </c>
      <c r="F60" s="385" t="n">
        <v>1820</v>
      </c>
      <c r="G60" s="198">
        <f>ROUND(E60*F60,2)</f>
        <v/>
      </c>
      <c r="H60" s="264">
        <f>G60/$G$65</f>
        <v/>
      </c>
      <c r="I60" s="198">
        <f>ROUND(F60*'Прил. 10'!$D$13,2)</f>
        <v/>
      </c>
      <c r="J60" s="198">
        <f>ROUND(I60*E60,2)</f>
        <v/>
      </c>
    </row>
    <row r="61" hidden="1" outlineLevel="1" ht="14.25" customFormat="1" customHeight="1" s="315">
      <c r="A61" s="375" t="n">
        <v>33</v>
      </c>
      <c r="B61" s="274" t="inlineStr">
        <is>
          <t>01.3.05.17-0002</t>
        </is>
      </c>
      <c r="C61" s="383" t="inlineStr">
        <is>
          <t>Канифоль сосновая</t>
        </is>
      </c>
      <c r="D61" s="375" t="inlineStr">
        <is>
          <t>кг</t>
        </is>
      </c>
      <c r="E61" s="470" t="n">
        <v>0.02166</v>
      </c>
      <c r="F61" s="385" t="n">
        <v>27.74</v>
      </c>
      <c r="G61" s="198">
        <f>ROUND(E61*F61,2)</f>
        <v/>
      </c>
      <c r="H61" s="264">
        <f>G61/$G$65</f>
        <v/>
      </c>
      <c r="I61" s="198">
        <f>ROUND(F61*'Прил. 10'!$D$13,2)</f>
        <v/>
      </c>
      <c r="J61" s="198">
        <f>ROUND(I61*E61,2)</f>
        <v/>
      </c>
    </row>
    <row r="62" hidden="1" outlineLevel="1" ht="14.25" customFormat="1" customHeight="1" s="315">
      <c r="A62" s="375" t="n">
        <v>34</v>
      </c>
      <c r="B62" s="274" t="inlineStr">
        <is>
          <t>01.7.15.03-0042</t>
        </is>
      </c>
      <c r="C62" s="383" t="inlineStr">
        <is>
          <t>Болты с гайками и шайбами строительные</t>
        </is>
      </c>
      <c r="D62" s="375" t="inlineStr">
        <is>
          <t>кг</t>
        </is>
      </c>
      <c r="E62" s="470" t="n">
        <v>0.06</v>
      </c>
      <c r="F62" s="385" t="n">
        <v>9.039999999999999</v>
      </c>
      <c r="G62" s="198">
        <f>ROUND(E62*F62,2)</f>
        <v/>
      </c>
      <c r="H62" s="264">
        <f>G62/$G$65</f>
        <v/>
      </c>
      <c r="I62" s="198">
        <f>ROUND(F62*'Прил. 10'!$D$13,2)</f>
        <v/>
      </c>
      <c r="J62" s="198">
        <f>ROUND(I62*E62,2)</f>
        <v/>
      </c>
    </row>
    <row r="63" hidden="1" outlineLevel="1" ht="14.25" customFormat="1" customHeight="1" s="315">
      <c r="A63" s="375" t="n">
        <v>35</v>
      </c>
      <c r="B63" s="274" t="inlineStr">
        <is>
          <t>01.3.05.11-0001</t>
        </is>
      </c>
      <c r="C63" s="383" t="inlineStr">
        <is>
          <t>Дихлорэтан технический, сорт I</t>
        </is>
      </c>
      <c r="D63" s="375" t="inlineStr">
        <is>
          <t>т</t>
        </is>
      </c>
      <c r="E63" s="470" t="n">
        <v>2.28e-05</v>
      </c>
      <c r="F63" s="385" t="n">
        <v>4934.48</v>
      </c>
      <c r="G63" s="198">
        <f>ROUND(E63*F63,2)</f>
        <v/>
      </c>
      <c r="H63" s="264">
        <f>G63/$G$65</f>
        <v/>
      </c>
      <c r="I63" s="198">
        <f>ROUND(F63*'Прил. 10'!$D$13,2)</f>
        <v/>
      </c>
      <c r="J63" s="198">
        <f>ROUND(I63*E63,2)</f>
        <v/>
      </c>
    </row>
    <row r="64" collapsed="1" ht="14.25" customFormat="1" customHeight="1" s="315">
      <c r="A64" s="375" t="n"/>
      <c r="B64" s="375" t="n"/>
      <c r="C64" s="383" t="inlineStr">
        <is>
          <t>Итого прочие материалы</t>
        </is>
      </c>
      <c r="D64" s="375" t="n"/>
      <c r="E64" s="384" t="n"/>
      <c r="F64" s="385" t="n"/>
      <c r="G64" s="211">
        <f>SUM(G39:G63)</f>
        <v/>
      </c>
      <c r="H64" s="264">
        <f>G64/$G$65</f>
        <v/>
      </c>
      <c r="I64" s="198" t="n"/>
      <c r="J64" s="211">
        <f>SUM(J39:J63)</f>
        <v/>
      </c>
    </row>
    <row r="65" ht="14.25" customFormat="1" customHeight="1" s="315">
      <c r="A65" s="375" t="n"/>
      <c r="B65" s="375" t="n"/>
      <c r="C65" s="365" t="inlineStr">
        <is>
          <t>Итого по разделу «Материалы»</t>
        </is>
      </c>
      <c r="D65" s="375" t="n"/>
      <c r="E65" s="384" t="n"/>
      <c r="F65" s="385" t="n"/>
      <c r="G65" s="198">
        <f>G38+G64</f>
        <v/>
      </c>
      <c r="H65" s="264">
        <f>G65/$G$65</f>
        <v/>
      </c>
      <c r="I65" s="198" t="n"/>
      <c r="J65" s="198">
        <f>J38+J64</f>
        <v/>
      </c>
    </row>
    <row r="66" ht="14.25" customFormat="1" customHeight="1" s="315">
      <c r="A66" s="375" t="n"/>
      <c r="B66" s="375" t="n"/>
      <c r="C66" s="383" t="inlineStr">
        <is>
          <t>ИТОГО ПО РМ</t>
        </is>
      </c>
      <c r="D66" s="375" t="n"/>
      <c r="E66" s="384" t="n"/>
      <c r="F66" s="385" t="n"/>
      <c r="G66" s="198">
        <f>G14+G26+G65</f>
        <v/>
      </c>
      <c r="H66" s="386" t="n"/>
      <c r="I66" s="198" t="n"/>
      <c r="J66" s="198">
        <f>J14+J26+J65</f>
        <v/>
      </c>
    </row>
    <row r="67" ht="14.25" customFormat="1" customHeight="1" s="315">
      <c r="A67" s="375" t="n"/>
      <c r="B67" s="375" t="n"/>
      <c r="C67" s="383" t="inlineStr">
        <is>
          <t>Накладные расходы</t>
        </is>
      </c>
      <c r="D67" s="193">
        <f>ROUND(G67/(G$16+$G$14),2)</f>
        <v/>
      </c>
      <c r="E67" s="384" t="n"/>
      <c r="F67" s="385" t="n"/>
      <c r="G67" s="198" t="n">
        <v>2156.54</v>
      </c>
      <c r="H67" s="386" t="n"/>
      <c r="I67" s="198" t="n"/>
      <c r="J67" s="198">
        <f>ROUND(D67*(J14+J16),2)</f>
        <v/>
      </c>
    </row>
    <row r="68" ht="14.25" customFormat="1" customHeight="1" s="315">
      <c r="A68" s="375" t="n"/>
      <c r="B68" s="375" t="n"/>
      <c r="C68" s="383" t="inlineStr">
        <is>
          <t>Сметная прибыль</t>
        </is>
      </c>
      <c r="D68" s="193">
        <f>ROUND(G68/(G$14+G$16),2)</f>
        <v/>
      </c>
      <c r="E68" s="384" t="n"/>
      <c r="F68" s="385" t="n"/>
      <c r="G68" s="198" t="n">
        <v>1132.49</v>
      </c>
      <c r="H68" s="386" t="n"/>
      <c r="I68" s="198" t="n"/>
      <c r="J68" s="198">
        <f>ROUND(D68*(J14+J16),2)</f>
        <v/>
      </c>
    </row>
    <row r="69" ht="14.25" customFormat="1" customHeight="1" s="315">
      <c r="A69" s="375" t="n"/>
      <c r="B69" s="375" t="n"/>
      <c r="C69" s="383" t="inlineStr">
        <is>
          <t>Итого СМР (с НР и СП)</t>
        </is>
      </c>
      <c r="D69" s="375" t="n"/>
      <c r="E69" s="384" t="n"/>
      <c r="F69" s="385" t="n"/>
      <c r="G69" s="198">
        <f>G14+G26+G65+G67+G68</f>
        <v/>
      </c>
      <c r="H69" s="386" t="n"/>
      <c r="I69" s="198" t="n"/>
      <c r="J69" s="198">
        <f>J14+J26+J65+J67+J68</f>
        <v/>
      </c>
    </row>
    <row r="70" ht="14.25" customFormat="1" customHeight="1" s="315">
      <c r="A70" s="375" t="n"/>
      <c r="B70" s="375" t="n"/>
      <c r="C70" s="383" t="inlineStr">
        <is>
          <t>ВСЕГО СМР + ОБОРУДОВАНИЕ</t>
        </is>
      </c>
      <c r="D70" s="375" t="n"/>
      <c r="E70" s="384" t="n"/>
      <c r="F70" s="385" t="n"/>
      <c r="G70" s="198">
        <f>G69+G32</f>
        <v/>
      </c>
      <c r="H70" s="386" t="n"/>
      <c r="I70" s="198" t="n"/>
      <c r="J70" s="198">
        <f>J69+J32</f>
        <v/>
      </c>
    </row>
    <row r="71" ht="34.5" customFormat="1" customHeight="1" s="315">
      <c r="A71" s="375" t="n"/>
      <c r="B71" s="375" t="n"/>
      <c r="C71" s="383" t="inlineStr">
        <is>
          <t>ИТОГО ПОКАЗАТЕЛЬ НА ЕД. ИЗМ.</t>
        </is>
      </c>
      <c r="D71" s="375" t="inlineStr">
        <is>
          <t>ед</t>
        </is>
      </c>
      <c r="E71" s="475" t="n">
        <v>1</v>
      </c>
      <c r="F71" s="385" t="n"/>
      <c r="G71" s="198">
        <f>G70/E71</f>
        <v/>
      </c>
      <c r="H71" s="386" t="n"/>
      <c r="I71" s="198" t="n"/>
      <c r="J71" s="198">
        <f>J70/E71</f>
        <v/>
      </c>
    </row>
    <row r="73" ht="14.25" customFormat="1" customHeight="1" s="315">
      <c r="A73" s="314" t="inlineStr">
        <is>
          <t>Составил ______________________     Е. М. Добровольская</t>
        </is>
      </c>
    </row>
    <row r="74" ht="14.25" customFormat="1" customHeight="1" s="315">
      <c r="A74" s="317" t="inlineStr">
        <is>
          <t xml:space="preserve">                         (подпись, инициалы, фамилия)</t>
        </is>
      </c>
    </row>
    <row r="75" ht="14.25" customFormat="1" customHeight="1" s="315">
      <c r="A75" s="314" t="n"/>
    </row>
    <row r="76" ht="14.25" customFormat="1" customHeight="1" s="315">
      <c r="A76" s="314" t="inlineStr">
        <is>
          <t>Проверил ______________________        А.В. Костянецкая</t>
        </is>
      </c>
    </row>
    <row r="77" ht="14.25" customFormat="1" customHeight="1" s="315">
      <c r="A77" s="317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0"/>
  <sheetViews>
    <sheetView view="pageBreakPreview" workbookViewId="0">
      <selection activeCell="C16" sqref="C16"/>
    </sheetView>
  </sheetViews>
  <sheetFormatPr baseColWidth="8" defaultRowHeight="15"/>
  <cols>
    <col width="5.7109375" customWidth="1" style="320" min="1" max="1"/>
    <col width="17.5703125" customWidth="1" style="320" min="2" max="2"/>
    <col width="39.140625" customWidth="1" style="320" min="3" max="3"/>
    <col width="10.7109375" customWidth="1" style="320" min="4" max="4"/>
    <col width="13.85546875" customWidth="1" style="320" min="5" max="5"/>
    <col width="13.28515625" customWidth="1" style="320" min="6" max="6"/>
    <col width="14.140625" customWidth="1" style="320" min="7" max="7"/>
  </cols>
  <sheetData>
    <row r="1">
      <c r="A1" s="398" t="inlineStr">
        <is>
          <t>Приложение №6</t>
        </is>
      </c>
    </row>
    <row r="2" ht="21.75" customHeight="1" s="320">
      <c r="A2" s="398" t="n"/>
      <c r="B2" s="398" t="n"/>
      <c r="C2" s="398" t="n"/>
      <c r="D2" s="398" t="n"/>
      <c r="E2" s="398" t="n"/>
      <c r="F2" s="398" t="n"/>
      <c r="G2" s="398" t="n"/>
    </row>
    <row r="3">
      <c r="A3" s="344" t="inlineStr">
        <is>
          <t>Расчет стоимости оборудования</t>
        </is>
      </c>
    </row>
    <row r="4" ht="39.75" customHeight="1" s="320">
      <c r="A4" s="347" t="inlineStr">
        <is>
          <t>Наименование разрабатываемого показателя УНЦ — Шкафы РЗА 2 архитектуры. Комплект защит шунтирующего реактора 110-750 кВ, УРОВ, АУВ</t>
        </is>
      </c>
    </row>
    <row r="5">
      <c r="A5" s="314" t="n"/>
      <c r="B5" s="314" t="n"/>
      <c r="C5" s="314" t="n"/>
      <c r="D5" s="314" t="n"/>
      <c r="E5" s="314" t="n"/>
      <c r="F5" s="314" t="n"/>
      <c r="G5" s="314" t="n"/>
    </row>
    <row r="6" ht="30" customHeight="1" s="320">
      <c r="A6" s="403" t="inlineStr">
        <is>
          <t>№ пп.</t>
        </is>
      </c>
      <c r="B6" s="403" t="inlineStr">
        <is>
          <t>Код ресурса</t>
        </is>
      </c>
      <c r="C6" s="403" t="inlineStr">
        <is>
          <t>Наименование</t>
        </is>
      </c>
      <c r="D6" s="403" t="inlineStr">
        <is>
          <t>Ед. изм.</t>
        </is>
      </c>
      <c r="E6" s="375" t="inlineStr">
        <is>
          <t>Кол-во единиц по проектным данным</t>
        </is>
      </c>
      <c r="F6" s="403" t="inlineStr">
        <is>
          <t>Сметная стоимость в ценах на 01.01.2000 (руб.)</t>
        </is>
      </c>
      <c r="G6" s="457" t="n"/>
    </row>
    <row r="7">
      <c r="A7" s="459" t="n"/>
      <c r="B7" s="459" t="n"/>
      <c r="C7" s="459" t="n"/>
      <c r="D7" s="459" t="n"/>
      <c r="E7" s="459" t="n"/>
      <c r="F7" s="375" t="inlineStr">
        <is>
          <t>на ед. изм.</t>
        </is>
      </c>
      <c r="G7" s="375" t="inlineStr">
        <is>
          <t>общая</t>
        </is>
      </c>
    </row>
    <row r="8">
      <c r="A8" s="375" t="n">
        <v>1</v>
      </c>
      <c r="B8" s="375" t="n">
        <v>2</v>
      </c>
      <c r="C8" s="375" t="n">
        <v>3</v>
      </c>
      <c r="D8" s="375" t="n">
        <v>4</v>
      </c>
      <c r="E8" s="375" t="n">
        <v>5</v>
      </c>
      <c r="F8" s="375" t="n">
        <v>6</v>
      </c>
      <c r="G8" s="375" t="n">
        <v>7</v>
      </c>
    </row>
    <row r="9" ht="15" customHeight="1" s="320">
      <c r="A9" s="234" t="n"/>
      <c r="B9" s="383" t="inlineStr">
        <is>
          <t>ИНЖЕНЕРНОЕ ОБОРУДОВАНИЕ</t>
        </is>
      </c>
      <c r="C9" s="456" t="n"/>
      <c r="D9" s="456" t="n"/>
      <c r="E9" s="456" t="n"/>
      <c r="F9" s="456" t="n"/>
      <c r="G9" s="457" t="n"/>
    </row>
    <row r="10" ht="27" customHeight="1" s="320">
      <c r="A10" s="375" t="n"/>
      <c r="B10" s="365" t="n"/>
      <c r="C10" s="383" t="inlineStr">
        <is>
          <t>ИТОГО ИНЖЕНЕРНОЕ ОБОРУДОВАНИЕ</t>
        </is>
      </c>
      <c r="D10" s="365" t="n"/>
      <c r="E10" s="142" t="n"/>
      <c r="F10" s="385" t="n"/>
      <c r="G10" s="385" t="n">
        <v>0</v>
      </c>
    </row>
    <row r="11">
      <c r="A11" s="375" t="n"/>
      <c r="B11" s="383" t="inlineStr">
        <is>
          <t>ТЕХНОЛОГИЧЕСКОЕ ОБОРУДОВАНИЕ</t>
        </is>
      </c>
      <c r="C11" s="456" t="n"/>
      <c r="D11" s="456" t="n"/>
      <c r="E11" s="456" t="n"/>
      <c r="F11" s="456" t="n"/>
      <c r="G11" s="457" t="n"/>
    </row>
    <row r="12" ht="75.75" customHeight="1" s="320">
      <c r="A12" s="375" t="n">
        <v>1</v>
      </c>
      <c r="B12" s="271">
        <f>'Прил.5 Расчет СМР и ОБ'!B29</f>
        <v/>
      </c>
      <c r="C12" s="383">
        <f>'Прил.5 Расчет СМР и ОБ'!C29</f>
        <v/>
      </c>
      <c r="D12" s="375">
        <f>'Прил.5 Расчет СМР и ОБ'!D29</f>
        <v/>
      </c>
      <c r="E12" s="470">
        <f>'Прил.5 Расчет СМР и ОБ'!E29</f>
        <v/>
      </c>
      <c r="F12" s="198">
        <f>'Прил.5 Расчет СМР и ОБ'!F29</f>
        <v/>
      </c>
      <c r="G12" s="198">
        <f>ROUND(E12*F12,2)</f>
        <v/>
      </c>
    </row>
    <row r="13" ht="25.5" customHeight="1" s="320">
      <c r="A13" s="375" t="n"/>
      <c r="B13" s="383" t="n"/>
      <c r="C13" s="383" t="inlineStr">
        <is>
          <t>ИТОГО ТЕХНОЛОГИЧЕСКОЕ ОБОРУДОВАНИЕ</t>
        </is>
      </c>
      <c r="D13" s="383" t="n"/>
      <c r="E13" s="402" t="n"/>
      <c r="F13" s="385" t="n"/>
      <c r="G13" s="198">
        <f>SUM(G12:G12)</f>
        <v/>
      </c>
    </row>
    <row r="14" ht="19.5" customHeight="1" s="320">
      <c r="A14" s="375" t="n"/>
      <c r="B14" s="383" t="n"/>
      <c r="C14" s="383" t="inlineStr">
        <is>
          <t>Всего по разделу «Оборудование»</t>
        </is>
      </c>
      <c r="D14" s="383" t="n"/>
      <c r="E14" s="402" t="n"/>
      <c r="F14" s="385" t="n"/>
      <c r="G14" s="198">
        <f>G10+G13</f>
        <v/>
      </c>
    </row>
    <row r="15">
      <c r="A15" s="316" t="n"/>
      <c r="B15" s="145" t="n"/>
      <c r="C15" s="316" t="n"/>
      <c r="D15" s="316" t="n"/>
      <c r="E15" s="316" t="n"/>
      <c r="F15" s="316" t="n"/>
      <c r="G15" s="316" t="n"/>
    </row>
    <row r="16">
      <c r="A16" s="314" t="inlineStr">
        <is>
          <t>Составил ______________________    Е. М. Добровольская</t>
        </is>
      </c>
      <c r="B16" s="315" t="n"/>
      <c r="C16" s="315" t="n"/>
      <c r="D16" s="316" t="n"/>
      <c r="E16" s="316" t="n"/>
      <c r="F16" s="316" t="n"/>
      <c r="G16" s="316" t="n"/>
    </row>
    <row r="17">
      <c r="A17" s="317" t="inlineStr">
        <is>
          <t xml:space="preserve">                         (подпись, инициалы, фамилия)</t>
        </is>
      </c>
      <c r="B17" s="315" t="n"/>
      <c r="C17" s="315" t="n"/>
      <c r="D17" s="316" t="n"/>
      <c r="E17" s="316" t="n"/>
      <c r="F17" s="316" t="n"/>
      <c r="G17" s="316" t="n"/>
    </row>
    <row r="18">
      <c r="A18" s="314" t="n"/>
      <c r="B18" s="315" t="n"/>
      <c r="C18" s="315" t="n"/>
      <c r="D18" s="316" t="n"/>
      <c r="E18" s="316" t="n"/>
      <c r="F18" s="316" t="n"/>
      <c r="G18" s="316" t="n"/>
    </row>
    <row r="19">
      <c r="A19" s="314" t="inlineStr">
        <is>
          <t>Проверил ______________________        А.В. Костянецкая</t>
        </is>
      </c>
      <c r="B19" s="315" t="n"/>
      <c r="C19" s="315" t="n"/>
      <c r="D19" s="316" t="n"/>
      <c r="E19" s="316" t="n"/>
      <c r="F19" s="316" t="n"/>
      <c r="G19" s="316" t="n"/>
    </row>
    <row r="20">
      <c r="A20" s="317" t="inlineStr">
        <is>
          <t xml:space="preserve">                        (подпись, инициалы, фамилия)</t>
        </is>
      </c>
      <c r="B20" s="315" t="n"/>
      <c r="C20" s="315" t="n"/>
      <c r="D20" s="316" t="n"/>
      <c r="E20" s="316" t="n"/>
      <c r="F20" s="316" t="n"/>
      <c r="G20" s="31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320" min="1" max="1"/>
    <col width="16.42578125" customWidth="1" style="320" min="2" max="2"/>
    <col width="37.140625" customWidth="1" style="320" min="3" max="3"/>
    <col width="49" customWidth="1" style="320" min="4" max="4"/>
    <col width="9.140625" customWidth="1" style="320" min="5" max="5"/>
  </cols>
  <sheetData>
    <row r="1" ht="15.75" customHeight="1" s="320">
      <c r="A1" s="322" t="n"/>
      <c r="B1" s="322" t="n"/>
      <c r="C1" s="322" t="n"/>
      <c r="D1" s="322" t="inlineStr">
        <is>
          <t>Приложение №7</t>
        </is>
      </c>
    </row>
    <row r="2" ht="15.75" customHeight="1" s="320">
      <c r="A2" s="322" t="n"/>
      <c r="B2" s="322" t="n"/>
      <c r="C2" s="322" t="n"/>
      <c r="D2" s="322" t="n"/>
    </row>
    <row r="3" ht="15.75" customHeight="1" s="320">
      <c r="A3" s="322" t="n"/>
      <c r="B3" s="308" t="inlineStr">
        <is>
          <t>Расчет показателя УНЦ</t>
        </is>
      </c>
      <c r="C3" s="322" t="n"/>
      <c r="D3" s="322" t="n"/>
    </row>
    <row r="4" ht="15.75" customHeight="1" s="320">
      <c r="A4" s="322" t="n"/>
      <c r="B4" s="322" t="n"/>
      <c r="C4" s="322" t="n"/>
      <c r="D4" s="322" t="n"/>
    </row>
    <row r="5" ht="47.25" customHeight="1" s="320">
      <c r="A5" s="404" t="inlineStr">
        <is>
          <t xml:space="preserve">Наименование разрабатываемого показателя УНЦ - </t>
        </is>
      </c>
      <c r="D5" s="404">
        <f>'Прил.5 Расчет СМР и ОБ'!D6:J6</f>
        <v/>
      </c>
    </row>
    <row r="6" ht="15.75" customHeight="1" s="320">
      <c r="A6" s="322" t="inlineStr">
        <is>
          <t>Единица измерения  — 1 ед</t>
        </is>
      </c>
      <c r="B6" s="322" t="n"/>
      <c r="C6" s="322" t="n"/>
      <c r="D6" s="322" t="n"/>
    </row>
    <row r="7" ht="15.75" customHeight="1" s="320">
      <c r="A7" s="322" t="n"/>
      <c r="B7" s="322" t="n"/>
      <c r="C7" s="322" t="n"/>
      <c r="D7" s="322" t="n"/>
    </row>
    <row r="8">
      <c r="A8" s="357" t="inlineStr">
        <is>
          <t>Код показателя</t>
        </is>
      </c>
      <c r="B8" s="357" t="inlineStr">
        <is>
          <t>Наименование показателя</t>
        </is>
      </c>
      <c r="C8" s="357" t="inlineStr">
        <is>
          <t>Наименование РМ, входящих в состав показателя</t>
        </is>
      </c>
      <c r="D8" s="357" t="inlineStr">
        <is>
          <t>Норматив цены на 01.01.2023, тыс.руб.</t>
        </is>
      </c>
    </row>
    <row r="9">
      <c r="A9" s="459" t="n"/>
      <c r="B9" s="459" t="n"/>
      <c r="C9" s="459" t="n"/>
      <c r="D9" s="459" t="n"/>
    </row>
    <row r="10" ht="15.75" customHeight="1" s="320">
      <c r="A10" s="357" t="n">
        <v>1</v>
      </c>
      <c r="B10" s="357" t="n">
        <v>2</v>
      </c>
      <c r="C10" s="357" t="n">
        <v>3</v>
      </c>
      <c r="D10" s="357" t="n">
        <v>4</v>
      </c>
    </row>
    <row r="11" ht="47.25" customHeight="1" s="320">
      <c r="A11" s="357" t="inlineStr">
        <is>
          <t>И11-71</t>
        </is>
      </c>
      <c r="B11" s="357" t="inlineStr">
        <is>
          <t>УНЦ РЗА</t>
        </is>
      </c>
      <c r="C11" s="312">
        <f>D5</f>
        <v/>
      </c>
      <c r="D11" s="328">
        <f>'Прил.4 РМ'!C41/1000</f>
        <v/>
      </c>
    </row>
    <row r="13">
      <c r="A13" s="450" t="inlineStr">
        <is>
          <t>Составил ______________________      Е. М. Добровольская</t>
        </is>
      </c>
      <c r="B13" s="315" t="n"/>
      <c r="C13" s="315" t="n"/>
      <c r="D13" s="316" t="n"/>
    </row>
    <row r="14">
      <c r="A14" s="317" t="inlineStr">
        <is>
          <t xml:space="preserve">                         (подпись, инициалы, фамилия)</t>
        </is>
      </c>
      <c r="B14" s="315" t="n"/>
      <c r="C14" s="315" t="n"/>
      <c r="D14" s="316" t="n"/>
    </row>
    <row r="15">
      <c r="A15" s="314" t="n"/>
      <c r="B15" s="315" t="n"/>
      <c r="C15" s="315" t="n"/>
      <c r="D15" s="316" t="n"/>
    </row>
    <row r="16">
      <c r="A16" s="314" t="inlineStr">
        <is>
          <t>Проверил ______________________        А.В. Костянецкая</t>
        </is>
      </c>
      <c r="B16" s="315" t="n"/>
      <c r="C16" s="315" t="n"/>
      <c r="D16" s="316" t="n"/>
    </row>
    <row r="17">
      <c r="A17" s="317" t="inlineStr">
        <is>
          <t xml:space="preserve">                        (подпись, инициалы, фамилия)</t>
        </is>
      </c>
      <c r="B17" s="315" t="n"/>
      <c r="C17" s="315" t="n"/>
      <c r="D17" s="31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topLeftCell="A7" zoomScale="60" zoomScaleNormal="85" workbookViewId="0">
      <selection activeCell="B26" sqref="B26"/>
    </sheetView>
  </sheetViews>
  <sheetFormatPr baseColWidth="8" defaultRowHeight="15"/>
  <cols>
    <col width="9.140625" customWidth="1" style="320" min="1" max="1"/>
    <col width="40.7109375" customWidth="1" style="320" min="2" max="2"/>
    <col width="37" customWidth="1" style="320" min="3" max="3"/>
    <col width="32" customWidth="1" style="320" min="4" max="4"/>
    <col width="9.140625" customWidth="1" style="320" min="5" max="5"/>
  </cols>
  <sheetData>
    <row r="4" ht="15.75" customHeight="1" s="320">
      <c r="B4" s="351" t="inlineStr">
        <is>
          <t>Приложение № 10</t>
        </is>
      </c>
    </row>
    <row r="5" ht="18.75" customHeight="1" s="320">
      <c r="B5" s="166" t="n"/>
    </row>
    <row r="6" ht="15.75" customHeight="1" s="320">
      <c r="B6" s="352" t="inlineStr">
        <is>
          <t>Используемые индексы изменений сметной стоимости и нормы сопутствующих затрат</t>
        </is>
      </c>
    </row>
    <row r="7">
      <c r="B7" s="405" t="n"/>
    </row>
    <row r="8">
      <c r="B8" s="405" t="n"/>
      <c r="C8" s="405" t="n"/>
      <c r="D8" s="405" t="n"/>
      <c r="E8" s="405" t="n"/>
    </row>
    <row r="9" ht="47.25" customHeight="1" s="320">
      <c r="B9" s="357" t="inlineStr">
        <is>
          <t>Наименование индекса / норм сопутствующих затрат</t>
        </is>
      </c>
      <c r="C9" s="357" t="inlineStr">
        <is>
          <t>Дата применения и обоснование индекса / норм сопутствующих затрат</t>
        </is>
      </c>
      <c r="D9" s="357" t="inlineStr">
        <is>
          <t>Размер индекса / норма сопутствующих затрат</t>
        </is>
      </c>
    </row>
    <row r="10" ht="15.75" customHeight="1" s="320">
      <c r="B10" s="357" t="n">
        <v>1</v>
      </c>
      <c r="C10" s="357" t="n">
        <v>2</v>
      </c>
      <c r="D10" s="357" t="n">
        <v>3</v>
      </c>
    </row>
    <row r="11" ht="45" customHeight="1" s="320">
      <c r="B11" s="357" t="inlineStr">
        <is>
          <t xml:space="preserve">Индекс изменения сметной стоимости на 1 квартал 2023 года. ОЗП </t>
        </is>
      </c>
      <c r="C11" s="357" t="inlineStr">
        <is>
          <t>Письмо Минстроя России от 01.04.2023г. №17772-ИФ/09 прил.9</t>
        </is>
      </c>
      <c r="D11" s="357" t="n">
        <v>44.29</v>
      </c>
    </row>
    <row r="12" ht="29.25" customHeight="1" s="320">
      <c r="B12" s="357" t="inlineStr">
        <is>
          <t>Индекс изменения сметной стоимости на 1 квартал 2023 года. ЭМ</t>
        </is>
      </c>
      <c r="C12" s="357" t="inlineStr">
        <is>
          <t>Письмо Минстроя России от 01.04.2023г. №17772-ИФ/09 прил.9</t>
        </is>
      </c>
      <c r="D12" s="357" t="n">
        <v>13.47</v>
      </c>
    </row>
    <row r="13" ht="29.25" customHeight="1" s="320">
      <c r="B13" s="357" t="inlineStr">
        <is>
          <t>Индекс изменения сметной стоимости на 1 квартал 2023 года. МАТ</t>
        </is>
      </c>
      <c r="C13" s="357" t="inlineStr">
        <is>
          <t>Письмо Минстроя России от 01.04.2023г. №17772-ИФ/09 прил.9</t>
        </is>
      </c>
      <c r="D13" s="357" t="n">
        <v>8.039999999999999</v>
      </c>
    </row>
    <row r="14" ht="30.75" customHeight="1" s="320">
      <c r="B14" s="357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57" t="n">
        <v>6.26</v>
      </c>
    </row>
    <row r="15" ht="89.25" customHeight="1" s="320">
      <c r="B15" s="357" t="inlineStr">
        <is>
          <t>Временные здания и сооружения</t>
        </is>
      </c>
      <c r="C15" s="35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20">
      <c r="B16" s="357" t="inlineStr">
        <is>
          <t>Дополнительные затраты при производстве строительно-монтажных работ в зимнее время</t>
        </is>
      </c>
      <c r="C16" s="35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31.5" customHeight="1" s="320">
      <c r="B17" s="357" t="inlineStr">
        <is>
          <t>Строительный контроль</t>
        </is>
      </c>
      <c r="C17" s="357" t="inlineStr">
        <is>
          <t>Постановление Правительства РФ от 21.06.10 г. № 468</t>
        </is>
      </c>
      <c r="D17" s="169" t="n">
        <v>0.0214</v>
      </c>
    </row>
    <row r="18" ht="31.5" customHeight="1" s="320">
      <c r="B18" s="357" t="inlineStr">
        <is>
          <t>Авторский надзор - 0,2%</t>
        </is>
      </c>
      <c r="C18" s="357" t="inlineStr">
        <is>
          <t>Приказ от 4.08.2020 № 421/пр п.173</t>
        </is>
      </c>
      <c r="D18" s="169" t="n">
        <v>0.002</v>
      </c>
    </row>
    <row r="19" ht="24" customHeight="1" s="320">
      <c r="B19" s="357" t="inlineStr">
        <is>
          <t>Непредвиденные расходы</t>
        </is>
      </c>
      <c r="C19" s="357" t="inlineStr">
        <is>
          <t>Приказ от 4.08.2020 № 421/пр п.179</t>
        </is>
      </c>
      <c r="D19" s="169" t="n">
        <v>0.03</v>
      </c>
    </row>
    <row r="20" ht="18.75" customHeight="1" s="320">
      <c r="B20" s="246" t="n"/>
    </row>
    <row r="21" ht="18.75" customHeight="1" s="320">
      <c r="B21" s="246" t="n"/>
    </row>
    <row r="22" ht="18.75" customHeight="1" s="320">
      <c r="B22" s="246" t="n"/>
    </row>
    <row r="23" ht="18.75" customHeight="1" s="320">
      <c r="B23" s="246" t="n"/>
    </row>
    <row r="26">
      <c r="B26" s="450" t="inlineStr">
        <is>
          <t>Составил ______________________        Е. М. Добровольская</t>
        </is>
      </c>
      <c r="C26" s="315" t="n"/>
    </row>
    <row r="27">
      <c r="B27" s="317" t="inlineStr">
        <is>
          <t xml:space="preserve">                         (подпись, инициалы, фамилия)</t>
        </is>
      </c>
      <c r="C27" s="315" t="n"/>
    </row>
    <row r="28">
      <c r="B28" s="314" t="n"/>
      <c r="C28" s="315" t="n"/>
    </row>
    <row r="29">
      <c r="B29" s="314" t="inlineStr">
        <is>
          <t>Проверил ______________________        А.В. Костянецкая</t>
        </is>
      </c>
      <c r="C29" s="315" t="n"/>
    </row>
    <row r="30">
      <c r="B30" s="317" t="inlineStr">
        <is>
          <t xml:space="preserve">                        (подпись, инициалы, фамилия)</t>
        </is>
      </c>
      <c r="C30" s="31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topLeftCell="A7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20" min="2" max="2"/>
    <col width="13" customWidth="1" style="320" min="3" max="3"/>
    <col width="22.85546875" customWidth="1" style="320" min="4" max="4"/>
    <col width="21.5703125" customWidth="1" style="320" min="5" max="5"/>
    <col width="43.85546875" customWidth="1" style="320" min="6" max="6"/>
  </cols>
  <sheetData>
    <row r="1" s="320"/>
    <row r="2" ht="17.25" customHeight="1" s="320">
      <c r="A2" s="352" t="inlineStr">
        <is>
          <t>Расчет размера средств на оплату труда рабочих-строителей в текущем уровне цен (ФОТр.тек.)</t>
        </is>
      </c>
    </row>
    <row r="3" s="320"/>
    <row r="4" ht="18" customHeight="1" s="320">
      <c r="A4" s="321" t="inlineStr">
        <is>
          <t>Составлен в уровне цен на 01.01.2023 г.</t>
        </is>
      </c>
      <c r="B4" s="322" t="n"/>
      <c r="C4" s="322" t="n"/>
      <c r="D4" s="322" t="n"/>
      <c r="E4" s="322" t="n"/>
      <c r="F4" s="322" t="n"/>
      <c r="G4" s="322" t="n"/>
    </row>
    <row r="5" ht="15.75" customHeight="1" s="320">
      <c r="A5" s="323" t="inlineStr">
        <is>
          <t>№ пп.</t>
        </is>
      </c>
      <c r="B5" s="323" t="inlineStr">
        <is>
          <t>Наименование элемента</t>
        </is>
      </c>
      <c r="C5" s="323" t="inlineStr">
        <is>
          <t>Обозначение</t>
        </is>
      </c>
      <c r="D5" s="323" t="inlineStr">
        <is>
          <t>Формула</t>
        </is>
      </c>
      <c r="E5" s="323" t="inlineStr">
        <is>
          <t>Величина элемента</t>
        </is>
      </c>
      <c r="F5" s="323" t="inlineStr">
        <is>
          <t>Наименования обосновывающих документов</t>
        </is>
      </c>
      <c r="G5" s="322" t="n"/>
    </row>
    <row r="6" ht="15.75" customHeight="1" s="320">
      <c r="A6" s="323" t="n">
        <v>1</v>
      </c>
      <c r="B6" s="323" t="n">
        <v>2</v>
      </c>
      <c r="C6" s="323" t="n">
        <v>3</v>
      </c>
      <c r="D6" s="323" t="n">
        <v>4</v>
      </c>
      <c r="E6" s="323" t="n">
        <v>5</v>
      </c>
      <c r="F6" s="323" t="n">
        <v>6</v>
      </c>
      <c r="G6" s="322" t="n"/>
    </row>
    <row r="7" ht="110.25" customHeight="1" s="320">
      <c r="A7" s="324" t="inlineStr">
        <is>
          <t>1.1</t>
        </is>
      </c>
      <c r="B7" s="3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7" t="inlineStr">
        <is>
          <t>С1ср</t>
        </is>
      </c>
      <c r="D7" s="357" t="inlineStr">
        <is>
          <t>-</t>
        </is>
      </c>
      <c r="E7" s="327" t="n">
        <v>47872.94</v>
      </c>
      <c r="F7" s="3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2" t="n"/>
    </row>
    <row r="8" ht="31.5" customHeight="1" s="320">
      <c r="A8" s="324" t="inlineStr">
        <is>
          <t>1.2</t>
        </is>
      </c>
      <c r="B8" s="329" t="inlineStr">
        <is>
          <t>Среднегодовое нормативное число часов работы одного рабочего в месяц, часы (ч.)</t>
        </is>
      </c>
      <c r="C8" s="357" t="inlineStr">
        <is>
          <t>tср</t>
        </is>
      </c>
      <c r="D8" s="357" t="inlineStr">
        <is>
          <t>1973ч/12мес.</t>
        </is>
      </c>
      <c r="E8" s="328">
        <f>1973/12</f>
        <v/>
      </c>
      <c r="F8" s="329" t="inlineStr">
        <is>
          <t>Производственный календарь 2023 год
(40-часов.неделя)</t>
        </is>
      </c>
      <c r="G8" s="331" t="n"/>
    </row>
    <row r="9" ht="15.75" customHeight="1" s="320">
      <c r="A9" s="324" t="inlineStr">
        <is>
          <t>1.3</t>
        </is>
      </c>
      <c r="B9" s="329" t="inlineStr">
        <is>
          <t>Коэффициент увеличения</t>
        </is>
      </c>
      <c r="C9" s="357" t="inlineStr">
        <is>
          <t>Кув</t>
        </is>
      </c>
      <c r="D9" s="357" t="inlineStr">
        <is>
          <t>-</t>
        </is>
      </c>
      <c r="E9" s="328" t="n">
        <v>1</v>
      </c>
      <c r="F9" s="329" t="n"/>
      <c r="G9" s="331" t="n"/>
    </row>
    <row r="10" ht="15.75" customHeight="1" s="320">
      <c r="A10" s="324" t="inlineStr">
        <is>
          <t>1.4</t>
        </is>
      </c>
      <c r="B10" s="329" t="inlineStr">
        <is>
          <t>Средний разряд работ</t>
        </is>
      </c>
      <c r="C10" s="357" t="n"/>
      <c r="D10" s="357" t="n"/>
      <c r="E10" s="476" t="n">
        <v>3.8</v>
      </c>
      <c r="F10" s="329" t="inlineStr">
        <is>
          <t>РТМ</t>
        </is>
      </c>
      <c r="G10" s="331" t="n"/>
    </row>
    <row r="11" ht="78.75" customHeight="1" s="320">
      <c r="A11" s="324" t="inlineStr">
        <is>
          <t>1.5</t>
        </is>
      </c>
      <c r="B11" s="329" t="inlineStr">
        <is>
          <t>Тарифный коэффициент среднего разряда работ</t>
        </is>
      </c>
      <c r="C11" s="357" t="inlineStr">
        <is>
          <t>КТ</t>
        </is>
      </c>
      <c r="D11" s="357" t="inlineStr">
        <is>
          <t>-</t>
        </is>
      </c>
      <c r="E11" s="477" t="n">
        <v>1.308</v>
      </c>
      <c r="F11" s="32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2" t="n"/>
    </row>
    <row r="12" ht="78.75" customHeight="1" s="320">
      <c r="A12" s="324" t="inlineStr">
        <is>
          <t>1.6</t>
        </is>
      </c>
      <c r="B12" s="334" t="inlineStr">
        <is>
          <t>Коэффициент инфляции, определяемый поквартально</t>
        </is>
      </c>
      <c r="C12" s="357" t="inlineStr">
        <is>
          <t>Кинф</t>
        </is>
      </c>
      <c r="D12" s="357" t="inlineStr">
        <is>
          <t>-</t>
        </is>
      </c>
      <c r="E12" s="478" t="n">
        <v>1.139</v>
      </c>
      <c r="F12" s="3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1" t="n"/>
    </row>
    <row r="13" ht="63" customHeight="1" s="320">
      <c r="A13" s="451" t="inlineStr">
        <is>
          <t>1.7</t>
        </is>
      </c>
      <c r="B13" s="452" t="inlineStr">
        <is>
          <t>Размер средств на оплату труда рабочих-строителей в текущем уровне цен (ФОТр.тек.), руб/чел.-ч</t>
        </is>
      </c>
      <c r="C13" s="453" t="inlineStr">
        <is>
          <t>ФОТр.тек.</t>
        </is>
      </c>
      <c r="D13" s="453" t="inlineStr">
        <is>
          <t>(С1ср/tср*КТ*Т*Кув)*Кинф</t>
        </is>
      </c>
      <c r="E13" s="454">
        <f>((E7*E9/E8)*E11)*E12</f>
        <v/>
      </c>
      <c r="F13" s="45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2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2025-01-24T12:01:21Z</dcterms:modified>
  <cp:lastModifiedBy>Nikolay Ivanov</cp:lastModifiedBy>
  <cp:lastPrinted>2023-11-28T07:45:18Z</cp:lastPrinted>
</cp:coreProperties>
</file>