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IF('Прил.7 Расчет пок.'!n_3=1,'Прил.7 Расчет пок.'!n_2,'Прил.7 Расчет пок.'!n_3&amp;'Прил.7 Расчет пок.'!n_1)</definedName>
    <definedName name="n1x">IF('Прил.7 Расчет пок.'!n_3=1,'Прил.7 Расчет пок.'!n_2,'Прил.7 Расчет пок.'!n_3&amp;'Прил.7 Расчет пок.'!n_5)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табл'!$A$1:$E$32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стоим'!$A$1:$J$32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ОБ'!$A$1:$J$50</definedName>
    <definedName name="_xlnm.Print_Area" localSheetId="5">'Прил.6 Расчет ОБ'!$A$1:$G$20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4" fillId="0" borderId="5" pivotButton="0" quotePrefix="0" xfId="0"/>
    <xf numFmtId="0" fontId="17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0" fontId="17" fillId="0" borderId="2" applyAlignment="1" pivotButton="0" quotePrefix="0" xfId="0">
      <alignment horizontal="justify" vertical="center" wrapText="1"/>
    </xf>
    <xf numFmtId="0" fontId="17" fillId="0" borderId="5" applyAlignment="1" pivotButton="0" quotePrefix="0" xfId="0">
      <alignment horizontal="center" vertical="center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2" fontId="17" fillId="0" borderId="1" applyAlignment="1" pivotButton="0" quotePrefix="0" xfId="0">
      <alignment horizontal="right" vertical="center"/>
    </xf>
    <xf numFmtId="0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right" vertical="center"/>
    </xf>
    <xf numFmtId="2" fontId="17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14" fontId="1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/>
    </xf>
    <xf numFmtId="2" fontId="21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10" fontId="17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49" fontId="1" fillId="0" borderId="6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left" vertical="center" wrapText="1"/>
    </xf>
    <xf numFmtId="166" fontId="1" fillId="0" borderId="6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0" fontId="17" fillId="4" borderId="4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" fontId="17" fillId="0" borderId="0" applyAlignment="1" pivotButton="0" quotePrefix="0" xfId="0">
      <alignment horizontal="left"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right" vertical="center" wrapText="1"/>
    </xf>
    <xf numFmtId="0" fontId="19" fillId="0" borderId="7" applyAlignment="1" pivotButton="0" quotePrefix="0" xfId="0">
      <alignment horizontal="right" vertical="center" wrapText="1"/>
    </xf>
    <xf numFmtId="0" fontId="19" fillId="0" borderId="8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7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30" fillId="0" borderId="0" pivotButton="0" quotePrefix="0" xfId="0"/>
    <xf numFmtId="0" fontId="17" fillId="0" borderId="10" applyAlignment="1" pivotButton="0" quotePrefix="0" xfId="0">
      <alignment horizontal="center" vertical="center"/>
    </xf>
    <xf numFmtId="49" fontId="17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17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7" fillId="0" borderId="10" applyAlignment="1" pivotButton="0" quotePrefix="0" xfId="0">
      <alignment horizontal="center" vertical="center"/>
    </xf>
    <xf numFmtId="169" fontId="17" fillId="0" borderId="10" applyAlignment="1" pivotButton="0" quotePrefix="0" xfId="0">
      <alignment horizontal="center" vertical="center"/>
    </xf>
    <xf numFmtId="170" fontId="17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166" fontId="17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wrapText="1"/>
    </xf>
    <xf numFmtId="0" fontId="19" fillId="0" borderId="10" applyAlignment="1" pivotButton="0" quotePrefix="0" xfId="0">
      <alignment vertical="center" wrapText="1"/>
    </xf>
    <xf numFmtId="4" fontId="19" fillId="0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167" fontId="17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6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7" fillId="0" borderId="10" applyAlignment="1" pivotButton="0" quotePrefix="0" xfId="0">
      <alignment horizontal="center" vertical="center"/>
    </xf>
    <xf numFmtId="170" fontId="17" fillId="0" borderId="10" applyAlignment="1" pivotButton="0" quotePrefix="0" xfId="0">
      <alignment horizontal="center" vertical="center"/>
    </xf>
    <xf numFmtId="166" fontId="17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55" zoomScaleNormal="55" workbookViewId="0">
      <selection activeCell="C29" sqref="C29"/>
    </sheetView>
  </sheetViews>
  <sheetFormatPr baseColWidth="8" defaultColWidth="9.140625" defaultRowHeight="15.75"/>
  <cols>
    <col width="9.140625" customWidth="1" style="203" min="1" max="2"/>
    <col width="36.85546875" customWidth="1" style="203" min="3" max="3"/>
    <col width="36.5703125" customWidth="1" style="203" min="4" max="5"/>
    <col width="9.140625" customWidth="1" style="203" min="6" max="6"/>
  </cols>
  <sheetData>
    <row r="3">
      <c r="B3" s="214" t="inlineStr">
        <is>
          <t>Приложение № 1</t>
        </is>
      </c>
    </row>
    <row r="4">
      <c r="B4" s="215" t="inlineStr">
        <is>
          <t>Сравнительная таблица отбора объекта-представителя</t>
        </is>
      </c>
    </row>
    <row r="5">
      <c r="B5" s="149" t="n"/>
      <c r="C5" s="149" t="n"/>
      <c r="D5" s="149" t="n"/>
      <c r="E5" s="149" t="n"/>
    </row>
    <row r="6">
      <c r="B6" s="149" t="n"/>
      <c r="C6" s="149" t="n"/>
      <c r="D6" s="149" t="n"/>
      <c r="E6" s="149" t="n"/>
    </row>
    <row r="7" ht="36.75" customHeight="1" s="201">
      <c r="B7" s="216" t="inlineStr">
        <is>
          <t>Наименование разрабатываемого показателя УНЦ — РЗА и прочие шкафы (панели). Аккумуляторная батарея (элемент) емкостью 350 А*ч</t>
        </is>
      </c>
    </row>
    <row r="8" ht="31.5" customHeight="1" s="201">
      <c r="B8" s="216" t="inlineStr">
        <is>
          <t>Сопоставимый уровень цен: 1 кв 2021</t>
        </is>
      </c>
    </row>
    <row r="9">
      <c r="B9" s="216" t="inlineStr">
        <is>
          <t>Единица измерения  — 1 шт.</t>
        </is>
      </c>
    </row>
    <row r="10">
      <c r="B10" s="216" t="n"/>
    </row>
    <row r="11">
      <c r="B11" s="222" t="inlineStr">
        <is>
          <t>№ п/п</t>
        </is>
      </c>
      <c r="C11" s="222" t="inlineStr">
        <is>
          <t>Параметр</t>
        </is>
      </c>
      <c r="D11" s="228" t="inlineStr">
        <is>
          <t>Объект-представитель 1</t>
        </is>
      </c>
      <c r="E11" s="228" t="inlineStr">
        <is>
          <t>Объект-представитель 2</t>
        </is>
      </c>
    </row>
    <row r="12" ht="291" customHeight="1" s="201">
      <c r="B12" s="222" t="n">
        <v>1</v>
      </c>
      <c r="C12" s="228" t="inlineStr">
        <is>
          <t>Наименование объекта-представителя</t>
        </is>
      </c>
      <c r="D12" s="195" t="inlineStr">
        <is>
          <t>Строительство ПС 500 кВ Белобережская с заходами ВЛ 500 кВ Новобрянская–Елецкая, ВЛ 220 кВ Белобережская – Цементная, ВЛ 220 кВ Белобережская –Машзавод и ВЛ 220 кВ Белобережская – Брянская (2 и 3 этапы)</t>
        </is>
      </c>
      <c r="E12" s="195" t="inlineStr">
        <is>
          <t>Строительство ПС 220 кВ Промпарк</t>
        </is>
      </c>
    </row>
    <row r="13" ht="31.5" customHeight="1" s="201">
      <c r="B13" s="222" t="n">
        <v>2</v>
      </c>
      <c r="C13" s="228" t="inlineStr">
        <is>
          <t>Наименование субъекта Российской Федерации</t>
        </is>
      </c>
      <c r="D13" s="194" t="inlineStr">
        <is>
          <t>Брянская область</t>
        </is>
      </c>
      <c r="E13" s="194" t="inlineStr">
        <is>
          <t>Приморский край</t>
        </is>
      </c>
    </row>
    <row r="14">
      <c r="B14" s="222" t="n">
        <v>3</v>
      </c>
      <c r="C14" s="228" t="inlineStr">
        <is>
          <t>Климатический район и подрайон</t>
        </is>
      </c>
      <c r="D14" s="222" t="inlineStr">
        <is>
          <t>IIIВ</t>
        </is>
      </c>
      <c r="E14" s="222" t="inlineStr">
        <is>
          <t>IВ</t>
        </is>
      </c>
    </row>
    <row r="15">
      <c r="B15" s="222" t="n">
        <v>4</v>
      </c>
      <c r="C15" s="228" t="inlineStr">
        <is>
          <t>Мощность объекта</t>
        </is>
      </c>
      <c r="D15" s="222" t="n">
        <v>208</v>
      </c>
      <c r="E15" s="222" t="n">
        <v>208</v>
      </c>
    </row>
    <row r="16" ht="253.5" customHeight="1" s="201">
      <c r="B16" s="222" t="n">
        <v>5</v>
      </c>
      <c r="C16" s="15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Аккумуляторная батарея Varta Vb2307+ 350 А*ч</t>
        </is>
      </c>
      <c r="E16" s="222" t="inlineStr">
        <is>
          <t>Аккумуляторная батарея Vb2307+350 А*ч</t>
        </is>
      </c>
    </row>
    <row r="17" ht="78.75" customHeight="1" s="201">
      <c r="B17" s="222" t="n">
        <v>6</v>
      </c>
      <c r="C17" s="15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4">
        <f>SUM(D18:D21)</f>
        <v/>
      </c>
      <c r="E17" s="154">
        <f>SUM(E18:E21)</f>
        <v/>
      </c>
    </row>
    <row r="18">
      <c r="B18" s="156" t="inlineStr">
        <is>
          <t>6.1</t>
        </is>
      </c>
      <c r="C18" s="228" t="inlineStr">
        <is>
          <t>строительно-монтажные работы</t>
        </is>
      </c>
      <c r="D18" s="154" t="n">
        <v>4315.29</v>
      </c>
      <c r="E18" s="154" t="n">
        <v>4353.6</v>
      </c>
    </row>
    <row r="19" ht="15.75" customHeight="1" s="201">
      <c r="B19" s="156" t="inlineStr">
        <is>
          <t>6.2</t>
        </is>
      </c>
      <c r="C19" s="228" t="inlineStr">
        <is>
          <t>оборудование и инвентарь</t>
        </is>
      </c>
      <c r="D19" s="154" t="n">
        <v>311.2</v>
      </c>
      <c r="E19" s="154" t="n">
        <v>193.91</v>
      </c>
    </row>
    <row r="20" ht="16.5" customHeight="1" s="201">
      <c r="B20" s="156" t="inlineStr">
        <is>
          <t>6.3</t>
        </is>
      </c>
      <c r="C20" s="228" t="inlineStr">
        <is>
          <t>пусконаладочные работы</t>
        </is>
      </c>
      <c r="D20" s="154" t="n">
        <v>0</v>
      </c>
      <c r="E20" s="154" t="n">
        <v>0</v>
      </c>
    </row>
    <row r="21" ht="35.25" customHeight="1" s="201">
      <c r="B21" s="156" t="inlineStr">
        <is>
          <t>6.4</t>
        </is>
      </c>
      <c r="C21" s="157" t="inlineStr">
        <is>
          <t>прочие и лимитированные затраты</t>
        </is>
      </c>
      <c r="D21" s="154">
        <f>D18*3.9%*0.8+(D18+D18*3.9%*0.8)*3.2%</f>
        <v/>
      </c>
      <c r="E21" s="154">
        <f>E18*3.9%+(E18+E18*3.9%)*2.1%*0.9</f>
        <v/>
      </c>
    </row>
    <row r="22">
      <c r="B22" s="222" t="n">
        <v>7</v>
      </c>
      <c r="C22" s="157" t="inlineStr">
        <is>
          <t>Сопоставимый уровень цен</t>
        </is>
      </c>
      <c r="D22" s="222" t="inlineStr">
        <is>
          <t>1 кв 2021</t>
        </is>
      </c>
      <c r="E22" s="222" t="inlineStr">
        <is>
          <t>1 кв 2021</t>
        </is>
      </c>
    </row>
    <row r="23" ht="123" customHeight="1" s="201">
      <c r="B23" s="222" t="n">
        <v>8</v>
      </c>
      <c r="C23" s="15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4">
        <f>D17/7.84*10.09</f>
        <v/>
      </c>
      <c r="E23" s="154">
        <f>E17/7.22*10.09</f>
        <v/>
      </c>
    </row>
    <row r="24" ht="60.75" customHeight="1" s="201">
      <c r="B24" s="222" t="n">
        <v>9</v>
      </c>
      <c r="C24" s="155" t="inlineStr">
        <is>
          <t>Приведенная сметная стоимость на единицу мощности, тыс. руб. (строка 8/строку 4)</t>
        </is>
      </c>
      <c r="D24" s="154">
        <f>D23/D15</f>
        <v/>
      </c>
      <c r="E24" s="154">
        <f>E23/E15</f>
        <v/>
      </c>
    </row>
    <row r="25" ht="164.25" customHeight="1" s="201">
      <c r="B25" s="222" t="n">
        <v>10</v>
      </c>
      <c r="C25" s="228" t="inlineStr">
        <is>
          <t>Примечание</t>
        </is>
      </c>
      <c r="D25" s="228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шт.</t>
        </is>
      </c>
      <c r="E25" s="228" t="n"/>
    </row>
    <row r="26">
      <c r="B26" s="140" t="n"/>
      <c r="C26" s="141" t="n"/>
      <c r="D26" s="141" t="n"/>
      <c r="E26" s="141" t="n"/>
    </row>
    <row r="27">
      <c r="B27" s="143" t="n"/>
    </row>
    <row r="28">
      <c r="B28" s="203" t="inlineStr">
        <is>
          <t>Составил ______________________        Д.А. Самуйленко</t>
        </is>
      </c>
    </row>
    <row r="29">
      <c r="B29" s="143" t="inlineStr">
        <is>
          <t xml:space="preserve">                         (подпись, инициалы, фамилия)</t>
        </is>
      </c>
    </row>
    <row r="31">
      <c r="B31" s="203" t="inlineStr">
        <is>
          <t>Проверил ______________________        А.В. Костянецкая</t>
        </is>
      </c>
    </row>
    <row r="32">
      <c r="B32" s="143" t="inlineStr">
        <is>
          <t xml:space="preserve">                        (подпись, инициалы, фамилия)</t>
        </is>
      </c>
    </row>
  </sheetData>
  <mergeCells count="5">
    <mergeCell ref="B9:E9"/>
    <mergeCell ref="B8:E8"/>
    <mergeCell ref="B4:E4"/>
    <mergeCell ref="B7:E7"/>
    <mergeCell ref="B3:E3"/>
  </mergeCells>
  <pageMargins left="0.7" right="0.7" top="0.75" bottom="0.75" header="0.3" footer="0.3"/>
  <pageSetup orientation="portrait" paperSize="9" scale="68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32"/>
  <sheetViews>
    <sheetView view="pageBreakPreview" topLeftCell="A4" zoomScale="80" zoomScaleNormal="70" workbookViewId="0">
      <selection activeCell="C28" sqref="C28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8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14" t="inlineStr">
        <is>
          <t>Приложение № 2</t>
        </is>
      </c>
      <c r="K3" s="143" t="n"/>
    </row>
    <row r="4">
      <c r="B4" s="215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>
      <c r="B6" s="221" t="inlineStr">
        <is>
          <t>Наименование разрабатываемого показателя УНЦ —  РЗА и прочие шкафы (панели). Аккумуляторная батарея (элемент) емкостью 350 А*ч</t>
        </is>
      </c>
      <c r="K6" s="143" t="n"/>
      <c r="L6" s="150" t="n"/>
    </row>
    <row r="7">
      <c r="B7" s="216" t="inlineStr">
        <is>
          <t>Единица измерения  — 1 шт.</t>
        </is>
      </c>
      <c r="L7" s="150" t="n"/>
    </row>
    <row r="8">
      <c r="B8" s="216" t="n"/>
    </row>
    <row r="9" ht="15.75" customHeight="1" s="201">
      <c r="B9" s="222" t="inlineStr">
        <is>
          <t>№ п/п</t>
        </is>
      </c>
      <c r="C9" s="2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2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 s="201">
      <c r="B10" s="319" t="n"/>
      <c r="C10" s="319" t="n"/>
      <c r="D10" s="222" t="inlineStr">
        <is>
          <t>Номер сметы</t>
        </is>
      </c>
      <c r="E10" s="222" t="inlineStr">
        <is>
          <t>Наименование сметы</t>
        </is>
      </c>
      <c r="F10" s="222" t="inlineStr">
        <is>
          <t>Сметная стоимость в уровне цен 4 кв. 2018 г., тыс. руб.</t>
        </is>
      </c>
      <c r="G10" s="317" t="n"/>
      <c r="H10" s="317" t="n"/>
      <c r="I10" s="317" t="n"/>
      <c r="J10" s="318" t="n"/>
    </row>
    <row r="11" ht="61.5" customHeight="1" s="201">
      <c r="B11" s="320" t="n"/>
      <c r="C11" s="320" t="n"/>
      <c r="D11" s="320" t="n"/>
      <c r="E11" s="320" t="n"/>
      <c r="F11" s="222" t="inlineStr">
        <is>
          <t>Строительные работы</t>
        </is>
      </c>
      <c r="G11" s="222" t="inlineStr">
        <is>
          <t>Монтажные работы</t>
        </is>
      </c>
      <c r="H11" s="222" t="inlineStr">
        <is>
          <t>Оборудование</t>
        </is>
      </c>
      <c r="I11" s="222" t="inlineStr">
        <is>
          <t>Прочее</t>
        </is>
      </c>
      <c r="J11" s="222" t="inlineStr">
        <is>
          <t>Всего</t>
        </is>
      </c>
    </row>
    <row r="12" ht="63" customHeight="1" s="201">
      <c r="B12" s="166" t="n">
        <v>1</v>
      </c>
      <c r="C12" s="222" t="inlineStr">
        <is>
          <t>Аккумуляторная батарея Vb2307+  350 А*ч</t>
        </is>
      </c>
      <c r="D12" s="156" t="inlineStr">
        <is>
          <t>02-01-21</t>
        </is>
      </c>
      <c r="E12" s="164" t="inlineStr">
        <is>
          <t xml:space="preserve">Монтажные работы СОПТ, ЩПТ АК батареи на СПЗ ПС 500 5В Белобережская </t>
        </is>
      </c>
      <c r="F12" s="165" t="n"/>
      <c r="G12" s="165">
        <f>39694/1000*7.84</f>
        <v/>
      </c>
      <c r="H12" s="165">
        <f>942202/1000*4.58</f>
        <v/>
      </c>
      <c r="I12" s="167" t="n"/>
      <c r="J12" s="168">
        <f>SUM(F12:I12)</f>
        <v/>
      </c>
    </row>
    <row r="13" ht="15.75" customHeight="1" s="201">
      <c r="B13" s="220" t="inlineStr">
        <is>
          <t>Всего по объекту:</t>
        </is>
      </c>
      <c r="C13" s="317" t="n"/>
      <c r="D13" s="317" t="n"/>
      <c r="E13" s="318" t="n"/>
      <c r="F13" s="169">
        <f>SUM(F12:F12)</f>
        <v/>
      </c>
      <c r="G13" s="169">
        <f>SUM(G12:G12)</f>
        <v/>
      </c>
      <c r="H13" s="169">
        <f>SUM(H12:H12)</f>
        <v/>
      </c>
      <c r="I13" s="170" t="n"/>
      <c r="J13" s="171">
        <f>SUM(F13:I13)</f>
        <v/>
      </c>
    </row>
    <row r="14" ht="28.5" customHeight="1" s="201">
      <c r="B14" s="220" t="inlineStr">
        <is>
          <t>Всего по объекту в сопоставимом уровне цен 4 кв. 2018 г:</t>
        </is>
      </c>
      <c r="C14" s="317" t="n"/>
      <c r="D14" s="317" t="n"/>
      <c r="E14" s="318" t="n"/>
      <c r="F14" s="169">
        <f>F13</f>
        <v/>
      </c>
      <c r="G14" s="169">
        <f>G13</f>
        <v/>
      </c>
      <c r="H14" s="169">
        <f>H13</f>
        <v/>
      </c>
      <c r="I14" s="170" t="n"/>
      <c r="J14" s="171">
        <f>SUM(F14:I14)</f>
        <v/>
      </c>
    </row>
    <row r="15">
      <c r="B15" s="216" t="n"/>
    </row>
    <row r="16">
      <c r="B16" s="222" t="inlineStr">
        <is>
          <t>№ п/п</t>
        </is>
      </c>
      <c r="C16" s="2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6" s="222" t="inlineStr">
        <is>
          <t>Объект-представитель 2</t>
        </is>
      </c>
      <c r="E16" s="317" t="n"/>
      <c r="F16" s="317" t="n"/>
      <c r="G16" s="317" t="n"/>
      <c r="H16" s="317" t="n"/>
      <c r="I16" s="317" t="n"/>
      <c r="J16" s="318" t="n"/>
    </row>
    <row r="17" ht="15.75" customHeight="1" s="201">
      <c r="B17" s="319" t="n"/>
      <c r="C17" s="319" t="n"/>
      <c r="D17" s="222" t="inlineStr">
        <is>
          <t>Номер сметы</t>
        </is>
      </c>
      <c r="E17" s="222" t="inlineStr">
        <is>
          <t>Наименование сметы</t>
        </is>
      </c>
      <c r="F17" s="222" t="inlineStr">
        <is>
          <t>Сметная стоимость в уровне цен 3 кв. 2018 г., тыс. руб.</t>
        </is>
      </c>
      <c r="G17" s="317" t="n"/>
      <c r="H17" s="317" t="n"/>
      <c r="I17" s="317" t="n"/>
      <c r="J17" s="318" t="n"/>
    </row>
    <row r="18" ht="73.5" customHeight="1" s="201">
      <c r="B18" s="320" t="n"/>
      <c r="C18" s="320" t="n"/>
      <c r="D18" s="320" t="n"/>
      <c r="E18" s="320" t="n"/>
      <c r="F18" s="222" t="inlineStr">
        <is>
          <t>Строительные работы</t>
        </is>
      </c>
      <c r="G18" s="222" t="inlineStr">
        <is>
          <t>Монтажные работы</t>
        </is>
      </c>
      <c r="H18" s="222" t="inlineStr">
        <is>
          <t>Оборудование</t>
        </is>
      </c>
      <c r="I18" s="222" t="inlineStr">
        <is>
          <t>Прочее</t>
        </is>
      </c>
      <c r="J18" s="222" t="inlineStr">
        <is>
          <t>Всего</t>
        </is>
      </c>
    </row>
    <row r="19" ht="68.25" customHeight="1" s="201">
      <c r="B19" s="166" t="n">
        <v>1</v>
      </c>
      <c r="C19" s="222" t="inlineStr">
        <is>
          <t>Аккумуляторная батарея Vb2307+  350 А*ч</t>
        </is>
      </c>
      <c r="D19" s="163" t="inlineStr">
        <is>
          <t>02-04-03</t>
        </is>
      </c>
      <c r="E19" s="228" t="inlineStr">
        <is>
          <t>СОПТ на ПС 220кВ Промпарк РЗ и ПА на ПС 220кВ Промпарк</t>
        </is>
      </c>
      <c r="F19" s="165" t="n"/>
      <c r="G19" s="165">
        <f>26858/1000*7.22</f>
        <v/>
      </c>
      <c r="H19" s="165">
        <f>961060/1000*4.53</f>
        <v/>
      </c>
      <c r="I19" s="167" t="n"/>
      <c r="J19" s="168">
        <f>SUM(F19:I19)</f>
        <v/>
      </c>
    </row>
    <row r="20" ht="15.75" customHeight="1" s="201">
      <c r="B20" s="220" t="inlineStr">
        <is>
          <t>Всего по объекту:</t>
        </is>
      </c>
      <c r="C20" s="317" t="n"/>
      <c r="D20" s="317" t="n"/>
      <c r="E20" s="318" t="n"/>
      <c r="F20" s="169">
        <f>SUM(F19:F19)</f>
        <v/>
      </c>
      <c r="G20" s="169">
        <f>SUM(G19:G19)</f>
        <v/>
      </c>
      <c r="H20" s="169">
        <f>SUM(H19:H19)</f>
        <v/>
      </c>
      <c r="I20" s="170" t="n"/>
      <c r="J20" s="171">
        <f>SUM(F20:I20)</f>
        <v/>
      </c>
    </row>
    <row r="21" ht="28.5" customHeight="1" s="201">
      <c r="B21" s="220" t="inlineStr">
        <is>
          <t>Всего по объекту в сопоставимом уровне цен 3 кв. 2018 г:</t>
        </is>
      </c>
      <c r="C21" s="317" t="n"/>
      <c r="D21" s="317" t="n"/>
      <c r="E21" s="318" t="n"/>
      <c r="F21" s="169">
        <f>F20</f>
        <v/>
      </c>
      <c r="G21" s="169">
        <f>G20</f>
        <v/>
      </c>
      <c r="H21" s="169">
        <f>H20</f>
        <v/>
      </c>
      <c r="I21" s="170" t="n"/>
      <c r="J21" s="171">
        <f>SUM(F21:I21)</f>
        <v/>
      </c>
    </row>
    <row r="24">
      <c r="B24" s="248" t="n"/>
    </row>
    <row r="28">
      <c r="B28" s="203" t="inlineStr">
        <is>
          <t>Составил ______________________        Д.А. Самуйленко</t>
        </is>
      </c>
    </row>
    <row r="29">
      <c r="B29" s="143" t="inlineStr">
        <is>
          <t xml:space="preserve">                         (подпись, инициалы, фамилия)</t>
        </is>
      </c>
    </row>
    <row r="31">
      <c r="B31" s="203" t="inlineStr">
        <is>
          <t>Проверил ______________________        А.В. Костянецкая</t>
        </is>
      </c>
    </row>
    <row r="32">
      <c r="B32" s="143" t="inlineStr">
        <is>
          <t xml:space="preserve">                        (подпись, инициалы, фамилия)</t>
        </is>
      </c>
    </row>
  </sheetData>
  <mergeCells count="20">
    <mergeCell ref="E17:E18"/>
    <mergeCell ref="D9:J9"/>
    <mergeCell ref="F10:J10"/>
    <mergeCell ref="D17:D18"/>
    <mergeCell ref="B20:E20"/>
    <mergeCell ref="E10:E11"/>
    <mergeCell ref="B4:K4"/>
    <mergeCell ref="B7:K7"/>
    <mergeCell ref="B16:B18"/>
    <mergeCell ref="B6:J6"/>
    <mergeCell ref="F17:J17"/>
    <mergeCell ref="B21:E21"/>
    <mergeCell ref="B14:E14"/>
    <mergeCell ref="B3:J3"/>
    <mergeCell ref="D10:D11"/>
    <mergeCell ref="B13:E13"/>
    <mergeCell ref="C16:C18"/>
    <mergeCell ref="D16:J16"/>
    <mergeCell ref="B9:B11"/>
    <mergeCell ref="C9:C11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1"/>
  <sheetViews>
    <sheetView view="pageBreakPreview" topLeftCell="A17" zoomScale="85" workbookViewId="0">
      <selection activeCell="C27" sqref="C27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162" min="5" max="5"/>
    <col width="20.7109375" customWidth="1" style="203" min="6" max="6"/>
    <col width="16.140625" customWidth="1" style="203" min="7" max="7"/>
    <col width="16.7109375" customWidth="1" style="203" min="8" max="8"/>
    <col width="9.140625" customWidth="1" style="203" min="9" max="9"/>
  </cols>
  <sheetData>
    <row r="2">
      <c r="A2" s="214" t="inlineStr">
        <is>
          <t xml:space="preserve">Приложение № 3 </t>
        </is>
      </c>
    </row>
    <row r="3">
      <c r="A3" s="215" t="inlineStr">
        <is>
          <t>Объектная ресурсная ведомость</t>
        </is>
      </c>
    </row>
    <row r="4">
      <c r="A4" s="216" t="n"/>
    </row>
    <row r="5">
      <c r="A5" s="221" t="inlineStr">
        <is>
          <t>Наименование разрабатываемого показателя УНЦ - РЗА и прочие шкафы (панели). Аккумуляторная батарея (элемент) емкостью 350 А*ч</t>
        </is>
      </c>
    </row>
    <row r="6">
      <c r="A6" s="221" t="n"/>
      <c r="B6" s="221" t="n"/>
      <c r="C6" s="221" t="n"/>
      <c r="D6" s="221" t="n"/>
      <c r="E6" s="149" t="n"/>
      <c r="F6" s="221" t="n"/>
      <c r="G6" s="221" t="n"/>
      <c r="H6" s="221" t="n"/>
    </row>
    <row r="7" ht="22.5" customHeight="1" s="201">
      <c r="A7" s="221" t="n"/>
      <c r="B7" s="221" t="n"/>
      <c r="C7" s="221" t="n"/>
      <c r="D7" s="221" t="n"/>
      <c r="E7" s="149" t="n"/>
      <c r="F7" s="221" t="n"/>
      <c r="G7" s="221" t="n"/>
      <c r="H7" s="221" t="n"/>
      <c r="I7" s="203" t="n"/>
    </row>
    <row r="8" ht="22.5" customHeight="1" s="201">
      <c r="A8" s="221" t="n"/>
      <c r="B8" s="221" t="n"/>
      <c r="C8" s="221" t="n"/>
      <c r="D8" s="221" t="n"/>
      <c r="E8" s="149" t="n"/>
      <c r="F8" s="221" t="n"/>
      <c r="G8" s="221" t="n"/>
      <c r="H8" s="221" t="n"/>
      <c r="I8" s="203" t="n"/>
    </row>
    <row r="9" ht="38.25" customHeight="1" s="201">
      <c r="A9" s="222" t="inlineStr">
        <is>
          <t>п/п</t>
        </is>
      </c>
      <c r="B9" s="222" t="inlineStr">
        <is>
          <t>№ЛСР</t>
        </is>
      </c>
      <c r="C9" s="222" t="inlineStr">
        <is>
          <t>Код ресурса</t>
        </is>
      </c>
      <c r="D9" s="222" t="inlineStr">
        <is>
          <t>Наименование ресурса</t>
        </is>
      </c>
      <c r="E9" s="222" t="inlineStr">
        <is>
          <t>Ед. изм.</t>
        </is>
      </c>
      <c r="F9" s="222" t="inlineStr">
        <is>
          <t>Кол-во единиц по данным объекта-представителя</t>
        </is>
      </c>
      <c r="G9" s="222" t="inlineStr">
        <is>
          <t>Сметная стоимость в ценах на 01.01.2000 (руб.)</t>
        </is>
      </c>
      <c r="H9" s="318" t="n"/>
    </row>
    <row r="10" ht="40.5" customHeight="1" s="201">
      <c r="A10" s="320" t="n"/>
      <c r="B10" s="320" t="n"/>
      <c r="C10" s="320" t="n"/>
      <c r="D10" s="320" t="n"/>
      <c r="E10" s="320" t="n"/>
      <c r="F10" s="320" t="n"/>
      <c r="G10" s="222" t="inlineStr">
        <is>
          <t>на ед.изм.</t>
        </is>
      </c>
      <c r="H10" s="222" t="inlineStr">
        <is>
          <t>общая</t>
        </is>
      </c>
    </row>
    <row r="11">
      <c r="A11" s="159" t="n">
        <v>1</v>
      </c>
      <c r="B11" s="159" t="n"/>
      <c r="C11" s="159" t="n">
        <v>2</v>
      </c>
      <c r="D11" s="159" t="inlineStr">
        <is>
          <t>З</t>
        </is>
      </c>
      <c r="E11" s="159" t="n">
        <v>4</v>
      </c>
      <c r="F11" s="159" t="n">
        <v>5</v>
      </c>
      <c r="G11" s="159" t="n">
        <v>6</v>
      </c>
      <c r="H11" s="159" t="n">
        <v>7</v>
      </c>
    </row>
    <row r="12" customFormat="1" s="134">
      <c r="A12" s="229" t="inlineStr">
        <is>
          <t>Затраты труда рабочих</t>
        </is>
      </c>
      <c r="B12" s="317" t="n"/>
      <c r="C12" s="317" t="n"/>
      <c r="D12" s="317" t="n"/>
      <c r="E12" s="318" t="n"/>
      <c r="F12" s="177" t="n">
        <v>1239</v>
      </c>
      <c r="G12" s="135" t="n"/>
      <c r="H12" s="177">
        <f>SUM(H13:H13)</f>
        <v/>
      </c>
      <c r="J12" s="178" t="n"/>
      <c r="K12" s="145" t="n"/>
    </row>
    <row r="13">
      <c r="A13" s="7" t="n">
        <v>1</v>
      </c>
      <c r="B13" s="172" t="inlineStr">
        <is>
          <t> </t>
        </is>
      </c>
      <c r="C13" s="173" t="inlineStr">
        <is>
          <t>1-4-0</t>
        </is>
      </c>
      <c r="D13" s="25" t="inlineStr">
        <is>
          <t>Затраты труда рабочих (средний разряд 4,0)</t>
        </is>
      </c>
      <c r="E13" s="7" t="inlineStr">
        <is>
          <t>чел.-ч</t>
        </is>
      </c>
      <c r="F13" s="174" t="n">
        <v>1239</v>
      </c>
      <c r="G13" s="175" t="n">
        <v>9.619999999999999</v>
      </c>
      <c r="H13" s="175">
        <f>ROUND(F13*G13,2)</f>
        <v/>
      </c>
      <c r="J13" s="1" t="n"/>
      <c r="K13" s="145" t="n"/>
      <c r="L13" s="321" t="n"/>
    </row>
    <row r="14">
      <c r="A14" s="226" t="inlineStr">
        <is>
          <t>Затраты труда машинистов</t>
        </is>
      </c>
      <c r="B14" s="317" t="n"/>
      <c r="C14" s="317" t="n"/>
      <c r="D14" s="317" t="n"/>
      <c r="E14" s="318" t="n"/>
      <c r="F14" s="226" t="n"/>
      <c r="G14" s="180" t="n"/>
      <c r="H14" s="177">
        <f>H15</f>
        <v/>
      </c>
      <c r="J14" s="145" t="n"/>
      <c r="K14" s="145" t="n"/>
    </row>
    <row r="15">
      <c r="A15" s="7" t="n">
        <v>2</v>
      </c>
      <c r="B15" s="176" t="inlineStr">
        <is>
          <t> </t>
        </is>
      </c>
      <c r="C15" s="240" t="n">
        <v>2</v>
      </c>
      <c r="D15" s="25" t="inlineStr">
        <is>
          <t>Затраты труда машинистов</t>
        </is>
      </c>
      <c r="E15" s="7" t="inlineStr">
        <is>
          <t>чел.-ч</t>
        </is>
      </c>
      <c r="F15" s="7" t="n">
        <v>0</v>
      </c>
      <c r="G15" s="175" t="n">
        <v>0</v>
      </c>
      <c r="H15" s="175" t="n">
        <v>0</v>
      </c>
      <c r="J15" s="145" t="n"/>
      <c r="K15" s="145" t="n"/>
    </row>
    <row r="16" customFormat="1" s="134">
      <c r="A16" s="226" t="inlineStr">
        <is>
          <t>Машины и механизмы</t>
        </is>
      </c>
      <c r="B16" s="317" t="n"/>
      <c r="C16" s="317" t="n"/>
      <c r="D16" s="317" t="n"/>
      <c r="E16" s="318" t="n"/>
      <c r="F16" s="226" t="n"/>
      <c r="G16" s="180" t="n"/>
      <c r="H16" s="177" t="n">
        <v>0</v>
      </c>
      <c r="J16" s="145" t="n"/>
      <c r="K16" s="145" t="n"/>
    </row>
    <row r="17">
      <c r="A17" s="226" t="inlineStr">
        <is>
          <t>Оборудование</t>
        </is>
      </c>
      <c r="B17" s="317" t="n"/>
      <c r="C17" s="317" t="n"/>
      <c r="D17" s="317" t="n"/>
      <c r="E17" s="318" t="n"/>
      <c r="F17" s="226" t="n"/>
      <c r="G17" s="180" t="n"/>
      <c r="H17" s="177">
        <f>SUM(H18)</f>
        <v/>
      </c>
    </row>
    <row r="18">
      <c r="A18" s="7" t="n">
        <v>3</v>
      </c>
      <c r="B18" s="176" t="inlineStr">
        <is>
          <t> </t>
        </is>
      </c>
      <c r="C18" s="240" t="inlineStr">
        <is>
          <t>Прайс из СД ОП</t>
        </is>
      </c>
      <c r="D18" s="239" t="inlineStr">
        <is>
          <t>Аккумуляторная батарея  Varta</t>
        </is>
      </c>
      <c r="E18" s="240" t="inlineStr">
        <is>
          <t>шт.</t>
        </is>
      </c>
      <c r="F18" s="173" t="inlineStr">
        <is>
          <t>208</t>
        </is>
      </c>
      <c r="G18" s="32" t="n">
        <v>5750.8</v>
      </c>
      <c r="H18" s="175">
        <f>ROUND(F18*G18,2)</f>
        <v/>
      </c>
    </row>
    <row r="19">
      <c r="A19" s="226" t="inlineStr">
        <is>
          <t>Материалы</t>
        </is>
      </c>
      <c r="B19" s="317" t="n"/>
      <c r="C19" s="317" t="n"/>
      <c r="D19" s="317" t="n"/>
      <c r="E19" s="318" t="n"/>
      <c r="F19" s="226" t="n"/>
      <c r="G19" s="180" t="n"/>
      <c r="H19" s="177">
        <f>SUM(H20:H24)</f>
        <v/>
      </c>
    </row>
    <row r="20">
      <c r="A20" s="7" t="n">
        <v>4</v>
      </c>
      <c r="B20" s="7" t="n"/>
      <c r="C20" s="240" t="inlineStr">
        <is>
          <t>01.7.03.01-0005</t>
        </is>
      </c>
      <c r="D20" s="239" t="inlineStr">
        <is>
          <t>Вода дистиллированная</t>
        </is>
      </c>
      <c r="E20" s="240" t="inlineStr">
        <is>
          <t>кг</t>
        </is>
      </c>
      <c r="F20" s="240" t="n">
        <v>2995.2</v>
      </c>
      <c r="G20" s="32" t="n">
        <v>4.16</v>
      </c>
      <c r="H20" s="175">
        <f>ROUND(F20*G20,2)</f>
        <v/>
      </c>
      <c r="J20" s="184" t="n"/>
    </row>
    <row r="21">
      <c r="A21" s="7" t="n">
        <v>5</v>
      </c>
      <c r="B21" s="7" t="n"/>
      <c r="C21" s="240" t="inlineStr">
        <is>
          <t>01.3.03.05-0002</t>
        </is>
      </c>
      <c r="D21" s="239" t="inlineStr">
        <is>
          <t>Кислота серная аккумуляторная, сорт высший</t>
        </is>
      </c>
      <c r="E21" s="240" t="inlineStr">
        <is>
          <t>т</t>
        </is>
      </c>
      <c r="F21" s="240" t="n">
        <v>0.9984</v>
      </c>
      <c r="G21" s="32" t="n">
        <v>6720.83</v>
      </c>
      <c r="H21" s="175">
        <f>ROUND(F21*G21,2)</f>
        <v/>
      </c>
      <c r="J21" s="184" t="n"/>
    </row>
    <row r="22">
      <c r="A22" s="7" t="n">
        <v>6</v>
      </c>
      <c r="B22" s="7" t="n"/>
      <c r="C22" s="240" t="inlineStr">
        <is>
          <t>10.1.01.02-0011</t>
        </is>
      </c>
      <c r="D22" s="239" t="inlineStr">
        <is>
          <t>Сплавы алюминиевые литейные АК5М2</t>
        </is>
      </c>
      <c r="E22" s="240" t="inlineStr">
        <is>
          <t>т</t>
        </is>
      </c>
      <c r="F22" s="240" t="n">
        <v>0.0104</v>
      </c>
      <c r="G22" s="32" t="n">
        <v>41200</v>
      </c>
      <c r="H22" s="175">
        <f>ROUND(F22*G22,2)</f>
        <v/>
      </c>
      <c r="J22" s="184" t="n"/>
    </row>
    <row r="23" ht="25.5" customHeight="1" s="201">
      <c r="A23" s="7" t="n">
        <v>7</v>
      </c>
      <c r="B23" s="7" t="n"/>
      <c r="C23" s="240" t="inlineStr">
        <is>
          <t>999-9950</t>
        </is>
      </c>
      <c r="D23" s="239" t="inlineStr">
        <is>
          <t>Вспомогательные ненормируемые материальные ресурсы</t>
        </is>
      </c>
      <c r="E23" s="240" t="inlineStr">
        <is>
          <t>руб</t>
        </is>
      </c>
      <c r="F23" s="240" t="n">
        <v>238.3712</v>
      </c>
      <c r="G23" s="32" t="n">
        <v>1</v>
      </c>
      <c r="H23" s="175">
        <f>ROUND(F23*G23,2)</f>
        <v/>
      </c>
      <c r="J23" s="184" t="n"/>
    </row>
    <row r="24">
      <c r="A24" s="7" t="n">
        <v>8</v>
      </c>
      <c r="B24" s="7" t="n"/>
      <c r="C24" s="240" t="inlineStr">
        <is>
          <t>01.3.05.23-0061</t>
        </is>
      </c>
      <c r="D24" s="239" t="inlineStr">
        <is>
          <t>Натрий едкий марка ТД, технический</t>
        </is>
      </c>
      <c r="E24" s="240" t="inlineStr">
        <is>
          <t>т</t>
        </is>
      </c>
      <c r="F24" s="240" t="n">
        <v>0.03536</v>
      </c>
      <c r="G24" s="32" t="n">
        <v>5823.53</v>
      </c>
      <c r="H24" s="175">
        <f>ROUND(F24*G24,2)</f>
        <v/>
      </c>
      <c r="J24" s="184" t="n"/>
    </row>
    <row r="27">
      <c r="B27" s="203" t="inlineStr">
        <is>
          <t>Составил ______________________        Д.А. Самуйленко</t>
        </is>
      </c>
    </row>
    <row r="28">
      <c r="B28" s="143" t="inlineStr">
        <is>
          <t xml:space="preserve">                         (подпись, инициалы, фамилия)</t>
        </is>
      </c>
    </row>
    <row r="30">
      <c r="B30" s="203" t="inlineStr">
        <is>
          <t>Проверил ______________________        А.В. Костянецкая</t>
        </is>
      </c>
    </row>
    <row r="31">
      <c r="B31" s="14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14:E14"/>
    <mergeCell ref="A2:H2"/>
    <mergeCell ref="A19:E19"/>
    <mergeCell ref="A5:H5"/>
    <mergeCell ref="G9:H9"/>
    <mergeCell ref="A17:E17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11.42578125" customWidth="1" style="201" min="6" max="6"/>
    <col width="9.140625" customWidth="1" style="201" min="7" max="10"/>
    <col width="13.5703125" customWidth="1" style="201" min="11" max="11"/>
    <col width="9.140625" customWidth="1" style="20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7" t="inlineStr">
        <is>
          <t>Ресурсная модель</t>
        </is>
      </c>
    </row>
    <row r="6">
      <c r="B6" s="138" t="n"/>
      <c r="C6" s="4" t="n"/>
      <c r="D6" s="4" t="n"/>
      <c r="E6" s="4" t="n"/>
    </row>
    <row r="7" ht="25.5" customHeight="1" s="201">
      <c r="B7" s="219" t="inlineStr">
        <is>
          <t>Наименование разрабатываемого показателя УНЦ — РЗА и прочие шкафы (панели). Аккумуляторная батарея (элемент) емкостью 350 А*ч</t>
        </is>
      </c>
    </row>
    <row r="8">
      <c r="B8" s="232" t="inlineStr">
        <is>
          <t>Единица измерения  — 1 шт.</t>
        </is>
      </c>
    </row>
    <row r="9">
      <c r="B9" s="138" t="n"/>
      <c r="C9" s="4" t="n"/>
      <c r="D9" s="4" t="n"/>
      <c r="E9" s="4" t="n"/>
    </row>
    <row r="10" ht="51" customHeight="1" s="201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36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36">
        <f>'Прил.5 Расчет СМР и ОБ'!J19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36">
        <f>'Прил.5 Расчет СМР и ОБ'!J20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3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36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36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36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3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3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3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3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36">
        <f>C19+C20+C22</f>
        <v/>
      </c>
      <c r="D24" s="27">
        <f>C24/$C$24</f>
        <v/>
      </c>
      <c r="E24" s="27">
        <f>C24/$C$40</f>
        <v/>
      </c>
    </row>
    <row r="25" ht="25.5" customHeight="1" s="201">
      <c r="B25" s="25" t="inlineStr">
        <is>
          <t>ВСЕГО стоимость оборудования, в том числе</t>
        </is>
      </c>
      <c r="C25" s="136">
        <f>'Прил.5 Расчет СМР и ОБ'!J27</f>
        <v/>
      </c>
      <c r="D25" s="27" t="n"/>
      <c r="E25" s="27">
        <f>C25/$C$40</f>
        <v/>
      </c>
    </row>
    <row r="26" ht="25.5" customHeight="1" s="201">
      <c r="B26" s="25" t="inlineStr">
        <is>
          <t>стоимость оборудования технологического</t>
        </is>
      </c>
      <c r="C26" s="136">
        <f>'Прил.5 Расчет СМР и ОБ'!J28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37" t="n"/>
    </row>
    <row r="29" ht="25.5" customHeight="1" s="20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0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37" t="n"/>
    </row>
    <row r="31">
      <c r="B31" s="196" t="inlineStr">
        <is>
          <t>Пусконаладочные работы</t>
        </is>
      </c>
      <c r="C31" s="197" t="n">
        <v>105140</v>
      </c>
      <c r="D31" s="25" t="n"/>
      <c r="E31" s="27">
        <f>C31/$C$40</f>
        <v/>
      </c>
    </row>
    <row r="32" ht="25.5" customHeight="1" s="201">
      <c r="B32" s="196" t="inlineStr">
        <is>
          <t>Затраты по перевозке работников к месту работы и обратно</t>
        </is>
      </c>
      <c r="C32" s="197" t="n">
        <v>0</v>
      </c>
      <c r="D32" s="25" t="n"/>
      <c r="E32" s="27">
        <f>C32/$C$40</f>
        <v/>
      </c>
    </row>
    <row r="33" ht="25.5" customHeight="1" s="201">
      <c r="B33" s="196" t="inlineStr">
        <is>
          <t>Затраты, связанные с осуществлением работ вахтовым методом</t>
        </is>
      </c>
      <c r="C33" s="197">
        <f>ROUND($C$27*0,2)</f>
        <v/>
      </c>
      <c r="D33" s="25" t="n"/>
      <c r="E33" s="27">
        <f>C33/$C$40</f>
        <v/>
      </c>
    </row>
    <row r="34" ht="51" customHeight="1" s="20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  <c r="G34" s="139" t="n"/>
    </row>
    <row r="35" ht="76.5" customHeight="1" s="20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1">
      <c r="B36" s="25" t="inlineStr">
        <is>
          <t>Строительный контроль и содержание службы заказчика - 1,72%</t>
        </is>
      </c>
      <c r="C36" s="26">
        <f>ROUND((C27+C32+C33+C34+C35+C29+C31+C30)*1.72%,2)</f>
        <v/>
      </c>
      <c r="D36" s="25" t="n"/>
      <c r="E36" s="27">
        <f>C36/$C$40</f>
        <v/>
      </c>
      <c r="K36" s="13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K37" s="137" t="n"/>
    </row>
    <row r="38" ht="38.25" customHeight="1" s="201">
      <c r="B38" s="25" t="inlineStr">
        <is>
          <t>ИТОГО (СМР+ОБОРУДОВАНИЕ+ПРОЧ. ЗАТР., УЧТЕННЫЕ ПОКАЗАТЕЛЕМ)</t>
        </is>
      </c>
      <c r="C38" s="136">
        <f>C27+C32+C33+C34+C35+C29+C31+C30+C36+C37</f>
        <v/>
      </c>
      <c r="D38" s="25" t="n"/>
      <c r="E38" s="27">
        <f>C38/$C$40</f>
        <v/>
      </c>
    </row>
    <row r="39" ht="13.5" customHeight="1" s="201">
      <c r="B39" s="25" t="inlineStr">
        <is>
          <t>Непредвиденные расходы</t>
        </is>
      </c>
      <c r="C39" s="13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3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36">
        <f>C40/'Прил.5 Расчет СМР и ОБ'!E44</f>
        <v/>
      </c>
      <c r="D41" s="25" t="n"/>
      <c r="E41" s="25" t="n"/>
    </row>
    <row r="42">
      <c r="B42" s="145" t="n"/>
      <c r="C42" s="4" t="n"/>
      <c r="D42" s="4" t="n"/>
      <c r="E42" s="4" t="n"/>
    </row>
    <row r="43">
      <c r="B43" s="145" t="inlineStr">
        <is>
          <t>Составил ____________________________ Д.А. Самуйленко</t>
        </is>
      </c>
      <c r="C43" s="4" t="n"/>
      <c r="D43" s="4" t="n"/>
      <c r="E43" s="4" t="n"/>
    </row>
    <row r="44">
      <c r="B44" s="14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5" t="n"/>
      <c r="C45" s="4" t="n"/>
      <c r="D45" s="4" t="n"/>
      <c r="E45" s="4" t="n"/>
    </row>
    <row r="46">
      <c r="B46" s="14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6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22" workbookViewId="0">
      <selection activeCell="B46" sqref="B46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3.570312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201">
      <c r="H2" s="24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7" t="inlineStr">
        <is>
          <t>Расчет стоимости СМР и оборудования</t>
        </is>
      </c>
    </row>
    <row r="5" ht="12.75" customFormat="1" customHeight="1" s="4">
      <c r="A5" s="207" t="n"/>
      <c r="B5" s="207" t="n"/>
      <c r="C5" s="260" t="n"/>
      <c r="D5" s="207" t="n"/>
      <c r="E5" s="207" t="n"/>
      <c r="F5" s="207" t="n"/>
      <c r="G5" s="207" t="n"/>
      <c r="H5" s="207" t="n"/>
      <c r="I5" s="207" t="n"/>
      <c r="J5" s="207" t="n"/>
    </row>
    <row r="6" ht="12.75" customFormat="1" customHeight="1" s="4">
      <c r="A6" s="152" t="inlineStr">
        <is>
          <t>Наименование разрабатываемого показателя УНЦ</t>
        </is>
      </c>
      <c r="B6" s="153" t="n"/>
      <c r="C6" s="153" t="n"/>
      <c r="D6" s="210" t="inlineStr">
        <is>
          <t>РЗА и прочие шкафы (панели). Аккумуляторная батарея (элемент) емкостью 350 А*ч</t>
        </is>
      </c>
    </row>
    <row r="7" ht="12.75" customFormat="1" customHeight="1" s="4">
      <c r="A7" s="210" t="inlineStr">
        <is>
          <t>Единица измерения  — 1 шт.</t>
        </is>
      </c>
      <c r="I7" s="219" t="n"/>
      <c r="J7" s="219" t="n"/>
    </row>
    <row r="8" ht="13.5" customFormat="1" customHeight="1" s="4">
      <c r="A8" s="210" t="n"/>
    </row>
    <row r="9" ht="27" customHeight="1" s="201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318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318" t="n"/>
      <c r="M9" s="12" t="n"/>
      <c r="N9" s="12" t="n"/>
    </row>
    <row r="10" ht="28.5" customHeight="1" s="201">
      <c r="A10" s="320" t="n"/>
      <c r="B10" s="320" t="n"/>
      <c r="C10" s="320" t="n"/>
      <c r="D10" s="320" t="n"/>
      <c r="E10" s="320" t="n"/>
      <c r="F10" s="240" t="inlineStr">
        <is>
          <t>на ед. изм.</t>
        </is>
      </c>
      <c r="G10" s="240" t="inlineStr">
        <is>
          <t>общая</t>
        </is>
      </c>
      <c r="H10" s="320" t="n"/>
      <c r="I10" s="240" t="inlineStr">
        <is>
          <t>на ед. изм.</t>
        </is>
      </c>
      <c r="J10" s="240" t="inlineStr">
        <is>
          <t>общая</t>
        </is>
      </c>
      <c r="M10" s="12" t="n"/>
      <c r="N10" s="12" t="n"/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34" t="n">
        <v>9</v>
      </c>
      <c r="J11" s="234" t="n">
        <v>10</v>
      </c>
      <c r="M11" s="12" t="n"/>
      <c r="N11" s="12" t="n"/>
    </row>
    <row r="12">
      <c r="A12" s="240" t="n"/>
      <c r="B12" s="238" t="inlineStr">
        <is>
          <t>Затраты труда рабочих-строителей</t>
        </is>
      </c>
      <c r="C12" s="317" t="n"/>
      <c r="D12" s="317" t="n"/>
      <c r="E12" s="317" t="n"/>
      <c r="F12" s="317" t="n"/>
      <c r="G12" s="317" t="n"/>
      <c r="H12" s="318" t="n"/>
      <c r="I12" s="120" t="n"/>
      <c r="J12" s="120" t="n"/>
    </row>
    <row r="13" ht="25.5" customHeight="1" s="201">
      <c r="A13" s="240" t="n">
        <v>1</v>
      </c>
      <c r="B13" s="173" t="inlineStr">
        <is>
          <t>1-4-0</t>
        </is>
      </c>
      <c r="C13" s="25" t="inlineStr">
        <is>
          <t>Затраты труда рабочих (средний разряд 4,0)</t>
        </is>
      </c>
      <c r="D13" s="7" t="inlineStr">
        <is>
          <t>чел.-ч</t>
        </is>
      </c>
      <c r="E13" s="181">
        <f>G13/F13</f>
        <v/>
      </c>
      <c r="F13" s="175" t="n">
        <v>9.619999999999999</v>
      </c>
      <c r="G13" s="175" t="n">
        <v>11919.18</v>
      </c>
      <c r="H13" s="123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12">
      <c r="A14" s="240" t="n"/>
      <c r="B14" s="240" t="n"/>
      <c r="C14" s="238" t="inlineStr">
        <is>
          <t>Итого по разделу "Затраты труда рабочих-строителей"</t>
        </is>
      </c>
      <c r="D14" s="240" t="inlineStr">
        <is>
          <t>чел.-ч.</t>
        </is>
      </c>
      <c r="E14" s="181">
        <f>SUM(E13:E13)</f>
        <v/>
      </c>
      <c r="F14" s="32" t="n"/>
      <c r="G14" s="32">
        <f>SUM(G13:G13)</f>
        <v/>
      </c>
      <c r="H14" s="243" t="n">
        <v>1</v>
      </c>
      <c r="I14" s="120" t="n"/>
      <c r="J14" s="32">
        <f>SUM(J13:J13)</f>
        <v/>
      </c>
    </row>
    <row r="15" ht="14.25" customFormat="1" customHeight="1" s="12">
      <c r="A15" s="240" t="n"/>
      <c r="B15" s="239" t="inlineStr">
        <is>
          <t>Затраты труда машинистов</t>
        </is>
      </c>
      <c r="C15" s="317" t="n"/>
      <c r="D15" s="317" t="n"/>
      <c r="E15" s="317" t="n"/>
      <c r="F15" s="317" t="n"/>
      <c r="G15" s="317" t="n"/>
      <c r="H15" s="318" t="n"/>
      <c r="I15" s="120" t="n"/>
      <c r="J15" s="120" t="n"/>
    </row>
    <row r="16" ht="14.25" customFormat="1" customHeight="1" s="12">
      <c r="A16" s="240" t="n">
        <v>2</v>
      </c>
      <c r="B16" s="240" t="n">
        <v>2</v>
      </c>
      <c r="C16" s="239" t="inlineStr">
        <is>
          <t>Затраты труда машинистов</t>
        </is>
      </c>
      <c r="D16" s="240" t="inlineStr">
        <is>
          <t>чел.-ч.</t>
        </is>
      </c>
      <c r="E16" s="7" t="n">
        <v>0</v>
      </c>
      <c r="F16" s="32" t="n"/>
      <c r="G16" s="175" t="n">
        <v>0</v>
      </c>
      <c r="H16" s="243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12">
      <c r="A17" s="240" t="n"/>
      <c r="B17" s="238" t="inlineStr">
        <is>
          <t>Машины и механизмы</t>
        </is>
      </c>
      <c r="C17" s="317" t="n"/>
      <c r="D17" s="317" t="n"/>
      <c r="E17" s="317" t="n"/>
      <c r="F17" s="317" t="n"/>
      <c r="G17" s="317" t="n"/>
      <c r="H17" s="318" t="n"/>
      <c r="I17" s="120" t="n"/>
      <c r="J17" s="120" t="n"/>
    </row>
    <row r="18" ht="14.25" customFormat="1" customHeight="1" s="12">
      <c r="A18" s="240" t="n"/>
      <c r="B18" s="239" t="inlineStr">
        <is>
          <t>Основные 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0" t="n"/>
      <c r="J18" s="120" t="n"/>
    </row>
    <row r="19" ht="14.25" customFormat="1" customHeight="1" s="12">
      <c r="A19" s="240" t="n"/>
      <c r="B19" s="240" t="n"/>
      <c r="C19" s="239" t="inlineStr">
        <is>
          <t>Итого основные машины и механизмы</t>
        </is>
      </c>
      <c r="D19" s="240" t="n"/>
      <c r="E19" s="322" t="n"/>
      <c r="F19" s="32" t="n"/>
      <c r="G19" s="32" t="n">
        <v>0</v>
      </c>
      <c r="H19" s="243" t="n">
        <v>0</v>
      </c>
      <c r="I19" s="122" t="n"/>
      <c r="J19" s="32" t="n">
        <v>0</v>
      </c>
    </row>
    <row r="20" ht="14.25" customFormat="1" customHeight="1" s="12">
      <c r="A20" s="240" t="n"/>
      <c r="B20" s="240" t="n"/>
      <c r="C20" s="239" t="inlineStr">
        <is>
          <t>Итого прочие машины и механизмы</t>
        </is>
      </c>
      <c r="D20" s="240" t="n"/>
      <c r="E20" s="241" t="n"/>
      <c r="F20" s="32" t="n"/>
      <c r="G20" s="122" t="n">
        <v>0</v>
      </c>
      <c r="H20" s="123" t="n">
        <v>0</v>
      </c>
      <c r="I20" s="32" t="n"/>
      <c r="J20" s="32" t="n">
        <v>0</v>
      </c>
    </row>
    <row r="21" ht="25.5" customFormat="1" customHeight="1" s="12">
      <c r="A21" s="240" t="n"/>
      <c r="B21" s="240" t="n"/>
      <c r="C21" s="238" t="inlineStr">
        <is>
          <t>Итого по разделу «Машины и механизмы»</t>
        </is>
      </c>
      <c r="D21" s="240" t="n"/>
      <c r="E21" s="241" t="n"/>
      <c r="F21" s="32" t="n"/>
      <c r="G21" s="32">
        <f>G20+G19</f>
        <v/>
      </c>
      <c r="H21" s="124" t="n">
        <v>1</v>
      </c>
      <c r="I21" s="125" t="n"/>
      <c r="J21" s="126">
        <f>J20+J19</f>
        <v/>
      </c>
    </row>
    <row r="22" ht="14.25" customFormat="1" customHeight="1" s="12">
      <c r="A22" s="240" t="n"/>
      <c r="B22" s="238" t="inlineStr">
        <is>
          <t>Оборудование</t>
        </is>
      </c>
      <c r="C22" s="317" t="n"/>
      <c r="D22" s="317" t="n"/>
      <c r="E22" s="317" t="n"/>
      <c r="F22" s="317" t="n"/>
      <c r="G22" s="317" t="n"/>
      <c r="H22" s="318" t="n"/>
      <c r="I22" s="120" t="n"/>
      <c r="J22" s="120" t="n"/>
    </row>
    <row r="23">
      <c r="A23" s="240" t="n"/>
      <c r="B23" s="239" t="inlineStr">
        <is>
          <t>Основное оборудование</t>
        </is>
      </c>
      <c r="C23" s="317" t="n"/>
      <c r="D23" s="317" t="n"/>
      <c r="E23" s="317" t="n"/>
      <c r="F23" s="317" t="n"/>
      <c r="G23" s="317" t="n"/>
      <c r="H23" s="318" t="n"/>
      <c r="I23" s="120" t="n"/>
      <c r="J23" s="120" t="n"/>
    </row>
    <row r="24">
      <c r="A24" s="240" t="n">
        <v>3</v>
      </c>
      <c r="B24" s="240" t="inlineStr">
        <is>
          <t>БЦ.43.19</t>
        </is>
      </c>
      <c r="C24" s="239" t="inlineStr">
        <is>
          <t>Аккумуляторная батарея  Varta</t>
        </is>
      </c>
      <c r="D24" s="240" t="inlineStr">
        <is>
          <t>шт.</t>
        </is>
      </c>
      <c r="E24" s="173" t="inlineStr">
        <is>
          <t>208</t>
        </is>
      </c>
      <c r="F24" s="32">
        <f>ROUND(I24/Прил.10!$D$14,2)</f>
        <v/>
      </c>
      <c r="G24" s="175">
        <f>ROUND(E24*F24,2)</f>
        <v/>
      </c>
      <c r="H24" s="123">
        <f>G24/$G$27</f>
        <v/>
      </c>
      <c r="I24" s="32" t="n">
        <v>40000</v>
      </c>
      <c r="J24" s="32">
        <f>ROUND(I24*E24,2)</f>
        <v/>
      </c>
    </row>
    <row r="25">
      <c r="A25" s="240" t="n"/>
      <c r="B25" s="240" t="n"/>
      <c r="C25" s="239" t="inlineStr">
        <is>
          <t>Итого основное оборудование</t>
        </is>
      </c>
      <c r="D25" s="240" t="n"/>
      <c r="E25" s="322" t="n"/>
      <c r="F25" s="242" t="n"/>
      <c r="G25" s="32">
        <f>SUM(G24)</f>
        <v/>
      </c>
      <c r="H25" s="123">
        <f>SUM(H24)</f>
        <v/>
      </c>
      <c r="I25" s="122" t="n"/>
      <c r="J25" s="32">
        <f>SUM(J24)</f>
        <v/>
      </c>
    </row>
    <row r="26">
      <c r="A26" s="240" t="n"/>
      <c r="B26" s="240" t="n"/>
      <c r="C26" s="239" t="inlineStr">
        <is>
          <t>Итого прочее оборудование</t>
        </is>
      </c>
      <c r="D26" s="240" t="n"/>
      <c r="E26" s="322" t="n"/>
      <c r="F26" s="242" t="n"/>
      <c r="G26" s="32" t="n">
        <v>0</v>
      </c>
      <c r="H26" s="123" t="n">
        <v>0</v>
      </c>
      <c r="I26" s="122" t="n"/>
      <c r="J26" s="32" t="n">
        <v>0</v>
      </c>
    </row>
    <row r="27">
      <c r="A27" s="240" t="n"/>
      <c r="B27" s="240" t="n"/>
      <c r="C27" s="238" t="inlineStr">
        <is>
          <t>Итого по разделу «Оборудование»</t>
        </is>
      </c>
      <c r="D27" s="240" t="n"/>
      <c r="E27" s="241" t="n"/>
      <c r="F27" s="242" t="n"/>
      <c r="G27" s="32">
        <f>G25+G26</f>
        <v/>
      </c>
      <c r="H27" s="243">
        <f>H25+H26</f>
        <v/>
      </c>
      <c r="I27" s="122" t="n"/>
      <c r="J27" s="32">
        <f>J26+J25</f>
        <v/>
      </c>
    </row>
    <row r="28" ht="25.5" customHeight="1" s="201">
      <c r="A28" s="240" t="n"/>
      <c r="B28" s="240" t="n"/>
      <c r="C28" s="239" t="inlineStr">
        <is>
          <t>в том числе технологическое оборудование</t>
        </is>
      </c>
      <c r="D28" s="240" t="n"/>
      <c r="E28" s="323" t="n"/>
      <c r="F28" s="242" t="n"/>
      <c r="G28" s="32">
        <f>'Прил.6 Расчет ОБ'!G13</f>
        <v/>
      </c>
      <c r="H28" s="243" t="n"/>
      <c r="I28" s="122" t="n"/>
      <c r="J28" s="32">
        <f>ROUND(G28*Прил.10!D14,2)</f>
        <v/>
      </c>
    </row>
    <row r="29" ht="14.25" customFormat="1" customHeight="1" s="12">
      <c r="A29" s="240" t="n"/>
      <c r="B29" s="238" t="inlineStr">
        <is>
          <t>Материалы</t>
        </is>
      </c>
      <c r="C29" s="317" t="n"/>
      <c r="D29" s="317" t="n"/>
      <c r="E29" s="317" t="n"/>
      <c r="F29" s="317" t="n"/>
      <c r="G29" s="317" t="n"/>
      <c r="H29" s="318" t="n"/>
      <c r="I29" s="120" t="n"/>
      <c r="J29" s="120" t="n"/>
    </row>
    <row r="30" ht="14.25" customFormat="1" customHeight="1" s="12">
      <c r="A30" s="234" t="n"/>
      <c r="B30" s="233" t="inlineStr">
        <is>
          <t>Основные материалы</t>
        </is>
      </c>
      <c r="C30" s="324" t="n"/>
      <c r="D30" s="324" t="n"/>
      <c r="E30" s="324" t="n"/>
      <c r="F30" s="324" t="n"/>
      <c r="G30" s="324" t="n"/>
      <c r="H30" s="325" t="n"/>
      <c r="I30" s="130" t="n"/>
      <c r="J30" s="130" t="n"/>
    </row>
    <row r="31" ht="14.25" customFormat="1" customHeight="1" s="12">
      <c r="A31" s="240" t="n">
        <v>4</v>
      </c>
      <c r="B31" s="240" t="inlineStr">
        <is>
          <t>01.7.03.01-0005</t>
        </is>
      </c>
      <c r="C31" s="239" t="inlineStr">
        <is>
          <t>Вода дистиллированная</t>
        </is>
      </c>
      <c r="D31" s="240" t="inlineStr">
        <is>
          <t>кг</t>
        </is>
      </c>
      <c r="E31" s="240" t="n">
        <v>2995.2</v>
      </c>
      <c r="F31" s="256" t="n">
        <v>4.16</v>
      </c>
      <c r="G31" s="32">
        <f>ROUND(E31*F31,2)</f>
        <v/>
      </c>
      <c r="H31" s="123">
        <f>G31/$G$38</f>
        <v/>
      </c>
      <c r="I31" s="32">
        <f>ROUND(F31*Прил.10!$D$13,2)</f>
        <v/>
      </c>
      <c r="J31" s="32">
        <f>ROUND(I31*E31,2)</f>
        <v/>
      </c>
    </row>
    <row r="32" ht="25.5" customFormat="1" customHeight="1" s="12">
      <c r="A32" s="240" t="n">
        <v>5</v>
      </c>
      <c r="B32" s="240" t="inlineStr">
        <is>
          <t>01.3.03.05-0002</t>
        </is>
      </c>
      <c r="C32" s="239" t="inlineStr">
        <is>
          <t>Кислота серная аккумуляторная, сорт высший</t>
        </is>
      </c>
      <c r="D32" s="240" t="inlineStr">
        <is>
          <t>т</t>
        </is>
      </c>
      <c r="E32" s="240" t="n">
        <v>0.9984</v>
      </c>
      <c r="F32" s="256" t="n">
        <v>6720.83</v>
      </c>
      <c r="G32" s="32">
        <f>ROUND(E32*F32,2)</f>
        <v/>
      </c>
      <c r="H32" s="123">
        <f>G32/$G$38</f>
        <v/>
      </c>
      <c r="I32" s="32">
        <f>ROUND(F32*Прил.10!$D$13,2)</f>
        <v/>
      </c>
      <c r="J32" s="32">
        <f>ROUND(I32*E32,2)</f>
        <v/>
      </c>
    </row>
    <row r="33" ht="14.25" customFormat="1" customHeight="1" s="12">
      <c r="A33" s="185" t="n"/>
      <c r="B33" s="186" t="n"/>
      <c r="C33" s="187" t="inlineStr">
        <is>
          <t>Итого основные материалы</t>
        </is>
      </c>
      <c r="D33" s="185" t="n"/>
      <c r="E33" s="326" t="n"/>
      <c r="F33" s="189" t="n"/>
      <c r="G33" s="189">
        <f>SUM(G31:G32)</f>
        <v/>
      </c>
      <c r="H33" s="190">
        <f>G33/$G$38</f>
        <v/>
      </c>
      <c r="I33" s="189" t="n"/>
      <c r="J33" s="189">
        <f>SUM(J31:J32)</f>
        <v/>
      </c>
      <c r="K33" s="28" t="n"/>
      <c r="L33" s="28" t="n"/>
    </row>
    <row r="34" outlineLevel="1" ht="14.25" customFormat="1" customHeight="1" s="12">
      <c r="A34" s="240" t="n">
        <v>6</v>
      </c>
      <c r="B34" s="240" t="inlineStr">
        <is>
          <t>10.1.01.02-0011</t>
        </is>
      </c>
      <c r="C34" s="239" t="inlineStr">
        <is>
          <t>Сплавы алюминиевые литейные АК5М2</t>
        </is>
      </c>
      <c r="D34" s="240" t="inlineStr">
        <is>
          <t>т</t>
        </is>
      </c>
      <c r="E34" s="240" t="n">
        <v>0.0104</v>
      </c>
      <c r="F34" s="256" t="n">
        <v>41200</v>
      </c>
      <c r="G34" s="32">
        <f>ROUND(E34*F34,2)</f>
        <v/>
      </c>
      <c r="H34" s="123">
        <f>G34/$G$38</f>
        <v/>
      </c>
      <c r="I34" s="32">
        <f>ROUND(F34*Прил.10!$D$13,2)</f>
        <v/>
      </c>
      <c r="J34" s="32">
        <f>ROUND(I34*E34,2)</f>
        <v/>
      </c>
      <c r="K34" s="28" t="n"/>
      <c r="L34" s="28" t="n"/>
    </row>
    <row r="35" outlineLevel="1" ht="25.5" customFormat="1" customHeight="1" s="12">
      <c r="A35" s="240" t="n">
        <v>7</v>
      </c>
      <c r="B35" s="240" t="inlineStr">
        <is>
          <t>999-9950</t>
        </is>
      </c>
      <c r="C35" s="239" t="inlineStr">
        <is>
          <t>Вспомогательные ненормируемые материальные ресурсы</t>
        </is>
      </c>
      <c r="D35" s="240" t="inlineStr">
        <is>
          <t>руб</t>
        </is>
      </c>
      <c r="E35" s="240" t="n">
        <v>238.3712</v>
      </c>
      <c r="F35" s="256" t="n">
        <v>1</v>
      </c>
      <c r="G35" s="32">
        <f>ROUND(E35*F35,2)</f>
        <v/>
      </c>
      <c r="H35" s="123">
        <f>G35/$G$38</f>
        <v/>
      </c>
      <c r="I35" s="32">
        <f>ROUND(F35*Прил.10!$D$13,2)</f>
        <v/>
      </c>
      <c r="J35" s="32">
        <f>ROUND(I35*E35,2)</f>
        <v/>
      </c>
      <c r="K35" s="28" t="n"/>
      <c r="L35" s="28" t="n"/>
    </row>
    <row r="36" outlineLevel="1" ht="14.25" customFormat="1" customHeight="1" s="12">
      <c r="A36" s="240" t="n">
        <v>8</v>
      </c>
      <c r="B36" s="240" t="inlineStr">
        <is>
          <t>01.3.05.23-0061</t>
        </is>
      </c>
      <c r="C36" s="239" t="inlineStr">
        <is>
          <t>Натрий едкий марка ТД, технический</t>
        </is>
      </c>
      <c r="D36" s="240" t="inlineStr">
        <is>
          <t>т</t>
        </is>
      </c>
      <c r="E36" s="240" t="n">
        <v>0.03536</v>
      </c>
      <c r="F36" s="256" t="n">
        <v>5823.53</v>
      </c>
      <c r="G36" s="32">
        <f>ROUND(E36*F36,2)</f>
        <v/>
      </c>
      <c r="H36" s="123">
        <f>G36/$G$38</f>
        <v/>
      </c>
      <c r="I36" s="32">
        <f>ROUND(F36*Прил.10!$D$13,2)</f>
        <v/>
      </c>
      <c r="J36" s="32">
        <f>ROUND(I36*E36,2)</f>
        <v/>
      </c>
      <c r="K36" s="28" t="n"/>
      <c r="L36" s="28" t="n"/>
    </row>
    <row r="37" ht="14.25" customFormat="1" customHeight="1" s="12">
      <c r="A37" s="251" t="n"/>
      <c r="B37" s="251" t="n"/>
      <c r="C37" s="191" t="inlineStr">
        <is>
          <t>Итого прочие материалы</t>
        </is>
      </c>
      <c r="D37" s="251" t="n"/>
      <c r="E37" s="192" t="n"/>
      <c r="F37" s="193" t="n"/>
      <c r="G37" s="126">
        <f>SUM(G34:G36)</f>
        <v/>
      </c>
      <c r="H37" s="182">
        <f>G37/$G$38</f>
        <v/>
      </c>
      <c r="I37" s="126" t="n"/>
      <c r="J37" s="126">
        <f>SUM(J34:J36)</f>
        <v/>
      </c>
    </row>
    <row r="38" ht="14.25" customFormat="1" customHeight="1" s="12">
      <c r="A38" s="240" t="n"/>
      <c r="B38" s="240" t="n"/>
      <c r="C38" s="238" t="inlineStr">
        <is>
          <t>Итого по разделу «Материалы»</t>
        </is>
      </c>
      <c r="D38" s="240" t="n"/>
      <c r="E38" s="241" t="n"/>
      <c r="F38" s="242" t="n"/>
      <c r="G38" s="32">
        <f>G33+G37</f>
        <v/>
      </c>
      <c r="H38" s="243">
        <f>G38/$G$38</f>
        <v/>
      </c>
      <c r="I38" s="32" t="n"/>
      <c r="J38" s="32">
        <f>J33+J37</f>
        <v/>
      </c>
    </row>
    <row r="39" ht="14.25" customFormat="1" customHeight="1" s="12">
      <c r="A39" s="240" t="n"/>
      <c r="B39" s="240" t="n"/>
      <c r="C39" s="239" t="inlineStr">
        <is>
          <t>ИТОГО ПО РМ</t>
        </is>
      </c>
      <c r="D39" s="240" t="n"/>
      <c r="E39" s="241" t="n"/>
      <c r="F39" s="242" t="n"/>
      <c r="G39" s="32">
        <f>G14+G21+G38</f>
        <v/>
      </c>
      <c r="H39" s="243" t="n"/>
      <c r="I39" s="32" t="n"/>
      <c r="J39" s="32">
        <f>J14+J21+J38</f>
        <v/>
      </c>
    </row>
    <row r="40" ht="14.25" customFormat="1" customHeight="1" s="12">
      <c r="A40" s="240" t="n"/>
      <c r="B40" s="240" t="n"/>
      <c r="C40" s="239" t="inlineStr">
        <is>
          <t>Накладные расходы</t>
        </is>
      </c>
      <c r="D40" s="128">
        <f>ROUND(G40/(G$16+$G$14),2)</f>
        <v/>
      </c>
      <c r="E40" s="241" t="n"/>
      <c r="F40" s="242" t="n"/>
      <c r="G40" s="32" t="n">
        <v>11918</v>
      </c>
      <c r="H40" s="243" t="n"/>
      <c r="I40" s="32" t="n"/>
      <c r="J40" s="32">
        <f>ROUND(D40*(J14+J16),2)</f>
        <v/>
      </c>
    </row>
    <row r="41" ht="14.25" customFormat="1" customHeight="1" s="12">
      <c r="A41" s="240" t="n"/>
      <c r="B41" s="240" t="n"/>
      <c r="C41" s="239" t="inlineStr">
        <is>
          <t>Сметная прибыль</t>
        </is>
      </c>
      <c r="D41" s="128">
        <f>ROUND(G41/(G$14+G$16),2)</f>
        <v/>
      </c>
      <c r="E41" s="241" t="n"/>
      <c r="F41" s="242" t="n"/>
      <c r="G41" s="32" t="n">
        <v>6079</v>
      </c>
      <c r="H41" s="243" t="n"/>
      <c r="I41" s="32" t="n"/>
      <c r="J41" s="32">
        <f>ROUND(D41*(J14+J16),2)</f>
        <v/>
      </c>
    </row>
    <row r="42" ht="14.25" customFormat="1" customHeight="1" s="12">
      <c r="A42" s="240" t="n"/>
      <c r="B42" s="240" t="n"/>
      <c r="C42" s="239" t="inlineStr">
        <is>
          <t>Итого СМР (с НР и СП)</t>
        </is>
      </c>
      <c r="D42" s="240" t="n"/>
      <c r="E42" s="241" t="n"/>
      <c r="F42" s="242" t="n"/>
      <c r="G42" s="32">
        <f>G14+G21+G38+G40+G41</f>
        <v/>
      </c>
      <c r="H42" s="243" t="n"/>
      <c r="I42" s="32" t="n"/>
      <c r="J42" s="32">
        <f>J14+J21+J38+J40+J41</f>
        <v/>
      </c>
    </row>
    <row r="43" ht="14.25" customFormat="1" customHeight="1" s="12">
      <c r="A43" s="240" t="n"/>
      <c r="B43" s="240" t="n"/>
      <c r="C43" s="239" t="inlineStr">
        <is>
          <t>ВСЕГО СМР + ОБОРУДОВАНИЕ</t>
        </is>
      </c>
      <c r="D43" s="240" t="n"/>
      <c r="E43" s="241" t="n"/>
      <c r="F43" s="242" t="n"/>
      <c r="G43" s="32">
        <f>G42+G27</f>
        <v/>
      </c>
      <c r="H43" s="243" t="n"/>
      <c r="I43" s="32" t="n"/>
      <c r="J43" s="32">
        <f>J42+J27</f>
        <v/>
      </c>
    </row>
    <row r="44" ht="34.5" customFormat="1" customHeight="1" s="12">
      <c r="A44" s="240" t="n"/>
      <c r="B44" s="240" t="n"/>
      <c r="C44" s="239" t="inlineStr">
        <is>
          <t>ИТОГО ПОКАЗАТЕЛЬ НА ЕД. ИЗМ.</t>
        </is>
      </c>
      <c r="D44" s="240" t="inlineStr">
        <is>
          <t>шт.</t>
        </is>
      </c>
      <c r="E44" s="327" t="n">
        <v>208</v>
      </c>
      <c r="F44" s="242" t="n"/>
      <c r="G44" s="32">
        <f>G43/E44</f>
        <v/>
      </c>
      <c r="H44" s="243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Д.А. Самуйленко</t>
        </is>
      </c>
    </row>
    <row r="47" ht="14.25" customFormat="1" customHeight="1" s="12">
      <c r="A47" s="146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146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E9:E10"/>
    <mergeCell ref="A7:H7"/>
    <mergeCell ref="B22:H22"/>
    <mergeCell ref="B9:B10"/>
    <mergeCell ref="D9:D10"/>
    <mergeCell ref="B18:H18"/>
    <mergeCell ref="B12:H12"/>
    <mergeCell ref="D6:J6"/>
    <mergeCell ref="A8:H8"/>
    <mergeCell ref="F9:G9"/>
    <mergeCell ref="B23:H23"/>
    <mergeCell ref="B17:H17"/>
    <mergeCell ref="A9:A10"/>
    <mergeCell ref="B29:H29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52" t="inlineStr">
        <is>
          <t>Приложение №6</t>
        </is>
      </c>
    </row>
    <row r="2" ht="21.75" customHeight="1" s="201">
      <c r="A2" s="252" t="n"/>
      <c r="B2" s="252" t="n"/>
      <c r="C2" s="252" t="n"/>
      <c r="D2" s="252" t="n"/>
      <c r="E2" s="252" t="n"/>
      <c r="F2" s="252" t="n"/>
      <c r="G2" s="252" t="n"/>
    </row>
    <row r="3">
      <c r="A3" s="207" t="inlineStr">
        <is>
          <t>Расчет стоимости оборудования</t>
        </is>
      </c>
    </row>
    <row r="4" ht="25.5" customHeight="1" s="201">
      <c r="A4" s="210" t="inlineStr">
        <is>
          <t>Наименование разрабатываемого показателя УНЦ — РЗА и прочие шкафы (панели). Аккумуляторная батарея (элемент) емкостью 350 А*ч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201">
      <c r="A6" s="257" t="inlineStr">
        <is>
          <t>№ пп.</t>
        </is>
      </c>
      <c r="B6" s="257" t="inlineStr">
        <is>
          <t>Код ресурса</t>
        </is>
      </c>
      <c r="C6" s="257" t="inlineStr">
        <is>
          <t>Наименование</t>
        </is>
      </c>
      <c r="D6" s="257" t="inlineStr">
        <is>
          <t>Ед. изм.</t>
        </is>
      </c>
      <c r="E6" s="240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201">
      <c r="A9" s="25" t="n"/>
      <c r="B9" s="239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 s="201">
      <c r="A10" s="240" t="n"/>
      <c r="B10" s="238" t="n"/>
      <c r="C10" s="239" t="inlineStr">
        <is>
          <t>ИТОГО ИНЖЕНЕРНОЕ ОБОРУДОВАНИЕ</t>
        </is>
      </c>
      <c r="D10" s="238" t="n"/>
      <c r="E10" s="104" t="n"/>
      <c r="F10" s="242" t="n"/>
      <c r="G10" s="32" t="n">
        <v>0</v>
      </c>
    </row>
    <row r="11">
      <c r="A11" s="240" t="n"/>
      <c r="B11" s="239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>
      <c r="A12" s="240" t="n">
        <v>1</v>
      </c>
      <c r="B12" s="173" t="inlineStr">
        <is>
          <t>БЦ.43.19</t>
        </is>
      </c>
      <c r="C12" s="239" t="inlineStr">
        <is>
          <t>Аккумуляторная батарея  Varta</t>
        </is>
      </c>
      <c r="D12" s="240" t="inlineStr">
        <is>
          <t>шт.</t>
        </is>
      </c>
      <c r="E12" s="173" t="inlineStr">
        <is>
          <t>208</t>
        </is>
      </c>
      <c r="F12" s="32" t="n">
        <v>6389.78</v>
      </c>
      <c r="G12" s="32" t="n">
        <v>1329074.24</v>
      </c>
    </row>
    <row r="13" ht="25.5" customHeight="1" s="201">
      <c r="A13" s="240" t="n"/>
      <c r="B13" s="239" t="n"/>
      <c r="C13" s="239" t="inlineStr">
        <is>
          <t>ИТОГО ТЕХНОЛОГИЧЕСКОЕ ОБОРУДОВАНИЕ</t>
        </is>
      </c>
      <c r="D13" s="239" t="n"/>
      <c r="E13" s="256" t="n"/>
      <c r="F13" s="242" t="n"/>
      <c r="G13" s="32">
        <f>SUM(G12)</f>
        <v/>
      </c>
    </row>
    <row r="14" ht="19.5" customHeight="1" s="201">
      <c r="A14" s="240" t="n"/>
      <c r="B14" s="239" t="n"/>
      <c r="C14" s="239" t="inlineStr">
        <is>
          <t>Всего по разделу «Оборудование»</t>
        </is>
      </c>
      <c r="D14" s="239" t="n"/>
      <c r="E14" s="256" t="n"/>
      <c r="F14" s="242" t="n"/>
      <c r="G14" s="32">
        <f>G10+G13</f>
        <v/>
      </c>
    </row>
    <row r="15">
      <c r="A15" s="30" t="n"/>
      <c r="B15" s="147" t="n"/>
      <c r="C15" s="30" t="n"/>
      <c r="D15" s="30" t="n"/>
      <c r="E15" s="30" t="n"/>
      <c r="F15" s="30" t="n"/>
      <c r="G15" s="30" t="n"/>
    </row>
    <row r="16">
      <c r="A16" s="303" t="inlineStr">
        <is>
          <t>Составил ______________________    Д.А. Самуйленко</t>
        </is>
      </c>
      <c r="B16" s="12" t="n"/>
      <c r="C16" s="12" t="n"/>
      <c r="D16" s="30" t="n"/>
      <c r="E16" s="30" t="n"/>
      <c r="F16" s="30" t="n"/>
      <c r="G16" s="30" t="n"/>
    </row>
    <row r="17">
      <c r="A17" s="146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146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01" min="1" max="1"/>
    <col width="16.42578125" customWidth="1" style="201" min="2" max="2"/>
    <col width="37.140625" customWidth="1" style="201" min="3" max="3"/>
    <col width="49" customWidth="1" style="201" min="4" max="4"/>
    <col width="9.140625" customWidth="1" style="201" min="5" max="5"/>
  </cols>
  <sheetData>
    <row r="1" ht="15.75" customHeight="1" s="201">
      <c r="A1" s="203" t="n"/>
      <c r="B1" s="203" t="n"/>
      <c r="C1" s="203" t="n"/>
      <c r="D1" s="203" t="inlineStr">
        <is>
          <t>Приложение №7</t>
        </is>
      </c>
    </row>
    <row r="2" ht="15.75" customHeight="1" s="201">
      <c r="A2" s="203" t="n"/>
      <c r="B2" s="203" t="n"/>
      <c r="C2" s="203" t="n"/>
      <c r="D2" s="203" t="n"/>
    </row>
    <row r="3" ht="15.75" customHeight="1" s="201">
      <c r="A3" s="203" t="n"/>
      <c r="B3" s="134" t="inlineStr">
        <is>
          <t>Расчет показателя УНЦ</t>
        </is>
      </c>
      <c r="C3" s="203" t="n"/>
      <c r="D3" s="203" t="n"/>
    </row>
    <row r="4" ht="15.75" customHeight="1" s="201">
      <c r="A4" s="203" t="n"/>
      <c r="B4" s="203" t="n"/>
      <c r="C4" s="203" t="n"/>
      <c r="D4" s="203" t="n"/>
    </row>
    <row r="5" ht="31.5" customHeight="1" s="201">
      <c r="A5" s="258" t="inlineStr">
        <is>
          <t xml:space="preserve">Наименование разрабатываемого показателя УНЦ - </t>
        </is>
      </c>
      <c r="D5" s="258">
        <f>'Прил.5 Расчет СМР и ОБ'!D6:J6</f>
        <v/>
      </c>
    </row>
    <row r="6" ht="15.75" customHeight="1" s="201">
      <c r="A6" s="203" t="inlineStr">
        <is>
          <t>Единица измерения  — 1 ед</t>
        </is>
      </c>
      <c r="B6" s="203" t="n"/>
      <c r="C6" s="203" t="n"/>
      <c r="D6" s="203" t="n"/>
    </row>
    <row r="7" ht="15.75" customHeight="1" s="201">
      <c r="A7" s="203" t="n"/>
      <c r="B7" s="203" t="n"/>
      <c r="C7" s="203" t="n"/>
      <c r="D7" s="203" t="n"/>
    </row>
    <row r="8">
      <c r="A8" s="222" t="inlineStr">
        <is>
          <t>Код показателя</t>
        </is>
      </c>
      <c r="B8" s="222" t="inlineStr">
        <is>
          <t>Наименование показателя</t>
        </is>
      </c>
      <c r="C8" s="222" t="inlineStr">
        <is>
          <t>Наименование РМ, входящих в состав показателя</t>
        </is>
      </c>
      <c r="D8" s="222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 s="201">
      <c r="A10" s="222" t="n">
        <v>1</v>
      </c>
      <c r="B10" s="222" t="n">
        <v>2</v>
      </c>
      <c r="C10" s="222" t="n">
        <v>3</v>
      </c>
      <c r="D10" s="222" t="n">
        <v>4</v>
      </c>
    </row>
    <row r="11" ht="47.25" customHeight="1" s="201">
      <c r="A11" s="222" t="inlineStr">
        <is>
          <t>И12-09</t>
        </is>
      </c>
      <c r="B11" s="222" t="inlineStr">
        <is>
          <t xml:space="preserve">УНЦ РЗА и прочие шкафы </t>
        </is>
      </c>
      <c r="C11" s="199">
        <f>D5</f>
        <v/>
      </c>
      <c r="D11" s="200">
        <f>'Прил.4 РМ'!C41/1000</f>
        <v/>
      </c>
    </row>
    <row r="13">
      <c r="A13" s="4" t="inlineStr">
        <is>
          <t>Составил ______________________      Д.А. Самуйленко</t>
        </is>
      </c>
      <c r="B13" s="12" t="n"/>
      <c r="C13" s="12" t="n"/>
      <c r="D13" s="30" t="n"/>
    </row>
    <row r="14">
      <c r="A14" s="146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146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view="pageBreakPreview" topLeftCell="A6" zoomScale="60" zoomScaleNormal="85" workbookViewId="0">
      <selection activeCell="B27" sqref="B27"/>
    </sheetView>
  </sheetViews>
  <sheetFormatPr baseColWidth="8" defaultRowHeight="15"/>
  <cols>
    <col width="9.140625" customWidth="1" style="201" min="1" max="1"/>
    <col width="40.7109375" customWidth="1" style="201" min="2" max="2"/>
    <col width="37" customWidth="1" style="201" min="3" max="3"/>
    <col width="32" customWidth="1" style="201" min="4" max="4"/>
    <col width="9.140625" customWidth="1" style="201" min="5" max="5"/>
  </cols>
  <sheetData>
    <row r="4" ht="15.75" customHeight="1" s="201">
      <c r="B4" s="214" t="inlineStr">
        <is>
          <t>Приложение № 10</t>
        </is>
      </c>
    </row>
    <row r="5" ht="18.75" customHeight="1" s="201">
      <c r="B5" s="114" t="n"/>
    </row>
    <row r="6" ht="15.75" customHeight="1" s="201">
      <c r="B6" s="215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 s="201">
      <c r="B9" s="222" t="inlineStr">
        <is>
          <t>Наименование индекса / норм сопутствующих затрат</t>
        </is>
      </c>
      <c r="C9" s="222" t="inlineStr">
        <is>
          <t>Дата применения и обоснование индекса / норм сопутствующих затрат</t>
        </is>
      </c>
      <c r="D9" s="222" t="inlineStr">
        <is>
          <t>Размер индекса / норма сопутствующих затрат</t>
        </is>
      </c>
    </row>
    <row r="10" ht="15.75" customHeight="1" s="201">
      <c r="B10" s="222" t="n">
        <v>1</v>
      </c>
      <c r="C10" s="222" t="n">
        <v>2</v>
      </c>
      <c r="D10" s="222" t="n">
        <v>3</v>
      </c>
    </row>
    <row r="11" ht="45" customHeight="1" s="201">
      <c r="B11" s="222" t="inlineStr">
        <is>
          <t xml:space="preserve">Индекс изменения сметной стоимости на 1 квартал 2023 года. ОЗП </t>
        </is>
      </c>
      <c r="C11" s="222" t="inlineStr">
        <is>
          <t>Письмо Минстроя России от 30.03.2023г. №17106-ИФ/09 прил.1</t>
        </is>
      </c>
      <c r="D11" s="222" t="n">
        <v>44.29</v>
      </c>
    </row>
    <row r="12" ht="31.5" customHeight="1" s="201">
      <c r="B12" s="222" t="inlineStr">
        <is>
          <t>Индекс изменения сметной стоимости на 1 квартал 2023 года. ЭМ</t>
        </is>
      </c>
      <c r="C12" s="222" t="inlineStr">
        <is>
          <t>Письмо Минстроя России от 30.03.2023г. №17106-ИФ/09 прил.1</t>
        </is>
      </c>
      <c r="D12" s="222" t="n">
        <v>13.47</v>
      </c>
    </row>
    <row r="13" ht="31.5" customHeight="1" s="201">
      <c r="B13" s="222" t="inlineStr">
        <is>
          <t>Индекс изменения сметной стоимости на 1 квартал 2023 года. МАТ</t>
        </is>
      </c>
      <c r="C13" s="222" t="inlineStr">
        <is>
          <t>Письмо Минстроя России от 30.03.2023г. №17106-ИФ/09 прил.1</t>
        </is>
      </c>
      <c r="D13" s="222" t="n">
        <v>8.039999999999999</v>
      </c>
    </row>
    <row r="14" ht="30.75" customHeight="1" s="201">
      <c r="B14" s="222" t="inlineStr">
        <is>
          <t>Индекс изменения сметной стоимости на 1 квартал 2023 года. ОБ</t>
        </is>
      </c>
      <c r="C14" s="155" t="inlineStr">
        <is>
          <t>Письмо Минстроя России от 23.02.2023г. №9791-ИФ/09 прил.6</t>
        </is>
      </c>
      <c r="D14" s="222" t="n">
        <v>6.26</v>
      </c>
    </row>
    <row r="15" ht="89.25" customHeight="1" s="201">
      <c r="B15" s="222" t="inlineStr">
        <is>
          <t>Временные здания и сооружения</t>
        </is>
      </c>
      <c r="C15" s="22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 s="201">
      <c r="B16" s="222" t="inlineStr">
        <is>
          <t>Дополнительные затраты при производстве строительно-монтажных работ в зимнее время</t>
        </is>
      </c>
      <c r="C16" s="22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4.5" customHeight="1" s="201">
      <c r="B17" s="222" t="n"/>
      <c r="C17" s="222" t="n"/>
      <c r="D17" s="222" t="n"/>
    </row>
    <row r="18" ht="31.5" customHeight="1" s="201">
      <c r="B18" s="222" t="inlineStr">
        <is>
          <t>Строительный контроль</t>
        </is>
      </c>
      <c r="C18" s="222" t="inlineStr">
        <is>
          <t>Постановление Правительства РФ от 21.06.10 г. № 468</t>
        </is>
      </c>
      <c r="D18" s="116" t="n">
        <v>0.0214</v>
      </c>
    </row>
    <row r="19" ht="31.5" customHeight="1" s="201">
      <c r="B19" s="222" t="inlineStr">
        <is>
          <t>Авторский надзор - 0,2%</t>
        </is>
      </c>
      <c r="C19" s="222" t="inlineStr">
        <is>
          <t>Приказ от 4.08.2020 № 421/пр п.173</t>
        </is>
      </c>
      <c r="D19" s="116" t="n">
        <v>0.002</v>
      </c>
    </row>
    <row r="20" ht="24" customHeight="1" s="201">
      <c r="B20" s="222" t="inlineStr">
        <is>
          <t>Непредвиденные расходы</t>
        </is>
      </c>
      <c r="C20" s="222" t="inlineStr">
        <is>
          <t>Приказ от 4.08.2020 № 421/пр п.179</t>
        </is>
      </c>
      <c r="D20" s="116" t="n">
        <v>0.03</v>
      </c>
    </row>
    <row r="21" ht="18.75" customHeight="1" s="201">
      <c r="B21" s="148" t="n"/>
    </row>
    <row r="22" ht="18.75" customHeight="1" s="201">
      <c r="B22" s="148" t="n"/>
    </row>
    <row r="23" ht="18.75" customHeight="1" s="201">
      <c r="B23" s="148" t="n"/>
    </row>
    <row r="24" ht="18.75" customHeight="1" s="201">
      <c r="B24" s="148" t="n"/>
    </row>
    <row r="27">
      <c r="B27" s="303" t="inlineStr">
        <is>
          <t>Составил ______________________       Д.А. Самуйленко</t>
        </is>
      </c>
      <c r="C27" s="12" t="n"/>
    </row>
    <row r="28">
      <c r="B28" s="146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146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31" sqref="F31"/>
    </sheetView>
  </sheetViews>
  <sheetFormatPr baseColWidth="8" defaultColWidth="9.140625" defaultRowHeight="15"/>
  <cols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</cols>
  <sheetData>
    <row r="1" s="201"/>
    <row r="2" ht="18" customHeight="1" s="201">
      <c r="A2" s="215" t="inlineStr">
        <is>
          <t>Расчет размера средств на оплату труда рабочих-строителей в текущем уровне цен (ФОТр.тек.)</t>
        </is>
      </c>
    </row>
    <row r="3" s="201"/>
    <row r="4" ht="18" customHeight="1" s="201">
      <c r="A4" s="202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6" customHeight="1" s="201">
      <c r="A5" s="304" t="inlineStr">
        <is>
          <t>№ пп.</t>
        </is>
      </c>
      <c r="B5" s="304" t="inlineStr">
        <is>
          <t>Наименование элемента</t>
        </is>
      </c>
      <c r="C5" s="304" t="inlineStr">
        <is>
          <t>Обозначение</t>
        </is>
      </c>
      <c r="D5" s="304" t="inlineStr">
        <is>
          <t>Формула</t>
        </is>
      </c>
      <c r="E5" s="304" t="inlineStr">
        <is>
          <t>Величина элемента</t>
        </is>
      </c>
      <c r="F5" s="304" t="inlineStr">
        <is>
          <t>Наименования обосновывающих документов</t>
        </is>
      </c>
      <c r="G5" s="203" t="n"/>
    </row>
    <row r="6" ht="15.6" customHeight="1" s="201">
      <c r="A6" s="304" t="n">
        <v>1</v>
      </c>
      <c r="B6" s="304" t="n">
        <v>2</v>
      </c>
      <c r="C6" s="304" t="n">
        <v>3</v>
      </c>
      <c r="D6" s="304" t="n">
        <v>4</v>
      </c>
      <c r="E6" s="304" t="n">
        <v>5</v>
      </c>
      <c r="F6" s="304" t="n">
        <v>6</v>
      </c>
      <c r="G6" s="203" t="n"/>
    </row>
    <row r="7" ht="109.15" customHeight="1" s="201">
      <c r="A7" s="305" t="inlineStr">
        <is>
          <t>1.1</t>
        </is>
      </c>
      <c r="B7" s="3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07" t="inlineStr">
        <is>
          <t>С1ср</t>
        </is>
      </c>
      <c r="D7" s="307" t="inlineStr">
        <is>
          <t>-</t>
        </is>
      </c>
      <c r="E7" s="308" t="n">
        <v>47872.94</v>
      </c>
      <c r="F7" s="3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15" customHeight="1" s="201">
      <c r="A8" s="305" t="inlineStr">
        <is>
          <t>1.2</t>
        </is>
      </c>
      <c r="B8" s="306" t="inlineStr">
        <is>
          <t>Среднегодовое нормативное число часов работы одного рабочего в месяц, часы (ч.)</t>
        </is>
      </c>
      <c r="C8" s="307" t="inlineStr">
        <is>
          <t>tср</t>
        </is>
      </c>
      <c r="D8" s="307" t="inlineStr">
        <is>
          <t>1973ч/12мес.</t>
        </is>
      </c>
      <c r="E8" s="309">
        <f>1973/12</f>
        <v/>
      </c>
      <c r="F8" s="306" t="inlineStr">
        <is>
          <t>Производственный календарь 2023 год
(40-часов.неделя)</t>
        </is>
      </c>
      <c r="G8" s="205" t="n"/>
    </row>
    <row r="9" ht="15.6" customHeight="1" s="201">
      <c r="A9" s="305" t="inlineStr">
        <is>
          <t>1.3</t>
        </is>
      </c>
      <c r="B9" s="306" t="inlineStr">
        <is>
          <t>Коэффициент увеличения</t>
        </is>
      </c>
      <c r="C9" s="307" t="inlineStr">
        <is>
          <t>Кув</t>
        </is>
      </c>
      <c r="D9" s="307" t="inlineStr">
        <is>
          <t>-</t>
        </is>
      </c>
      <c r="E9" s="309" t="n">
        <v>1</v>
      </c>
      <c r="F9" s="306" t="n"/>
      <c r="G9" s="205" t="n"/>
    </row>
    <row r="10" ht="15.6" customHeight="1" s="201">
      <c r="A10" s="305" t="inlineStr">
        <is>
          <t>1.4</t>
        </is>
      </c>
      <c r="B10" s="306" t="inlineStr">
        <is>
          <t>Средний разряд работ</t>
        </is>
      </c>
      <c r="C10" s="307" t="n"/>
      <c r="D10" s="307" t="n"/>
      <c r="E10" s="328" t="n">
        <v>4</v>
      </c>
      <c r="F10" s="306" t="inlineStr">
        <is>
          <t>РТМ</t>
        </is>
      </c>
      <c r="G10" s="205" t="n"/>
    </row>
    <row r="11" ht="78" customHeight="1" s="201">
      <c r="A11" s="305" t="inlineStr">
        <is>
          <t>1.5</t>
        </is>
      </c>
      <c r="B11" s="306" t="inlineStr">
        <is>
          <t>Тарифный коэффициент среднего разряда работ</t>
        </is>
      </c>
      <c r="C11" s="307" t="inlineStr">
        <is>
          <t>КТ</t>
        </is>
      </c>
      <c r="D11" s="307" t="inlineStr">
        <is>
          <t>-</t>
        </is>
      </c>
      <c r="E11" s="329" t="n">
        <v>1.34</v>
      </c>
      <c r="F11" s="3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" customHeight="1" s="201">
      <c r="A12" s="305" t="inlineStr">
        <is>
          <t>1.6</t>
        </is>
      </c>
      <c r="B12" s="312" t="inlineStr">
        <is>
          <t>Коэффициент инфляции, определяемый поквартально</t>
        </is>
      </c>
      <c r="C12" s="307" t="inlineStr">
        <is>
          <t>Кинф</t>
        </is>
      </c>
      <c r="D12" s="307" t="inlineStr">
        <is>
          <t>-</t>
        </is>
      </c>
      <c r="E12" s="330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n"/>
    </row>
    <row r="13" ht="62.45" customHeight="1" s="201">
      <c r="A13" s="305" t="inlineStr">
        <is>
          <t>1.7</t>
        </is>
      </c>
      <c r="B13" s="315" t="inlineStr">
        <is>
          <t>Размер средств на оплату труда рабочих-строителей в текущем уровне цен (ФОТр.тек.), руб/чел.-ч</t>
        </is>
      </c>
      <c r="C13" s="307" t="inlineStr">
        <is>
          <t>ФОТр.тек.</t>
        </is>
      </c>
      <c r="D13" s="307" t="inlineStr">
        <is>
          <t>(С1ср/tср*КТ*Т*Кув)*Кинф</t>
        </is>
      </c>
      <c r="E13" s="316">
        <f>((E7*E9/E8)*E11)*E12</f>
        <v/>
      </c>
      <c r="F13" s="3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2025-01-24T12:01:42Z</dcterms:modified>
  <cp:lastModifiedBy>Nikolay Ivanov</cp:lastModifiedBy>
  <cp:lastPrinted>2023-11-30T12:28:42Z</cp:lastPrinted>
</cp:coreProperties>
</file>