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0.000"/>
    <numFmt numFmtId="169" formatCode="0.0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6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0" fontId="18" fillId="0" borderId="0" pivotButton="0" quotePrefix="0" xfId="0"/>
    <xf numFmtId="4" fontId="16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top"/>
    </xf>
    <xf numFmtId="0" fontId="17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169" fontId="16" fillId="0" borderId="0" pivotButton="0" quotePrefix="0" xfId="0"/>
    <xf numFmtId="0" fontId="17" fillId="0" borderId="1" applyAlignment="1" pivotButton="0" quotePrefix="0" xfId="0">
      <alignment vertical="top"/>
    </xf>
    <xf numFmtId="2" fontId="16" fillId="0" borderId="1" applyAlignment="1" pivotButton="0" quotePrefix="0" xfId="0">
      <alignment horizontal="right" vertical="center"/>
    </xf>
    <xf numFmtId="2" fontId="18" fillId="0" borderId="1" applyAlignment="1" pivotButton="0" quotePrefix="0" xfId="0">
      <alignment horizontal="right" vertical="center"/>
    </xf>
    <xf numFmtId="4" fontId="1" fillId="4" borderId="1" applyAlignment="1" pivotButton="0" quotePrefix="0" xfId="0">
      <alignment horizontal="right"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7" fillId="0" borderId="10" applyAlignment="1" pivotButton="0" quotePrefix="0" xfId="0">
      <alignment vertical="center" wrapText="1"/>
    </xf>
    <xf numFmtId="4" fontId="17" fillId="0" borderId="10" applyAlignment="1" pivotButton="0" quotePrefix="0" xfId="0">
      <alignment horizontal="center" vertical="center"/>
    </xf>
    <xf numFmtId="0" fontId="29" fillId="0" borderId="0" pivotButton="0" quotePrefix="0" xfId="0"/>
    <xf numFmtId="167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9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16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192" min="1" max="2"/>
    <col width="36.85546875" customWidth="1" style="192" min="3" max="3"/>
    <col width="39.42578125" customWidth="1" style="192" min="4" max="4"/>
    <col hidden="1" width="36.5703125" customWidth="1" style="192" min="5" max="6"/>
    <col width="9.140625" customWidth="1" style="192" min="7" max="7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>
      <c r="B5" s="134" t="n"/>
      <c r="C5" s="134" t="n"/>
      <c r="D5" s="134" t="n"/>
      <c r="E5" s="134" t="n"/>
      <c r="F5" s="134" t="n"/>
    </row>
    <row r="6">
      <c r="B6" s="134" t="n"/>
      <c r="C6" s="134" t="n"/>
      <c r="D6" s="134" t="n"/>
      <c r="E6" s="134" t="n"/>
      <c r="F6" s="134" t="n"/>
    </row>
    <row r="7" ht="48.75" customHeight="1" s="190">
      <c r="B7" s="205" t="inlineStr">
        <is>
          <t xml:space="preserve">Наименование разрабатываемого показателя УНЦ — Системы оперативного постоянного тока и собственных нужд ПС. Шкаф с зарядно-подзарядными устройствами, номинальный ток 200 А </t>
        </is>
      </c>
    </row>
    <row r="8" ht="31.7" customHeight="1" s="190">
      <c r="B8" s="205" t="inlineStr">
        <is>
          <t>Сопоставимый уровень цен: 2 кв 2019</t>
        </is>
      </c>
    </row>
    <row r="9">
      <c r="B9" s="205" t="inlineStr">
        <is>
          <t>Единица измерения  — 1 шт</t>
        </is>
      </c>
    </row>
    <row r="10">
      <c r="B10" s="205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>Объект-представитель 1</t>
        </is>
      </c>
      <c r="E11" s="136" t="n"/>
      <c r="F11" s="136" t="n"/>
    </row>
    <row r="12" ht="78.75" customHeight="1" s="190">
      <c r="B12" s="208" t="n">
        <v>1</v>
      </c>
      <c r="C12" s="136" t="inlineStr">
        <is>
          <t>Наименование объекта-представителя</t>
        </is>
      </c>
      <c r="D12" s="208" t="inlineStr">
        <is>
          <t>Две ВЛ 220 кВ Призейская - Эльгауголь с ПС 220 кВ Эльгауголь, ПС 220 кВ А, ПС 220 кВ Б; расширение ОРУ 220 кВ ПС 220 кВ Призейская</t>
        </is>
      </c>
      <c r="E12" s="136" t="n"/>
      <c r="F12" s="136" t="n"/>
    </row>
    <row r="13" ht="31.5" customHeight="1" s="190">
      <c r="B13" s="208" t="n">
        <v>2</v>
      </c>
      <c r="C13" s="136" t="inlineStr">
        <is>
          <t>Наименование субъекта Российской Федерации</t>
        </is>
      </c>
      <c r="D13" s="208" t="inlineStr">
        <is>
          <t>Республика Саха</t>
        </is>
      </c>
      <c r="E13" s="136" t="n"/>
      <c r="F13" s="136" t="n"/>
    </row>
    <row r="14">
      <c r="B14" s="208" t="n">
        <v>3</v>
      </c>
      <c r="C14" s="136" t="inlineStr">
        <is>
          <t>Климатический район и подрайон</t>
        </is>
      </c>
      <c r="D14" s="208" t="inlineStr">
        <is>
          <t>IВ</t>
        </is>
      </c>
      <c r="E14" s="136" t="n"/>
      <c r="F14" s="136" t="n"/>
    </row>
    <row r="15">
      <c r="B15" s="208" t="n">
        <v>4</v>
      </c>
      <c r="C15" s="136" t="inlineStr">
        <is>
          <t>Мощность объекта</t>
        </is>
      </c>
      <c r="D15" s="208" t="n">
        <v>1</v>
      </c>
      <c r="E15" s="129" t="n"/>
      <c r="F15" s="129" t="n"/>
    </row>
    <row r="16" ht="94.5" customHeight="1" s="190">
      <c r="B16" s="208" t="n">
        <v>5</v>
      </c>
      <c r="C16" s="13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8" t="inlineStr">
        <is>
          <t>Шкаф с зарядно-подзарядными устройствами, 200 А - 1 шт</t>
        </is>
      </c>
      <c r="E16" s="136" t="n"/>
      <c r="F16" s="136" t="n"/>
    </row>
    <row r="17" ht="78.75" customHeight="1" s="190">
      <c r="B17" s="208" t="n">
        <v>6</v>
      </c>
      <c r="C17" s="13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8" t="n">
        <v>2003.980285</v>
      </c>
      <c r="E17" s="138" t="n"/>
      <c r="F17" s="138" t="n"/>
    </row>
    <row r="18">
      <c r="B18" s="139" t="inlineStr">
        <is>
          <t>6.1</t>
        </is>
      </c>
      <c r="C18" s="136" t="inlineStr">
        <is>
          <t>строительно-монтажные работы</t>
        </is>
      </c>
      <c r="D18" s="138" t="n">
        <v>51.87169</v>
      </c>
      <c r="E18" s="138" t="n"/>
      <c r="F18" s="138" t="n"/>
    </row>
    <row r="19" ht="15.75" customHeight="1" s="190">
      <c r="B19" s="139" t="inlineStr">
        <is>
          <t>6.2</t>
        </is>
      </c>
      <c r="C19" s="136" t="inlineStr">
        <is>
          <t>оборудование и инвентарь</t>
        </is>
      </c>
      <c r="D19" s="138" t="n">
        <v>1952.108595</v>
      </c>
      <c r="E19" s="138" t="n"/>
      <c r="F19" s="138" t="n"/>
    </row>
    <row r="20" ht="16.5" customHeight="1" s="190">
      <c r="B20" s="139" t="inlineStr">
        <is>
          <t>6.3</t>
        </is>
      </c>
      <c r="C20" s="136" t="inlineStr">
        <is>
          <t>пусконаладочные работы</t>
        </is>
      </c>
      <c r="D20" s="138" t="n"/>
      <c r="E20" s="138" t="n"/>
      <c r="F20" s="138" t="n"/>
    </row>
    <row r="21" ht="35.45" customHeight="1" s="190">
      <c r="B21" s="139" t="inlineStr">
        <is>
          <t>6.4</t>
        </is>
      </c>
      <c r="C21" s="140" t="inlineStr">
        <is>
          <t>прочие и лимитированные затраты</t>
        </is>
      </c>
      <c r="D21" s="138" t="n"/>
      <c r="E21" s="138" t="n"/>
      <c r="F21" s="138" t="n"/>
    </row>
    <row r="22">
      <c r="B22" s="208" t="n">
        <v>7</v>
      </c>
      <c r="C22" s="140" t="inlineStr">
        <is>
          <t>Сопоставимый уровень цен</t>
        </is>
      </c>
      <c r="D22" s="208" t="inlineStr">
        <is>
          <t>2 кв 2019</t>
        </is>
      </c>
      <c r="E22" s="208" t="n"/>
      <c r="F22" s="138" t="n"/>
    </row>
    <row r="23" ht="123" customHeight="1" s="190">
      <c r="B23" s="208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8" t="n">
        <v>2003.980285</v>
      </c>
      <c r="E23" s="138" t="n"/>
      <c r="F23" s="300" t="n"/>
    </row>
    <row r="24" ht="60.75" customHeight="1" s="190">
      <c r="B24" s="208" t="n">
        <v>9</v>
      </c>
      <c r="C24" s="137" t="inlineStr">
        <is>
          <t>Приведенная сметная стоимость на единицу мощности, тыс. руб. (строка 8/строку 4)</t>
        </is>
      </c>
      <c r="D24" s="138" t="n">
        <v>2003.980285</v>
      </c>
      <c r="E24" s="138" t="n"/>
      <c r="F24" s="138" t="n"/>
    </row>
    <row r="25" ht="164.25" customHeight="1" s="190">
      <c r="B25" s="208" t="n">
        <v>10</v>
      </c>
      <c r="C25" s="136" t="inlineStr">
        <is>
          <t>Примечание</t>
        </is>
      </c>
      <c r="D25" s="136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шт</t>
        </is>
      </c>
      <c r="E25" s="136" t="n"/>
      <c r="F25" s="136" t="n"/>
    </row>
    <row r="26">
      <c r="B26" s="143" t="n"/>
      <c r="C26" s="144" t="n"/>
      <c r="D26" s="144" t="n"/>
      <c r="E26" s="144" t="n"/>
      <c r="F26" s="144" t="n"/>
    </row>
    <row r="27" ht="37.5" customHeight="1" s="190">
      <c r="B27" s="123" t="n"/>
    </row>
    <row r="28">
      <c r="B28" s="192" t="inlineStr">
        <is>
          <t>Составил ______________________        Д.Ю. Нефедова</t>
        </is>
      </c>
    </row>
    <row r="29">
      <c r="B29" s="123" t="inlineStr">
        <is>
          <t xml:space="preserve">                         (подпись, инициалы, фамилия)</t>
        </is>
      </c>
    </row>
    <row r="31">
      <c r="B31" s="192" t="inlineStr">
        <is>
          <t>Проверил ______________________        А.В. Костянецкая</t>
        </is>
      </c>
    </row>
    <row r="32">
      <c r="B32" s="123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9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6"/>
  <sheetViews>
    <sheetView view="pageBreakPreview" zoomScale="70" zoomScaleNormal="70" workbookViewId="0">
      <selection activeCell="E43" sqref="E43:E44"/>
    </sheetView>
  </sheetViews>
  <sheetFormatPr baseColWidth="8" defaultColWidth="9.140625" defaultRowHeight="15.75"/>
  <cols>
    <col width="5.5703125" customWidth="1" style="192" min="1" max="1"/>
    <col width="9.140625" customWidth="1" style="192" min="2" max="2"/>
    <col width="35.28515625" customWidth="1" style="192" min="3" max="3"/>
    <col width="13.85546875" customWidth="1" style="192" min="4" max="4"/>
    <col width="24.85546875" customWidth="1" style="192" min="5" max="5"/>
    <col width="15.5703125" customWidth="1" style="192" min="6" max="6"/>
    <col width="14.85546875" customWidth="1" style="192" min="7" max="7"/>
    <col width="16.7109375" customWidth="1" style="192" min="8" max="8"/>
    <col width="13" customWidth="1" style="192" min="9" max="10"/>
    <col width="18" customWidth="1" style="192" min="11" max="11"/>
    <col width="9.140625" customWidth="1" style="192" min="12" max="12"/>
  </cols>
  <sheetData>
    <row r="3">
      <c r="B3" s="203" t="inlineStr">
        <is>
          <t>Приложение № 2</t>
        </is>
      </c>
      <c r="K3" s="123" t="n"/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134" t="n"/>
      <c r="C5" s="134" t="n"/>
      <c r="D5" s="134" t="n"/>
      <c r="E5" s="134" t="n"/>
      <c r="F5" s="134" t="n"/>
      <c r="G5" s="134" t="n"/>
      <c r="H5" s="134" t="n"/>
      <c r="I5" s="134" t="n"/>
      <c r="J5" s="134" t="n"/>
      <c r="K5" s="134" t="n"/>
    </row>
    <row r="6" ht="30.2" customHeight="1" s="190">
      <c r="B6" s="207" t="inlineStr">
        <is>
          <t>Наименование разрабатываемого показателя УНЦ — Системы оперативного постоянного тока и собственных нужд ПС. Шкаф с зарядно-подзарядными устройствами, номинальный ток 200 А</t>
        </is>
      </c>
      <c r="K6" s="123" t="n"/>
      <c r="L6" s="152" t="n"/>
    </row>
    <row r="7" ht="15.75" customHeight="1" s="190">
      <c r="B7" s="205" t="inlineStr">
        <is>
          <t>Единица измерения  — 1 шт</t>
        </is>
      </c>
      <c r="L7" s="152" t="n"/>
    </row>
    <row r="8">
      <c r="B8" s="205" t="n"/>
    </row>
    <row r="9" ht="15.75" customHeight="1" s="190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301" t="n"/>
      <c r="F9" s="301" t="n"/>
      <c r="G9" s="301" t="n"/>
      <c r="H9" s="301" t="n"/>
      <c r="I9" s="301" t="n"/>
      <c r="J9" s="302" t="n"/>
    </row>
    <row r="10" ht="15.75" customHeight="1" s="190">
      <c r="B10" s="303" t="n"/>
      <c r="C10" s="303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2 кв. 2019 г., тыс. руб.</t>
        </is>
      </c>
      <c r="G10" s="301" t="n"/>
      <c r="H10" s="301" t="n"/>
      <c r="I10" s="301" t="n"/>
      <c r="J10" s="302" t="n"/>
    </row>
    <row r="11" ht="31.5" customHeight="1" s="190">
      <c r="B11" s="304" t="n"/>
      <c r="C11" s="304" t="n"/>
      <c r="D11" s="304" t="n"/>
      <c r="E11" s="304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109.5" customHeight="1" s="190">
      <c r="B12" s="151" t="n">
        <v>1</v>
      </c>
      <c r="C12" s="174" t="inlineStr">
        <is>
          <t>Шкаф с зарядно-подзарядными устройствами, 200 А - 1 шт</t>
        </is>
      </c>
      <c r="D12" s="145" t="inlineStr">
        <is>
          <t>1.02-03-11</t>
        </is>
      </c>
      <c r="E12" s="136" t="inlineStr">
        <is>
          <t xml:space="preserve">I этап. Здание ЗРУ 220 кВ, совмещенное с ОПУ. Электротехнические решения. Основное оборудование </t>
        </is>
      </c>
      <c r="F12" s="186" t="n"/>
      <c r="G12" s="185" t="n">
        <v>51.87169</v>
      </c>
      <c r="H12" s="185" t="n">
        <v>1952.108595</v>
      </c>
      <c r="I12" s="146" t="n"/>
      <c r="J12" s="147" t="n">
        <v>2003.980285</v>
      </c>
    </row>
    <row r="13" ht="15.75" customHeight="1" s="190">
      <c r="B13" s="206" t="inlineStr">
        <is>
          <t>Всего по объекту:</t>
        </is>
      </c>
      <c r="C13" s="301" t="n"/>
      <c r="D13" s="301" t="n"/>
      <c r="E13" s="302" t="n"/>
      <c r="F13" s="148" t="n">
        <v>0</v>
      </c>
      <c r="G13" s="148" t="n">
        <v>51.87169</v>
      </c>
      <c r="H13" s="148" t="n">
        <v>1952.108595</v>
      </c>
      <c r="I13" s="149" t="n"/>
      <c r="J13" s="150" t="n">
        <v>2003.980285</v>
      </c>
    </row>
    <row r="14" ht="28.5" customHeight="1" s="190">
      <c r="B14" s="206" t="inlineStr">
        <is>
          <t>Всего по объекту в сопоставимом уровне цен 2 кв. 2019 г:</t>
        </is>
      </c>
      <c r="C14" s="301" t="n"/>
      <c r="D14" s="301" t="n"/>
      <c r="E14" s="302" t="n"/>
      <c r="F14" s="148" t="n">
        <v>0</v>
      </c>
      <c r="G14" s="148" t="n">
        <v>51.87169</v>
      </c>
      <c r="H14" s="148" t="n">
        <v>1952.108595</v>
      </c>
      <c r="I14" s="149" t="n"/>
      <c r="J14" s="150" t="n">
        <v>2003.980285</v>
      </c>
    </row>
    <row r="15">
      <c r="B15" s="205" t="n"/>
    </row>
    <row r="18">
      <c r="B18" s="214" t="inlineStr">
        <is>
          <t>*</t>
        </is>
      </c>
      <c r="C18" s="192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92" t="inlineStr">
        <is>
          <t>Составил ______________________        Д.Ю. Нефедова</t>
        </is>
      </c>
    </row>
    <row r="23">
      <c r="B23" s="123" t="inlineStr">
        <is>
          <t xml:space="preserve">                         (подпись, инициалы, фамилия)</t>
        </is>
      </c>
    </row>
    <row r="25">
      <c r="B25" s="192" t="inlineStr">
        <is>
          <t>Проверил ______________________        А.В. Костянецкая</t>
        </is>
      </c>
    </row>
    <row r="26">
      <c r="B26" s="123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zoomScale="85" workbookViewId="0">
      <selection activeCell="C30" sqref="C30"/>
    </sheetView>
  </sheetViews>
  <sheetFormatPr baseColWidth="8" defaultColWidth="9.140625" defaultRowHeight="15.75"/>
  <cols>
    <col width="9.140625" customWidth="1" style="192" min="1" max="1"/>
    <col width="12.5703125" customWidth="1" style="192" min="2" max="2"/>
    <col width="22.42578125" customWidth="1" style="192" min="3" max="3"/>
    <col width="49.7109375" customWidth="1" style="192" min="4" max="4"/>
    <col width="10.140625" customWidth="1" style="172" min="5" max="5"/>
    <col width="20.7109375" customWidth="1" style="192" min="6" max="6"/>
    <col width="16.140625" customWidth="1" style="192" min="7" max="7"/>
    <col width="16.7109375" customWidth="1" style="192" min="8" max="8"/>
    <col width="9.140625" customWidth="1" style="192" min="9" max="10"/>
    <col width="14" customWidth="1" style="192" min="11" max="11"/>
    <col width="9.140625" customWidth="1" style="192" min="12" max="12"/>
  </cols>
  <sheetData>
    <row r="2">
      <c r="A2" s="203" t="inlineStr">
        <is>
          <t xml:space="preserve">Приложение № 3 </t>
        </is>
      </c>
    </row>
    <row r="3">
      <c r="A3" s="204" t="inlineStr">
        <is>
          <t>Объектная ресурсная ведомость</t>
        </is>
      </c>
    </row>
    <row r="4">
      <c r="A4" s="205" t="n"/>
    </row>
    <row r="5" ht="41.25" customHeight="1" s="190">
      <c r="A5" s="207" t="inlineStr">
        <is>
          <t xml:space="preserve">Наименование разрабатываемого показателя УНЦ - Системы оперативного постоянного тока и собственных нужд ПС. Шкаф с зарядно-подзарядными устройствами, номинальный ток 200 А </t>
        </is>
      </c>
    </row>
    <row r="6" s="190">
      <c r="A6" s="207" t="n"/>
      <c r="B6" s="207" t="n"/>
      <c r="C6" s="207" t="n"/>
      <c r="D6" s="207" t="n"/>
      <c r="E6" s="207" t="n"/>
      <c r="F6" s="207" t="n"/>
      <c r="G6" s="207" t="n"/>
      <c r="H6" s="207" t="n"/>
      <c r="I6" s="192" t="n"/>
      <c r="J6" s="192" t="n"/>
      <c r="K6" s="192" t="n"/>
      <c r="L6" s="192" t="n"/>
    </row>
    <row r="7" s="190">
      <c r="A7" s="207" t="n"/>
      <c r="B7" s="207" t="n"/>
      <c r="C7" s="207" t="n"/>
      <c r="D7" s="207" t="n"/>
      <c r="E7" s="207" t="n"/>
      <c r="F7" s="207" t="n"/>
      <c r="G7" s="207" t="n"/>
      <c r="H7" s="207" t="n"/>
      <c r="I7" s="192" t="n"/>
      <c r="J7" s="192" t="n"/>
      <c r="K7" s="192" t="n"/>
      <c r="L7" s="192" t="n"/>
    </row>
    <row r="8">
      <c r="A8" s="173" t="n"/>
      <c r="B8" s="173" t="n"/>
      <c r="C8" s="173" t="n"/>
      <c r="D8" s="173" t="n"/>
      <c r="E8" s="134" t="n"/>
      <c r="F8" s="173" t="n"/>
      <c r="G8" s="173" t="n"/>
      <c r="H8" s="173" t="n"/>
    </row>
    <row r="9" ht="38.25" customHeight="1" s="190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302" t="n"/>
    </row>
    <row r="10" ht="40.7" customHeight="1" s="190">
      <c r="A10" s="304" t="n"/>
      <c r="B10" s="304" t="n"/>
      <c r="C10" s="304" t="n"/>
      <c r="D10" s="304" t="n"/>
      <c r="E10" s="304" t="n"/>
      <c r="F10" s="304" t="n"/>
      <c r="G10" s="208" t="inlineStr">
        <is>
          <t>на ед.изм.</t>
        </is>
      </c>
      <c r="H10" s="208" t="inlineStr">
        <is>
          <t>общая</t>
        </is>
      </c>
    </row>
    <row r="11">
      <c r="A11" s="174" t="n">
        <v>1</v>
      </c>
      <c r="B11" s="174" t="n"/>
      <c r="C11" s="174" t="n">
        <v>2</v>
      </c>
      <c r="D11" s="174" t="inlineStr">
        <is>
          <t>З</t>
        </is>
      </c>
      <c r="E11" s="174" t="n">
        <v>4</v>
      </c>
      <c r="F11" s="174" t="n">
        <v>5</v>
      </c>
      <c r="G11" s="174" t="n">
        <v>6</v>
      </c>
      <c r="H11" s="174" t="n">
        <v>7</v>
      </c>
    </row>
    <row r="12" customFormat="1" s="176">
      <c r="A12" s="209" t="inlineStr">
        <is>
          <t>Затраты труда рабочих</t>
        </is>
      </c>
      <c r="B12" s="301" t="n"/>
      <c r="C12" s="301" t="n"/>
      <c r="D12" s="301" t="n"/>
      <c r="E12" s="302" t="n"/>
      <c r="F12" s="175" t="n">
        <v>3.708</v>
      </c>
      <c r="G12" s="175" t="n"/>
      <c r="H12" s="175">
        <f>SUM(H13:H13)</f>
        <v/>
      </c>
    </row>
    <row r="13">
      <c r="A13" s="210" t="n">
        <v>1</v>
      </c>
      <c r="B13" s="178" t="inlineStr">
        <is>
          <t> </t>
        </is>
      </c>
      <c r="C13" s="179" t="inlineStr">
        <is>
          <t>1-4-2</t>
        </is>
      </c>
      <c r="D13" s="211" t="inlineStr">
        <is>
          <t>Затраты труда рабочих (ср 4,2)</t>
        </is>
      </c>
      <c r="E13" s="181" t="inlineStr">
        <is>
          <t>чел.-ч</t>
        </is>
      </c>
      <c r="F13" s="210" t="n">
        <v>3.708</v>
      </c>
      <c r="G13" s="182" t="n">
        <v>9.92</v>
      </c>
      <c r="H13" s="182">
        <f>ROUND(F13*G13,2)</f>
        <v/>
      </c>
      <c r="L13" s="305" t="n"/>
    </row>
    <row r="14">
      <c r="A14" s="209" t="inlineStr">
        <is>
          <t>Затраты труда машинистов</t>
        </is>
      </c>
      <c r="B14" s="301" t="n"/>
      <c r="C14" s="301" t="n"/>
      <c r="D14" s="301" t="n"/>
      <c r="E14" s="302" t="n"/>
      <c r="F14" s="209" t="n">
        <v>1.104</v>
      </c>
      <c r="G14" s="175" t="n"/>
      <c r="H14" s="175">
        <f>H15</f>
        <v/>
      </c>
    </row>
    <row r="15">
      <c r="A15" s="210" t="n">
        <v>2</v>
      </c>
      <c r="B15" s="210" t="inlineStr">
        <is>
          <t> </t>
        </is>
      </c>
      <c r="C15" s="211" t="n">
        <v>2</v>
      </c>
      <c r="D15" s="211" t="inlineStr">
        <is>
          <t>Затраты труда машинистов</t>
        </is>
      </c>
      <c r="E15" s="181" t="inlineStr">
        <is>
          <t>чел.-ч</t>
        </is>
      </c>
      <c r="F15" s="210" t="n">
        <v>1.104</v>
      </c>
      <c r="G15" s="182" t="n">
        <v>0</v>
      </c>
      <c r="H15" s="182" t="n">
        <v>13.85</v>
      </c>
    </row>
    <row r="16" customFormat="1" s="176">
      <c r="A16" s="209" t="inlineStr">
        <is>
          <t>Машины и механизмы</t>
        </is>
      </c>
      <c r="B16" s="301" t="n"/>
      <c r="C16" s="301" t="n"/>
      <c r="D16" s="301" t="n"/>
      <c r="E16" s="302" t="n"/>
      <c r="F16" s="209" t="n"/>
      <c r="G16" s="175" t="n"/>
      <c r="H16" s="175">
        <f>SUM(H17:H19)</f>
        <v/>
      </c>
    </row>
    <row r="17" ht="31.5" customHeight="1" s="190">
      <c r="A17" s="210" t="n">
        <v>3</v>
      </c>
      <c r="B17" s="210" t="inlineStr">
        <is>
          <t> </t>
        </is>
      </c>
      <c r="C17" s="211" t="inlineStr">
        <is>
          <t>91.05.05-015</t>
        </is>
      </c>
      <c r="D17" s="211" t="inlineStr">
        <is>
          <t>Краны на автомобильном ходу, грузоподъемность 16 т</t>
        </is>
      </c>
      <c r="E17" s="181" t="inlineStr">
        <is>
          <t>маш.час</t>
        </is>
      </c>
      <c r="F17" s="210" t="n">
        <v>0.552</v>
      </c>
      <c r="G17" s="182" t="n">
        <v>115.4</v>
      </c>
      <c r="H17" s="182">
        <f>ROUND(F17*G17,2)</f>
        <v/>
      </c>
      <c r="J17" s="127" t="n"/>
    </row>
    <row r="18" customFormat="1" s="176">
      <c r="A18" s="210" t="n">
        <v>4</v>
      </c>
      <c r="B18" s="210" t="inlineStr">
        <is>
          <t> </t>
        </is>
      </c>
      <c r="C18" s="211" t="inlineStr">
        <is>
          <t>91.14.02-001</t>
        </is>
      </c>
      <c r="D18" s="211" t="inlineStr">
        <is>
          <t>Автомобили бортовые, грузоподъемность до 5 т</t>
        </is>
      </c>
      <c r="E18" s="181" t="inlineStr">
        <is>
          <t>маш.час</t>
        </is>
      </c>
      <c r="F18" s="210" t="n">
        <v>0.552</v>
      </c>
      <c r="G18" s="182" t="n">
        <v>65.70999999999999</v>
      </c>
      <c r="H18" s="182">
        <f>ROUND(F18*G18,2)</f>
        <v/>
      </c>
      <c r="J18" s="127" t="n"/>
      <c r="K18" s="127" t="n"/>
    </row>
    <row r="19" ht="31.5" customFormat="1" customHeight="1" s="176">
      <c r="A19" s="210" t="n">
        <v>5</v>
      </c>
      <c r="B19" s="210" t="inlineStr">
        <is>
          <t> </t>
        </is>
      </c>
      <c r="C19" s="211" t="inlineStr">
        <is>
          <t>91.17.04-233</t>
        </is>
      </c>
      <c r="D19" s="211" t="inlineStr">
        <is>
          <t>Установки для сварки ручной дуговой (постоянного тока)</t>
        </is>
      </c>
      <c r="E19" s="181" t="inlineStr">
        <is>
          <t>маш.час</t>
        </is>
      </c>
      <c r="F19" s="210" t="n">
        <v>1.392</v>
      </c>
      <c r="G19" s="182" t="n">
        <v>8.1</v>
      </c>
      <c r="H19" s="182">
        <f>ROUND(F19*G19,2)</f>
        <v/>
      </c>
      <c r="J19" s="127" t="n"/>
    </row>
    <row r="20">
      <c r="A20" s="209" t="inlineStr">
        <is>
          <t>Оборудование</t>
        </is>
      </c>
      <c r="B20" s="301" t="n"/>
      <c r="C20" s="301" t="n"/>
      <c r="D20" s="301" t="n"/>
      <c r="E20" s="302" t="n"/>
      <c r="F20" s="209" t="n"/>
      <c r="G20" s="175" t="n"/>
      <c r="H20" s="175">
        <f>SUM(H21:H21)</f>
        <v/>
      </c>
    </row>
    <row r="21" ht="32.25" customFormat="1" customHeight="1" s="176">
      <c r="A21" s="210" t="n">
        <v>6</v>
      </c>
      <c r="B21" s="210" t="inlineStr">
        <is>
          <t> </t>
        </is>
      </c>
      <c r="C21" s="211" t="inlineStr">
        <is>
          <t>Прайс из СД ОП</t>
        </is>
      </c>
      <c r="D21" s="211" t="inlineStr">
        <is>
          <t>Шкаф с зарядно-подзарядными устройствами, 200 А</t>
        </is>
      </c>
      <c r="E21" s="181" t="inlineStr">
        <is>
          <t>шт.</t>
        </is>
      </c>
      <c r="F21" s="210" t="n">
        <v>1</v>
      </c>
      <c r="G21" s="182" t="n">
        <v>419808.3</v>
      </c>
      <c r="H21" s="182">
        <f>ROUND(F21*G21,2)</f>
        <v/>
      </c>
      <c r="K21" s="127" t="n"/>
    </row>
    <row r="22">
      <c r="A22" s="209" t="inlineStr">
        <is>
          <t>Материалы</t>
        </is>
      </c>
      <c r="B22" s="301" t="n"/>
      <c r="C22" s="301" t="n"/>
      <c r="D22" s="301" t="n"/>
      <c r="E22" s="302" t="n"/>
      <c r="F22" s="209" t="n"/>
      <c r="G22" s="175" t="n"/>
      <c r="H22" s="175">
        <f>SUM(H23:H28)</f>
        <v/>
      </c>
    </row>
    <row r="23">
      <c r="A23" s="210" t="n">
        <v>7</v>
      </c>
      <c r="B23" s="210" t="inlineStr">
        <is>
          <t> </t>
        </is>
      </c>
      <c r="C23" s="211" t="inlineStr">
        <is>
          <t>01.7.15.03-0042</t>
        </is>
      </c>
      <c r="D23" s="211" t="inlineStr">
        <is>
          <t>Болты с гайками и шайбами строительные</t>
        </is>
      </c>
      <c r="E23" s="181" t="inlineStr">
        <is>
          <t>кг</t>
        </is>
      </c>
      <c r="F23" s="210" t="n">
        <v>0.306</v>
      </c>
      <c r="G23" s="182" t="n">
        <v>9.039999999999999</v>
      </c>
      <c r="H23" s="182">
        <f>ROUND(F23*G23,2)</f>
        <v/>
      </c>
      <c r="J23" s="127" t="n"/>
    </row>
    <row r="24">
      <c r="A24" s="210" t="n">
        <v>8</v>
      </c>
      <c r="B24" s="210" t="inlineStr">
        <is>
          <t> </t>
        </is>
      </c>
      <c r="C24" s="211" t="inlineStr">
        <is>
          <t>14.4.02.09-0001</t>
        </is>
      </c>
      <c r="D24" s="211" t="inlineStr">
        <is>
          <t>Краска</t>
        </is>
      </c>
      <c r="E24" s="181" t="inlineStr">
        <is>
          <t>кг</t>
        </is>
      </c>
      <c r="F24" s="210" t="n">
        <v>0.09</v>
      </c>
      <c r="G24" s="182" t="n">
        <v>28.6</v>
      </c>
      <c r="H24" s="182">
        <f>ROUND(F24*G24,2)</f>
        <v/>
      </c>
      <c r="J24" s="127" t="n"/>
    </row>
    <row r="25">
      <c r="A25" s="210" t="n">
        <v>9</v>
      </c>
      <c r="B25" s="210" t="inlineStr">
        <is>
          <t> </t>
        </is>
      </c>
      <c r="C25" s="211" t="inlineStr">
        <is>
          <t>20.1.02.23-0082</t>
        </is>
      </c>
      <c r="D25" s="211" t="inlineStr">
        <is>
          <t>Перемычки гибкие, тип ПГС-50</t>
        </is>
      </c>
      <c r="E25" s="181" t="inlineStr">
        <is>
          <t>10 шт</t>
        </is>
      </c>
      <c r="F25" s="210" t="n">
        <v>0.06</v>
      </c>
      <c r="G25" s="182" t="n">
        <v>39</v>
      </c>
      <c r="H25" s="182">
        <f>ROUND(F25*G25,2)</f>
        <v/>
      </c>
      <c r="J25" s="127" t="n"/>
    </row>
    <row r="26">
      <c r="A26" s="210" t="n">
        <v>10</v>
      </c>
      <c r="B26" s="210" t="inlineStr">
        <is>
          <t> </t>
        </is>
      </c>
      <c r="C26" s="211" t="inlineStr">
        <is>
          <t>01.7.11.07-0034</t>
        </is>
      </c>
      <c r="D26" s="211" t="inlineStr">
        <is>
          <t>Электроды сварочные Э42А, диаметр 4 мм</t>
        </is>
      </c>
      <c r="E26" s="181" t="inlineStr">
        <is>
          <t>кг</t>
        </is>
      </c>
      <c r="F26" s="210" t="n">
        <v>0.12</v>
      </c>
      <c r="G26" s="182" t="n">
        <v>10.57</v>
      </c>
      <c r="H26" s="182">
        <f>ROUND(F26*G26,2)</f>
        <v/>
      </c>
      <c r="J26" s="127" t="n"/>
    </row>
    <row r="27" ht="31.5" customHeight="1" s="190">
      <c r="A27" s="210" t="n">
        <v>11</v>
      </c>
      <c r="B27" s="210" t="inlineStr">
        <is>
          <t> </t>
        </is>
      </c>
      <c r="C27" s="211" t="inlineStr">
        <is>
          <t>08.3.07.01-0076</t>
        </is>
      </c>
      <c r="D27" s="211" t="inlineStr">
        <is>
          <t>Прокат полосовой, горячекатаный, марка стали Ст3сп, ширина 50-200 мм, толщина 4-5 мм</t>
        </is>
      </c>
      <c r="E27" s="181" t="inlineStr">
        <is>
          <t>т</t>
        </is>
      </c>
      <c r="F27" s="210" t="n">
        <v>0.00024</v>
      </c>
      <c r="G27" s="182" t="n">
        <v>5000</v>
      </c>
      <c r="H27" s="182">
        <f>ROUND(F27*G27,2)</f>
        <v/>
      </c>
      <c r="J27" s="127" t="n"/>
      <c r="K27" s="127" t="n"/>
    </row>
    <row r="28" ht="31.5" customHeight="1" s="190">
      <c r="A28" s="210" t="n">
        <v>12</v>
      </c>
      <c r="B28" s="210" t="inlineStr">
        <is>
          <t> </t>
        </is>
      </c>
      <c r="C28" s="211" t="inlineStr">
        <is>
          <t>999-9950</t>
        </is>
      </c>
      <c r="D28" s="211" t="inlineStr">
        <is>
          <t>Вспомогательные ненормируемые ресурсы (2% от Оплаты труда рабочих)</t>
        </is>
      </c>
      <c r="E28" s="181" t="inlineStr">
        <is>
          <t>руб</t>
        </is>
      </c>
      <c r="F28" s="210" t="n">
        <v>0.738</v>
      </c>
      <c r="G28" s="182" t="n">
        <v>1</v>
      </c>
      <c r="H28" s="182">
        <f>ROUND(F28*G28,2)</f>
        <v/>
      </c>
      <c r="J28" s="127" t="n"/>
    </row>
    <row r="31">
      <c r="B31" s="192" t="inlineStr">
        <is>
          <t>Составил ______________________        Д.Ю. Нефедова</t>
        </is>
      </c>
    </row>
    <row r="32">
      <c r="B32" s="123" t="inlineStr">
        <is>
          <t xml:space="preserve">                         (подпись, инициалы, фамилия)</t>
        </is>
      </c>
    </row>
    <row r="34">
      <c r="B34" s="192" t="inlineStr">
        <is>
          <t>Проверил ______________________        А.В. Костянецкая</t>
        </is>
      </c>
    </row>
    <row r="35">
      <c r="B35" s="12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0:E2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30" workbookViewId="0">
      <selection activeCell="B43" sqref="B43"/>
    </sheetView>
  </sheetViews>
  <sheetFormatPr baseColWidth="8" defaultColWidth="9.140625" defaultRowHeight="15"/>
  <cols>
    <col width="4.140625" customWidth="1" style="190" min="1" max="1"/>
    <col width="36.28515625" customWidth="1" style="190" min="2" max="2"/>
    <col width="18.85546875" customWidth="1" style="190" min="3" max="3"/>
    <col width="18.28515625" customWidth="1" style="190" min="4" max="4"/>
    <col width="18.85546875" customWidth="1" style="190" min="5" max="5"/>
    <col width="11.42578125" customWidth="1" style="190" min="6" max="6"/>
    <col width="13.5703125" customWidth="1" style="190" min="11" max="11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6" t="inlineStr">
        <is>
          <t>Ресурсная модель</t>
        </is>
      </c>
    </row>
    <row r="6">
      <c r="B6" s="130" t="n"/>
      <c r="C6" s="4" t="n"/>
      <c r="D6" s="4" t="n"/>
      <c r="E6" s="4" t="n"/>
    </row>
    <row r="7" ht="37.5" customHeight="1" s="190">
      <c r="B7" s="212" t="inlineStr">
        <is>
          <t xml:space="preserve">Наименование разрабатываемого показателя УНЦ — Системы оперативного постоянного тока и собственных нужд ПС. Шкаф с зарядно-подзарядными устройствами, номинальный ток 200 А </t>
        </is>
      </c>
    </row>
    <row r="8">
      <c r="B8" s="213" t="inlineStr">
        <is>
          <t>Единица измерения  — 1 шт</t>
        </is>
      </c>
    </row>
    <row r="9">
      <c r="B9" s="130" t="n"/>
      <c r="C9" s="4" t="n"/>
      <c r="D9" s="4" t="n"/>
      <c r="E9" s="4" t="n"/>
    </row>
    <row r="10" ht="51" customHeight="1" s="190">
      <c r="B10" s="217" t="inlineStr">
        <is>
          <t>Наименование</t>
        </is>
      </c>
      <c r="C10" s="217" t="inlineStr">
        <is>
          <t>Сметная стоимость в ценах на 01.01.2023
 (руб.)</t>
        </is>
      </c>
      <c r="D10" s="217" t="inlineStr">
        <is>
          <t>Удельный вес, 
(в СМР)</t>
        </is>
      </c>
      <c r="E10" s="217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17">
        <f>'Прил.5 Расчет СМР и ОБ'!J14</f>
        <v/>
      </c>
      <c r="D11" s="118">
        <f>C11/$C$24</f>
        <v/>
      </c>
      <c r="E11" s="118">
        <f>C11/$C$40</f>
        <v/>
      </c>
    </row>
    <row r="12">
      <c r="B12" s="116" t="inlineStr">
        <is>
          <t>Эксплуатация машин основных</t>
        </is>
      </c>
      <c r="C12" s="117">
        <f>'Прил.5 Расчет СМР и ОБ'!J21</f>
        <v/>
      </c>
      <c r="D12" s="118">
        <f>C12/$C$24</f>
        <v/>
      </c>
      <c r="E12" s="118">
        <f>C12/$C$40</f>
        <v/>
      </c>
    </row>
    <row r="13">
      <c r="B13" s="116" t="inlineStr">
        <is>
          <t>Эксплуатация машин прочих</t>
        </is>
      </c>
      <c r="C13" s="117">
        <f>'Прил.5 Расчет СМР и ОБ'!J23</f>
        <v/>
      </c>
      <c r="D13" s="118">
        <f>C13/$C$24</f>
        <v/>
      </c>
      <c r="E13" s="118">
        <f>C13/$C$40</f>
        <v/>
      </c>
    </row>
    <row r="14">
      <c r="B14" s="116" t="inlineStr">
        <is>
          <t>ЭКСПЛУАТАЦИЯ МАШИН, ВСЕГО:</t>
        </is>
      </c>
      <c r="C14" s="117">
        <f>C13+C12</f>
        <v/>
      </c>
      <c r="D14" s="118">
        <f>C14/$C$24</f>
        <v/>
      </c>
      <c r="E14" s="118">
        <f>C14/$C$40</f>
        <v/>
      </c>
    </row>
    <row r="15">
      <c r="B15" s="116" t="inlineStr">
        <is>
          <t>в том числе зарплата машинистов</t>
        </is>
      </c>
      <c r="C15" s="117">
        <f>'Прил.5 Расчет СМР и ОБ'!J16</f>
        <v/>
      </c>
      <c r="D15" s="118">
        <f>C15/$C$24</f>
        <v/>
      </c>
      <c r="E15" s="118">
        <f>C15/$C$40</f>
        <v/>
      </c>
    </row>
    <row r="16">
      <c r="B16" s="116" t="inlineStr">
        <is>
          <t>Материалы основные</t>
        </is>
      </c>
      <c r="C16" s="117">
        <f>'Прил.5 Расчет СМР и ОБ'!J39</f>
        <v/>
      </c>
      <c r="D16" s="118">
        <f>C16/$C$24</f>
        <v/>
      </c>
      <c r="E16" s="118">
        <f>C16/$C$40</f>
        <v/>
      </c>
    </row>
    <row r="17">
      <c r="B17" s="116" t="inlineStr">
        <is>
          <t>Материалы прочие</t>
        </is>
      </c>
      <c r="C17" s="117">
        <f>'Прил.5 Расчет СМР и ОБ'!J41</f>
        <v/>
      </c>
      <c r="D17" s="118">
        <f>C17/$C$24</f>
        <v/>
      </c>
      <c r="E17" s="118">
        <f>C17/$C$40</f>
        <v/>
      </c>
    </row>
    <row r="18">
      <c r="B18" s="116" t="inlineStr">
        <is>
          <t>МАТЕРИАЛЫ, ВСЕГО:</t>
        </is>
      </c>
      <c r="C18" s="117">
        <f>C17+C16</f>
        <v/>
      </c>
      <c r="D18" s="118">
        <f>C18/$C$24</f>
        <v/>
      </c>
      <c r="E18" s="118">
        <f>C18/$C$40</f>
        <v/>
      </c>
    </row>
    <row r="19">
      <c r="B19" s="116" t="inlineStr">
        <is>
          <t>ИТОГО</t>
        </is>
      </c>
      <c r="C19" s="117">
        <f>C18+C14+C11</f>
        <v/>
      </c>
      <c r="D19" s="118" t="n"/>
      <c r="E19" s="116" t="n"/>
    </row>
    <row r="20">
      <c r="B20" s="116" t="inlineStr">
        <is>
          <t>Сметная прибыль, руб.</t>
        </is>
      </c>
      <c r="C20" s="117">
        <f>ROUND(C21*(C11+C15),2)</f>
        <v/>
      </c>
      <c r="D20" s="118">
        <f>C20/$C$24</f>
        <v/>
      </c>
      <c r="E20" s="118">
        <f>C20/$C$40</f>
        <v/>
      </c>
    </row>
    <row r="21">
      <c r="B21" s="116" t="inlineStr">
        <is>
          <t>Сметная прибыль, %</t>
        </is>
      </c>
      <c r="C21" s="121">
        <f>'Прил.5 Расчет СМР и ОБ'!D45</f>
        <v/>
      </c>
      <c r="D21" s="118" t="n"/>
      <c r="E21" s="116" t="n"/>
    </row>
    <row r="22">
      <c r="B22" s="116" t="inlineStr">
        <is>
          <t>Накладные расходы, руб.</t>
        </is>
      </c>
      <c r="C22" s="117">
        <f>ROUND(C23*(C11+C15),2)</f>
        <v/>
      </c>
      <c r="D22" s="118">
        <f>C22/$C$24</f>
        <v/>
      </c>
      <c r="E22" s="118">
        <f>C22/$C$40</f>
        <v/>
      </c>
    </row>
    <row r="23">
      <c r="B23" s="116" t="inlineStr">
        <is>
          <t>Накладные расходы, %</t>
        </is>
      </c>
      <c r="C23" s="121">
        <f>'Прил.5 Расчет СМР и ОБ'!D44</f>
        <v/>
      </c>
      <c r="D23" s="118" t="n"/>
      <c r="E23" s="116" t="n"/>
    </row>
    <row r="24">
      <c r="B24" s="116" t="inlineStr">
        <is>
          <t>ВСЕГО СМР с НР и СП</t>
        </is>
      </c>
      <c r="C24" s="117">
        <f>C19+C20+C22</f>
        <v/>
      </c>
      <c r="D24" s="118">
        <f>C24/$C$24</f>
        <v/>
      </c>
      <c r="E24" s="118">
        <f>C24/$C$40</f>
        <v/>
      </c>
    </row>
    <row r="25" ht="25.5" customHeight="1" s="190">
      <c r="B25" s="116" t="inlineStr">
        <is>
          <t>ВСЕГО стоимость оборудования, в том числе</t>
        </is>
      </c>
      <c r="C25" s="117">
        <f>'Прил.5 Расчет СМР и ОБ'!J30</f>
        <v/>
      </c>
      <c r="D25" s="118" t="n"/>
      <c r="E25" s="118">
        <f>C25/$C$40</f>
        <v/>
      </c>
    </row>
    <row r="26" ht="25.5" customHeight="1" s="190">
      <c r="B26" s="116" t="inlineStr">
        <is>
          <t>стоимость оборудования технологического</t>
        </is>
      </c>
      <c r="C26" s="117">
        <f>'Прил.5 Расчет СМР и ОБ'!J31</f>
        <v/>
      </c>
      <c r="D26" s="118" t="n"/>
      <c r="E26" s="118">
        <f>C26/$C$40</f>
        <v/>
      </c>
    </row>
    <row r="27">
      <c r="B27" s="116" t="inlineStr">
        <is>
          <t>ИТОГО (СМР + ОБОРУДОВАНИЕ)</t>
        </is>
      </c>
      <c r="C27" s="120">
        <f>C24+C25</f>
        <v/>
      </c>
      <c r="D27" s="118" t="n"/>
      <c r="E27" s="118">
        <f>C27/$C$40</f>
        <v/>
      </c>
    </row>
    <row r="28" ht="33" customHeight="1" s="190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19" t="n"/>
    </row>
    <row r="29" ht="25.5" customHeight="1" s="190">
      <c r="B29" s="116" t="inlineStr">
        <is>
          <t>Временные здания и сооружения - 3,9%</t>
        </is>
      </c>
      <c r="C29" s="120">
        <f>ROUND(C24*3.9%,2)</f>
        <v/>
      </c>
      <c r="D29" s="116" t="n"/>
      <c r="E29" s="118">
        <f>C29/$C$40</f>
        <v/>
      </c>
    </row>
    <row r="30" ht="38.25" customHeight="1" s="190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20">
        <f>ROUND((C24+C29)*2.1%,2)</f>
        <v/>
      </c>
      <c r="D30" s="116" t="n"/>
      <c r="E30" s="118">
        <f>C30/$C$40</f>
        <v/>
      </c>
      <c r="F30" s="119" t="n"/>
    </row>
    <row r="31">
      <c r="B31" s="116" t="inlineStr">
        <is>
          <t>Пусконаладочные работы</t>
        </is>
      </c>
      <c r="C31" s="187" t="n">
        <v>105140</v>
      </c>
      <c r="D31" s="116" t="n"/>
      <c r="E31" s="118">
        <f>C31/$C$40</f>
        <v/>
      </c>
    </row>
    <row r="32" ht="25.5" customHeight="1" s="190">
      <c r="B32" s="116" t="inlineStr">
        <is>
          <t>Затраты по перевозке работников к месту работы и обратно</t>
        </is>
      </c>
      <c r="C32" s="120" t="n">
        <v>0</v>
      </c>
      <c r="D32" s="116" t="n"/>
      <c r="E32" s="118">
        <f>C32/$C$40</f>
        <v/>
      </c>
    </row>
    <row r="33" ht="25.5" customHeight="1" s="190">
      <c r="B33" s="116" t="inlineStr">
        <is>
          <t>Затраты, связанные с осуществлением работ вахтовым методом</t>
        </is>
      </c>
      <c r="C33" s="120" t="n">
        <v>0</v>
      </c>
      <c r="D33" s="116" t="n"/>
      <c r="E33" s="118">
        <f>C33/$C$40</f>
        <v/>
      </c>
    </row>
    <row r="34" ht="51" customHeight="1" s="190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 t="n">
        <v>0</v>
      </c>
      <c r="D34" s="116" t="n"/>
      <c r="E34" s="118">
        <f>C34/$C$40</f>
        <v/>
      </c>
      <c r="G34" s="122" t="n"/>
    </row>
    <row r="35" ht="76.5" customHeight="1" s="190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 t="n">
        <v>0</v>
      </c>
      <c r="D35" s="116" t="n"/>
      <c r="E35" s="118">
        <f>C35/$C$40</f>
        <v/>
      </c>
    </row>
    <row r="36" ht="25.5" customHeight="1" s="190">
      <c r="B36" s="116" t="inlineStr">
        <is>
          <t>Строительный контроль и содержание службы заказчика - 2,14%</t>
        </is>
      </c>
      <c r="C36" s="120">
        <f>ROUND((C27+C32+C33+C34+C35+C29+C31+C30)*2.14%,2)</f>
        <v/>
      </c>
      <c r="D36" s="116" t="n"/>
      <c r="E36" s="118">
        <f>C36/$C$40</f>
        <v/>
      </c>
      <c r="K36" s="119" t="n"/>
    </row>
    <row r="37">
      <c r="B37" s="116" t="inlineStr">
        <is>
          <t>Авторский надзор - 0,2%</t>
        </is>
      </c>
      <c r="C37" s="120">
        <f>ROUND((C27+C32+C33+C34+C35+C29+C31+C30)*0.2%,2)</f>
        <v/>
      </c>
      <c r="D37" s="116" t="n"/>
      <c r="E37" s="118">
        <f>C37/$C$40</f>
        <v/>
      </c>
      <c r="K37" s="119" t="n"/>
    </row>
    <row r="38" ht="38.25" customHeight="1" s="190">
      <c r="B38" s="116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116" t="n"/>
      <c r="E38" s="118">
        <f>C38/$C$40</f>
        <v/>
      </c>
    </row>
    <row r="39" ht="13.7" customHeight="1" s="190">
      <c r="B39" s="116" t="inlineStr">
        <is>
          <t>Непредвиденные расходы</t>
        </is>
      </c>
      <c r="C39" s="117">
        <f>ROUND(C38*3%,2)</f>
        <v/>
      </c>
      <c r="D39" s="116" t="n"/>
      <c r="E39" s="118">
        <f>C39/$C$38</f>
        <v/>
      </c>
    </row>
    <row r="40">
      <c r="B40" s="116" t="inlineStr">
        <is>
          <t>ВСЕГО:</t>
        </is>
      </c>
      <c r="C40" s="117">
        <f>C39+C38</f>
        <v/>
      </c>
      <c r="D40" s="116" t="n"/>
      <c r="E40" s="118">
        <f>C40/$C$40</f>
        <v/>
      </c>
    </row>
    <row r="41">
      <c r="B41" s="116" t="inlineStr">
        <is>
          <t>ИТОГО ПОКАЗАТЕЛЬ НА ЕД. ИЗМ.</t>
        </is>
      </c>
      <c r="C41" s="117">
        <f>C40/'Прил.5 Расчет СМР и ОБ'!E48</f>
        <v/>
      </c>
      <c r="D41" s="116" t="n"/>
      <c r="E41" s="116" t="n"/>
    </row>
    <row r="42">
      <c r="B42" s="125" t="n"/>
      <c r="C42" s="4" t="n"/>
      <c r="D42" s="4" t="n"/>
      <c r="E42" s="4" t="n"/>
    </row>
    <row r="43">
      <c r="B43" s="125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2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25" t="n"/>
      <c r="C45" s="4" t="n"/>
      <c r="D45" s="4" t="n"/>
      <c r="E45" s="4" t="n"/>
    </row>
    <row r="46">
      <c r="B46" s="12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16" zoomScale="85" workbookViewId="0">
      <selection activeCell="B50" sqref="B5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0">
      <c r="H2" s="21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6" t="inlineStr">
        <is>
          <t>Расчет стоимости СМР и оборудования</t>
        </is>
      </c>
    </row>
    <row r="5" ht="12.75" customFormat="1" customHeight="1" s="4">
      <c r="A5" s="196" t="n"/>
      <c r="B5" s="196" t="n"/>
      <c r="C5" s="242" t="n"/>
      <c r="D5" s="196" t="n"/>
      <c r="E5" s="196" t="n"/>
      <c r="F5" s="196" t="n"/>
      <c r="G5" s="196" t="n"/>
      <c r="H5" s="196" t="n"/>
      <c r="I5" s="196" t="n"/>
      <c r="J5" s="196" t="n"/>
    </row>
    <row r="6" ht="25.5" customFormat="1" customHeight="1" s="4">
      <c r="A6" s="163" t="inlineStr">
        <is>
          <t>Наименование разрабатываемого показателя УНЦ</t>
        </is>
      </c>
      <c r="B6" s="164" t="n"/>
      <c r="C6" s="164" t="n"/>
      <c r="D6" s="220" t="inlineStr">
        <is>
          <t xml:space="preserve">Системы оперативного постоянного тока и собственных нужд ПС. Шкаф с зарядно-подзарядными устройствами, номинальный ток 200 А </t>
        </is>
      </c>
    </row>
    <row r="7" ht="12.75" customFormat="1" customHeight="1" s="4">
      <c r="A7" s="199" t="inlineStr">
        <is>
          <t>Единица измерения  — 1 шт</t>
        </is>
      </c>
      <c r="I7" s="212" t="n"/>
      <c r="J7" s="212" t="n"/>
    </row>
    <row r="8" ht="13.7" customFormat="1" customHeight="1" s="4">
      <c r="A8" s="199" t="n"/>
    </row>
    <row r="9" ht="27" customHeight="1" s="190">
      <c r="A9" s="217" t="inlineStr">
        <is>
          <t>№ пп.</t>
        </is>
      </c>
      <c r="B9" s="217" t="inlineStr">
        <is>
          <t>Код ресурса</t>
        </is>
      </c>
      <c r="C9" s="217" t="inlineStr">
        <is>
          <t>Наименование</t>
        </is>
      </c>
      <c r="D9" s="217" t="inlineStr">
        <is>
          <t>Ед. изм.</t>
        </is>
      </c>
      <c r="E9" s="217" t="inlineStr">
        <is>
          <t>Кол-во единиц по проектным данным</t>
        </is>
      </c>
      <c r="F9" s="217" t="inlineStr">
        <is>
          <t>Сметная стоимость в ценах на 01.01.2000 (руб.)</t>
        </is>
      </c>
      <c r="G9" s="302" t="n"/>
      <c r="H9" s="217" t="inlineStr">
        <is>
          <t>Удельный вес, %</t>
        </is>
      </c>
      <c r="I9" s="217" t="inlineStr">
        <is>
          <t>Сметная стоимость в ценах на 01.01.2023 (руб.)</t>
        </is>
      </c>
      <c r="J9" s="302" t="n"/>
      <c r="M9" s="12" t="n"/>
      <c r="N9" s="12" t="n"/>
    </row>
    <row r="10" ht="28.5" customHeight="1" s="190">
      <c r="A10" s="304" t="n"/>
      <c r="B10" s="304" t="n"/>
      <c r="C10" s="304" t="n"/>
      <c r="D10" s="304" t="n"/>
      <c r="E10" s="304" t="n"/>
      <c r="F10" s="217" t="inlineStr">
        <is>
          <t>на ед. изм.</t>
        </is>
      </c>
      <c r="G10" s="217" t="inlineStr">
        <is>
          <t>общая</t>
        </is>
      </c>
      <c r="H10" s="304" t="n"/>
      <c r="I10" s="217" t="inlineStr">
        <is>
          <t>на ед. изм.</t>
        </is>
      </c>
      <c r="J10" s="217" t="inlineStr">
        <is>
          <t>общая</t>
        </is>
      </c>
      <c r="M10" s="12" t="n"/>
      <c r="N10" s="12" t="n"/>
    </row>
    <row r="11">
      <c r="A11" s="217" t="n">
        <v>1</v>
      </c>
      <c r="B11" s="217" t="n">
        <v>2</v>
      </c>
      <c r="C11" s="217" t="n">
        <v>3</v>
      </c>
      <c r="D11" s="217" t="n">
        <v>4</v>
      </c>
      <c r="E11" s="217" t="n">
        <v>5</v>
      </c>
      <c r="F11" s="217" t="n">
        <v>6</v>
      </c>
      <c r="G11" s="217" t="n">
        <v>7</v>
      </c>
      <c r="H11" s="217" t="n">
        <v>8</v>
      </c>
      <c r="I11" s="218" t="n">
        <v>9</v>
      </c>
      <c r="J11" s="218" t="n">
        <v>10</v>
      </c>
      <c r="M11" s="12" t="n"/>
      <c r="N11" s="12" t="n"/>
    </row>
    <row r="12">
      <c r="A12" s="217" t="n"/>
      <c r="B12" s="225" t="inlineStr">
        <is>
          <t>Затраты труда рабочих-строителей</t>
        </is>
      </c>
      <c r="C12" s="301" t="n"/>
      <c r="D12" s="301" t="n"/>
      <c r="E12" s="301" t="n"/>
      <c r="F12" s="301" t="n"/>
      <c r="G12" s="301" t="n"/>
      <c r="H12" s="302" t="n"/>
      <c r="I12" s="109" t="n"/>
      <c r="J12" s="109" t="n"/>
    </row>
    <row r="13" ht="25.5" customHeight="1" s="190">
      <c r="A13" s="217" t="n">
        <v>1</v>
      </c>
      <c r="B13" s="165" t="inlineStr">
        <is>
          <t>1-4-2</t>
        </is>
      </c>
      <c r="C13" s="226" t="inlineStr">
        <is>
          <t>Затраты труда рабочих-строителей среднего разряда (4,2)</t>
        </is>
      </c>
      <c r="D13" s="217" t="inlineStr">
        <is>
          <t>чел.-ч.</t>
        </is>
      </c>
      <c r="E13" s="306" t="n">
        <v>3.708</v>
      </c>
      <c r="F13" s="27" t="n">
        <v>9.92</v>
      </c>
      <c r="G13" s="27">
        <f>Прил.3!H12</f>
        <v/>
      </c>
      <c r="H13" s="111">
        <f>G13/G14</f>
        <v/>
      </c>
      <c r="I13" s="27">
        <f>ФОТр.тек.!E13</f>
        <v/>
      </c>
      <c r="J13" s="27">
        <f>ROUND(I13*E13,2)</f>
        <v/>
      </c>
    </row>
    <row r="14" ht="25.5" customFormat="1" customHeight="1" s="12">
      <c r="A14" s="217" t="n"/>
      <c r="B14" s="217" t="n"/>
      <c r="C14" s="225" t="inlineStr">
        <is>
          <t>Итого по разделу "Затраты труда рабочих-строителей"</t>
        </is>
      </c>
      <c r="D14" s="217" t="inlineStr">
        <is>
          <t>чел.-ч.</t>
        </is>
      </c>
      <c r="E14" s="306">
        <f>SUM(E13:E13)</f>
        <v/>
      </c>
      <c r="F14" s="27" t="n"/>
      <c r="G14" s="27">
        <f>SUM(G13:G13)</f>
        <v/>
      </c>
      <c r="H14" s="229" t="n">
        <v>1</v>
      </c>
      <c r="I14" s="109" t="n"/>
      <c r="J14" s="27">
        <f>SUM(J13:J13)</f>
        <v/>
      </c>
    </row>
    <row r="15" ht="14.25" customFormat="1" customHeight="1" s="12">
      <c r="A15" s="217" t="n"/>
      <c r="B15" s="226" t="inlineStr">
        <is>
          <t>Затраты труда машинистов</t>
        </is>
      </c>
      <c r="C15" s="301" t="n"/>
      <c r="D15" s="301" t="n"/>
      <c r="E15" s="301" t="n"/>
      <c r="F15" s="301" t="n"/>
      <c r="G15" s="301" t="n"/>
      <c r="H15" s="302" t="n"/>
      <c r="I15" s="109" t="n"/>
      <c r="J15" s="109" t="n"/>
    </row>
    <row r="16" ht="14.25" customFormat="1" customHeight="1" s="12">
      <c r="A16" s="217" t="n">
        <v>2</v>
      </c>
      <c r="B16" s="217" t="n">
        <v>2</v>
      </c>
      <c r="C16" s="226" t="inlineStr">
        <is>
          <t>Затраты труда машинистов</t>
        </is>
      </c>
      <c r="D16" s="217" t="inlineStr">
        <is>
          <t>чел.-ч.</t>
        </is>
      </c>
      <c r="E16" s="306" t="n">
        <v>1.104</v>
      </c>
      <c r="F16" s="27">
        <f>G16/E16</f>
        <v/>
      </c>
      <c r="G16" s="27">
        <f>Прил.3!H14</f>
        <v/>
      </c>
      <c r="H16" s="229" t="n">
        <v>1</v>
      </c>
      <c r="I16" s="27">
        <f>ROUND(F16*Прил.10!D11,2)</f>
        <v/>
      </c>
      <c r="J16" s="27">
        <f>ROUND(I16*E16,2)</f>
        <v/>
      </c>
    </row>
    <row r="17" ht="14.25" customFormat="1" customHeight="1" s="12">
      <c r="A17" s="217" t="n"/>
      <c r="B17" s="225" t="inlineStr">
        <is>
          <t>Машины и механизмы</t>
        </is>
      </c>
      <c r="C17" s="301" t="n"/>
      <c r="D17" s="301" t="n"/>
      <c r="E17" s="301" t="n"/>
      <c r="F17" s="301" t="n"/>
      <c r="G17" s="301" t="n"/>
      <c r="H17" s="302" t="n"/>
      <c r="I17" s="109" t="n"/>
      <c r="J17" s="109" t="n"/>
    </row>
    <row r="18" ht="14.25" customFormat="1" customHeight="1" s="12">
      <c r="A18" s="217" t="n"/>
      <c r="B18" s="226" t="inlineStr">
        <is>
          <t>Основные машины и механизмы</t>
        </is>
      </c>
      <c r="C18" s="301" t="n"/>
      <c r="D18" s="301" t="n"/>
      <c r="E18" s="301" t="n"/>
      <c r="F18" s="301" t="n"/>
      <c r="G18" s="301" t="n"/>
      <c r="H18" s="302" t="n"/>
      <c r="I18" s="109" t="n"/>
      <c r="J18" s="109" t="n"/>
    </row>
    <row r="19" ht="25.5" customFormat="1" customHeight="1" s="12">
      <c r="A19" s="217" t="n">
        <v>3</v>
      </c>
      <c r="B19" s="165" t="inlineStr">
        <is>
          <t>91.05.05-015</t>
        </is>
      </c>
      <c r="C19" s="226" t="inlineStr">
        <is>
          <t>Краны на автомобильном ходу, грузоподъемность 16 т</t>
        </is>
      </c>
      <c r="D19" s="217" t="inlineStr">
        <is>
          <t>маш.час</t>
        </is>
      </c>
      <c r="E19" s="306" t="n">
        <v>0.552</v>
      </c>
      <c r="F19" s="228" t="n">
        <v>115.4</v>
      </c>
      <c r="G19" s="27">
        <f>ROUND(E19*F19,2)</f>
        <v/>
      </c>
      <c r="H19" s="111">
        <f>G19/$G$24</f>
        <v/>
      </c>
      <c r="I19" s="27">
        <f>ROUND(F19*Прил.10!$D$12,2)</f>
        <v/>
      </c>
      <c r="J19" s="27">
        <f>ROUND(I19*E19,2)</f>
        <v/>
      </c>
    </row>
    <row r="20" ht="25.5" customFormat="1" customHeight="1" s="12">
      <c r="A20" s="217" t="n">
        <v>4</v>
      </c>
      <c r="B20" s="165" t="inlineStr">
        <is>
          <t>91.14.02-001</t>
        </is>
      </c>
      <c r="C20" s="226" t="inlineStr">
        <is>
          <t>Автомобили бортовые, грузоподъемность до 5 т</t>
        </is>
      </c>
      <c r="D20" s="217" t="inlineStr">
        <is>
          <t>маш.час</t>
        </is>
      </c>
      <c r="E20" s="306" t="n">
        <v>0.552</v>
      </c>
      <c r="F20" s="228" t="n">
        <v>65.70999999999999</v>
      </c>
      <c r="G20" s="27">
        <f>ROUND(E20*F20,2)</f>
        <v/>
      </c>
      <c r="H20" s="111">
        <f>G20/$G$24</f>
        <v/>
      </c>
      <c r="I20" s="27">
        <f>ROUND(F20*Прил.10!$D$12,2)</f>
        <v/>
      </c>
      <c r="J20" s="27">
        <f>ROUND(I20*E20,2)</f>
        <v/>
      </c>
    </row>
    <row r="21" ht="14.25" customFormat="1" customHeight="1" s="12">
      <c r="A21" s="217" t="n"/>
      <c r="B21" s="217" t="n"/>
      <c r="C21" s="226" t="inlineStr">
        <is>
          <t>Итого основные машины и механизмы</t>
        </is>
      </c>
      <c r="D21" s="217" t="n"/>
      <c r="E21" s="306" t="n"/>
      <c r="F21" s="27" t="n"/>
      <c r="G21" s="27">
        <f>SUM(G19:G20)</f>
        <v/>
      </c>
      <c r="H21" s="229">
        <f>G21/G24</f>
        <v/>
      </c>
      <c r="I21" s="112" t="n"/>
      <c r="J21" s="27">
        <f>SUM(J19:J20)</f>
        <v/>
      </c>
      <c r="K21" s="24" t="n"/>
    </row>
    <row r="22" outlineLevel="1" ht="25.5" customFormat="1" customHeight="1" s="12">
      <c r="A22" s="217" t="n">
        <v>5</v>
      </c>
      <c r="B22" s="165" t="inlineStr">
        <is>
          <t>91.17.04-233</t>
        </is>
      </c>
      <c r="C22" s="226" t="inlineStr">
        <is>
          <t>Установки для сварки ручной дуговой (постоянного тока)</t>
        </is>
      </c>
      <c r="D22" s="217" t="inlineStr">
        <is>
          <t>маш.час</t>
        </is>
      </c>
      <c r="E22" s="306" t="n">
        <v>1.392</v>
      </c>
      <c r="F22" s="228" t="n">
        <v>8.1</v>
      </c>
      <c r="G22" s="27">
        <f>ROUND(E22*F22,2)</f>
        <v/>
      </c>
      <c r="H22" s="111">
        <f>G22/$G$24</f>
        <v/>
      </c>
      <c r="I22" s="27">
        <f>ROUND(F22*Прил.10!$D$12,2)</f>
        <v/>
      </c>
      <c r="J22" s="27">
        <f>ROUND(I22*E22,2)</f>
        <v/>
      </c>
    </row>
    <row r="23" ht="14.25" customFormat="1" customHeight="1" s="12">
      <c r="A23" s="217" t="n"/>
      <c r="B23" s="217" t="n"/>
      <c r="C23" s="226" t="inlineStr">
        <is>
          <t>Итого прочие машины и механизмы</t>
        </is>
      </c>
      <c r="D23" s="217" t="n"/>
      <c r="E23" s="227" t="n"/>
      <c r="F23" s="27" t="n"/>
      <c r="G23" s="112">
        <f>SUM(G22:G22)</f>
        <v/>
      </c>
      <c r="H23" s="111">
        <f>G23/G24</f>
        <v/>
      </c>
      <c r="I23" s="27" t="n"/>
      <c r="J23" s="112">
        <f>SUM(J22:J22)</f>
        <v/>
      </c>
    </row>
    <row r="24" ht="25.5" customFormat="1" customHeight="1" s="12">
      <c r="A24" s="217" t="n"/>
      <c r="B24" s="217" t="n"/>
      <c r="C24" s="225" t="inlineStr">
        <is>
          <t>Итого по разделу «Машины и механизмы»</t>
        </is>
      </c>
      <c r="D24" s="217" t="n"/>
      <c r="E24" s="227" t="n"/>
      <c r="F24" s="27" t="n"/>
      <c r="G24" s="27">
        <f>G23+G21</f>
        <v/>
      </c>
      <c r="H24" s="131" t="n">
        <v>1</v>
      </c>
      <c r="I24" s="132" t="n"/>
      <c r="J24" s="133">
        <f>J23+J21</f>
        <v/>
      </c>
    </row>
    <row r="25" ht="14.25" customFormat="1" customHeight="1" s="12">
      <c r="A25" s="217" t="n"/>
      <c r="B25" s="225" t="inlineStr">
        <is>
          <t>Оборудование</t>
        </is>
      </c>
      <c r="C25" s="301" t="n"/>
      <c r="D25" s="301" t="n"/>
      <c r="E25" s="301" t="n"/>
      <c r="F25" s="301" t="n"/>
      <c r="G25" s="301" t="n"/>
      <c r="H25" s="302" t="n"/>
      <c r="I25" s="109" t="n"/>
      <c r="J25" s="109" t="n"/>
    </row>
    <row r="26">
      <c r="A26" s="217" t="n"/>
      <c r="B26" s="226" t="inlineStr">
        <is>
          <t>Основное оборудование</t>
        </is>
      </c>
      <c r="C26" s="301" t="n"/>
      <c r="D26" s="301" t="n"/>
      <c r="E26" s="301" t="n"/>
      <c r="F26" s="301" t="n"/>
      <c r="G26" s="301" t="n"/>
      <c r="H26" s="302" t="n"/>
      <c r="I26" s="109" t="n"/>
      <c r="J26" s="109" t="n"/>
    </row>
    <row r="27" ht="25.5" customFormat="1" customHeight="1" s="12">
      <c r="A27" s="217" t="n">
        <v>6</v>
      </c>
      <c r="B27" s="217" t="inlineStr">
        <is>
          <t>БЦ.53.41</t>
        </is>
      </c>
      <c r="C27" s="226" t="inlineStr">
        <is>
          <t>Шкаф с зарядно-подзарядными устройствами, 200 А</t>
        </is>
      </c>
      <c r="D27" s="217" t="inlineStr">
        <is>
          <t>шт.</t>
        </is>
      </c>
      <c r="E27" s="307" t="n">
        <v>1</v>
      </c>
      <c r="F27" s="228">
        <f>ROUND(I27/Прил.10!$D$14,2)</f>
        <v/>
      </c>
      <c r="G27" s="27">
        <f>ROUND(E27*F27,2)</f>
        <v/>
      </c>
      <c r="H27" s="111">
        <f>G27/$G$30</f>
        <v/>
      </c>
      <c r="I27" s="27" t="n">
        <v>2920000</v>
      </c>
      <c r="J27" s="27">
        <f>ROUND(I27*E27,2)</f>
        <v/>
      </c>
    </row>
    <row r="28">
      <c r="A28" s="217" t="n"/>
      <c r="B28" s="217" t="n"/>
      <c r="C28" s="226" t="inlineStr">
        <is>
          <t>Итого основное оборудование</t>
        </is>
      </c>
      <c r="D28" s="217" t="n"/>
      <c r="E28" s="306" t="n"/>
      <c r="F28" s="228" t="n"/>
      <c r="G28" s="27">
        <f>G27</f>
        <v/>
      </c>
      <c r="H28" s="111">
        <f>G27/$G$30</f>
        <v/>
      </c>
      <c r="I28" s="112" t="n"/>
      <c r="J28" s="27">
        <f>J27</f>
        <v/>
      </c>
    </row>
    <row r="29">
      <c r="A29" s="217" t="n"/>
      <c r="B29" s="217" t="n"/>
      <c r="C29" s="226" t="inlineStr">
        <is>
          <t>Итого прочее оборудование</t>
        </is>
      </c>
      <c r="D29" s="217" t="n"/>
      <c r="E29" s="306" t="n"/>
      <c r="F29" s="228" t="n"/>
      <c r="G29" s="27" t="n">
        <v>0</v>
      </c>
      <c r="H29" s="111" t="n">
        <v>0</v>
      </c>
      <c r="I29" s="112" t="n"/>
      <c r="J29" s="27" t="n">
        <v>0</v>
      </c>
    </row>
    <row r="30">
      <c r="A30" s="217" t="n"/>
      <c r="B30" s="217" t="n"/>
      <c r="C30" s="225" t="inlineStr">
        <is>
          <t>Итого по разделу «Оборудование»</t>
        </is>
      </c>
      <c r="D30" s="217" t="n"/>
      <c r="E30" s="227" t="n"/>
      <c r="F30" s="228" t="n"/>
      <c r="G30" s="27">
        <f>G28+G29</f>
        <v/>
      </c>
      <c r="H30" s="229" t="n">
        <v>1</v>
      </c>
      <c r="I30" s="112" t="n"/>
      <c r="J30" s="27">
        <f>J29+J28</f>
        <v/>
      </c>
    </row>
    <row r="31" ht="25.5" customHeight="1" s="190">
      <c r="A31" s="217" t="n"/>
      <c r="B31" s="217" t="n"/>
      <c r="C31" s="226" t="inlineStr">
        <is>
          <t>в том числе технологическое оборудование</t>
        </is>
      </c>
      <c r="D31" s="217" t="n"/>
      <c r="E31" s="307" t="n"/>
      <c r="F31" s="228" t="n"/>
      <c r="G31" s="27">
        <f>'Прил.6 Расчет ОБ'!G13</f>
        <v/>
      </c>
      <c r="H31" s="229" t="n"/>
      <c r="I31" s="112" t="n"/>
      <c r="J31" s="27">
        <f>J30</f>
        <v/>
      </c>
    </row>
    <row r="32" ht="14.25" customFormat="1" customHeight="1" s="12">
      <c r="A32" s="217" t="n"/>
      <c r="B32" s="225" t="inlineStr">
        <is>
          <t>Материалы</t>
        </is>
      </c>
      <c r="C32" s="301" t="n"/>
      <c r="D32" s="301" t="n"/>
      <c r="E32" s="301" t="n"/>
      <c r="F32" s="301" t="n"/>
      <c r="G32" s="301" t="n"/>
      <c r="H32" s="302" t="n"/>
      <c r="I32" s="109" t="n"/>
      <c r="J32" s="109" t="n"/>
    </row>
    <row r="33" ht="14.25" customFormat="1" customHeight="1" s="12">
      <c r="A33" s="218" t="n"/>
      <c r="B33" s="221" t="inlineStr">
        <is>
          <t>Основные материалы</t>
        </is>
      </c>
      <c r="C33" s="308" t="n"/>
      <c r="D33" s="308" t="n"/>
      <c r="E33" s="308" t="n"/>
      <c r="F33" s="308" t="n"/>
      <c r="G33" s="308" t="n"/>
      <c r="H33" s="309" t="n"/>
      <c r="I33" s="114" t="n"/>
      <c r="J33" s="114" t="n"/>
    </row>
    <row r="34" ht="14.25" customFormat="1" customHeight="1" s="12">
      <c r="A34" s="217" t="n">
        <v>7</v>
      </c>
      <c r="B34" s="217" t="inlineStr">
        <is>
          <t>01.7.15.03-0042</t>
        </is>
      </c>
      <c r="C34" s="226" t="inlineStr">
        <is>
          <t>Болты с гайками и шайбами строительные</t>
        </is>
      </c>
      <c r="D34" s="217" t="inlineStr">
        <is>
          <t>кг</t>
        </is>
      </c>
      <c r="E34" s="307" t="n">
        <v>0.306</v>
      </c>
      <c r="F34" s="228" t="n">
        <v>9.039999999999999</v>
      </c>
      <c r="G34" s="27">
        <f>ROUND(E34*F34,2)</f>
        <v/>
      </c>
      <c r="H34" s="111">
        <f>G34/$G$42</f>
        <v/>
      </c>
      <c r="I34" s="27">
        <f>ROUND(F34*Прил.10!$D$13,2)</f>
        <v/>
      </c>
      <c r="J34" s="27">
        <f>ROUND(I34*E34,2)</f>
        <v/>
      </c>
    </row>
    <row r="35" ht="14.25" customFormat="1" customHeight="1" s="12">
      <c r="A35" s="217" t="n">
        <v>8</v>
      </c>
      <c r="B35" s="217" t="inlineStr">
        <is>
          <t>14.4.02.09-0001</t>
        </is>
      </c>
      <c r="C35" s="226" t="inlineStr">
        <is>
          <t>Краска</t>
        </is>
      </c>
      <c r="D35" s="217" t="inlineStr">
        <is>
          <t>кг</t>
        </is>
      </c>
      <c r="E35" s="307" t="n">
        <v>0.09</v>
      </c>
      <c r="F35" s="228" t="n">
        <v>28.6</v>
      </c>
      <c r="G35" s="27">
        <f>ROUND(E35*F35,2)</f>
        <v/>
      </c>
      <c r="H35" s="111">
        <f>G35/$G$42</f>
        <v/>
      </c>
      <c r="I35" s="27">
        <f>ROUND(F35*Прил.10!$D$13,2)</f>
        <v/>
      </c>
      <c r="J35" s="27">
        <f>ROUND(I35*E35,2)</f>
        <v/>
      </c>
    </row>
    <row r="36" ht="14.25" customFormat="1" customHeight="1" s="12">
      <c r="A36" s="217" t="n">
        <v>9</v>
      </c>
      <c r="B36" s="217" t="inlineStr">
        <is>
          <t>20.1.02.23-0082</t>
        </is>
      </c>
      <c r="C36" s="226" t="inlineStr">
        <is>
          <t>Перемычки гибкие, тип ПГС-50</t>
        </is>
      </c>
      <c r="D36" s="217" t="inlineStr">
        <is>
          <t>10 шт</t>
        </is>
      </c>
      <c r="E36" s="307" t="n">
        <v>0.06</v>
      </c>
      <c r="F36" s="228" t="n">
        <v>39</v>
      </c>
      <c r="G36" s="27">
        <f>ROUND(E36*F36,2)</f>
        <v/>
      </c>
      <c r="H36" s="111">
        <f>G36/$G$42</f>
        <v/>
      </c>
      <c r="I36" s="27">
        <f>ROUND(F36*Прил.10!$D$13,2)</f>
        <v/>
      </c>
      <c r="J36" s="27">
        <f>ROUND(I36*E36,2)</f>
        <v/>
      </c>
    </row>
    <row r="37" ht="25.5" customFormat="1" customHeight="1" s="12">
      <c r="A37" s="217" t="n">
        <v>10</v>
      </c>
      <c r="B37" s="217" t="inlineStr">
        <is>
          <t>01.7.11.07-0034</t>
        </is>
      </c>
      <c r="C37" s="226" t="inlineStr">
        <is>
          <t>Электроды сварочные Э42А, диаметр 4 мм</t>
        </is>
      </c>
      <c r="D37" s="217" t="inlineStr">
        <is>
          <t>кг</t>
        </is>
      </c>
      <c r="E37" s="307" t="n">
        <v>0.12</v>
      </c>
      <c r="F37" s="228" t="n">
        <v>10.57</v>
      </c>
      <c r="G37" s="27">
        <f>ROUND(E37*F37,2)</f>
        <v/>
      </c>
      <c r="H37" s="111">
        <f>G37/$G$42</f>
        <v/>
      </c>
      <c r="I37" s="27">
        <f>ROUND(F37*Прил.10!$D$13,2)</f>
        <v/>
      </c>
      <c r="J37" s="27">
        <f>ROUND(I37*E37,2)</f>
        <v/>
      </c>
    </row>
    <row r="38" ht="38.25" customFormat="1" customHeight="1" s="12">
      <c r="A38" s="217" t="n">
        <v>11</v>
      </c>
      <c r="B38" s="217" t="inlineStr">
        <is>
          <t>08.3.07.01-0076</t>
        </is>
      </c>
      <c r="C38" s="226" t="inlineStr">
        <is>
          <t>Прокат полосовой, горячекатаный, марка стали Ст3сп, ширина 50-200 мм, толщина 4-5 мм</t>
        </is>
      </c>
      <c r="D38" s="217" t="inlineStr">
        <is>
          <t>т</t>
        </is>
      </c>
      <c r="E38" s="307" t="n">
        <v>0.00024</v>
      </c>
      <c r="F38" s="228" t="n">
        <v>5000</v>
      </c>
      <c r="G38" s="27">
        <f>ROUND(E38*F38,2)</f>
        <v/>
      </c>
      <c r="H38" s="111">
        <f>G38/$G$42</f>
        <v/>
      </c>
      <c r="I38" s="27">
        <f>ROUND(F38*Прил.10!$D$13,2)</f>
        <v/>
      </c>
      <c r="J38" s="27">
        <f>ROUND(I38*E38,2)</f>
        <v/>
      </c>
    </row>
    <row r="39" ht="14.25" customFormat="1" customHeight="1" s="12">
      <c r="A39" s="167" t="n"/>
      <c r="B39" s="167" t="n"/>
      <c r="C39" s="166" t="inlineStr">
        <is>
          <t>Итого основные материалы</t>
        </is>
      </c>
      <c r="D39" s="219" t="n"/>
      <c r="E39" s="310" t="n"/>
      <c r="F39" s="133" t="n"/>
      <c r="G39" s="133">
        <f>SUM(G34:G38)</f>
        <v/>
      </c>
      <c r="H39" s="111">
        <f>G39/$G$42</f>
        <v/>
      </c>
      <c r="I39" s="27" t="n"/>
      <c r="J39" s="133">
        <f>SUM(J34:J38)</f>
        <v/>
      </c>
      <c r="K39" s="24" t="n"/>
      <c r="L39" s="24" t="n"/>
    </row>
    <row r="40" outlineLevel="1" ht="25.5" customFormat="1" customHeight="1" s="12">
      <c r="A40" s="217" t="n">
        <v>12</v>
      </c>
      <c r="B40" s="217" t="inlineStr">
        <is>
          <t>999-9950</t>
        </is>
      </c>
      <c r="C40" s="226" t="inlineStr">
        <is>
          <t>Вспомогательные ненормируемые ресурсы (2% от Оплаты труда рабочих)</t>
        </is>
      </c>
      <c r="D40" s="217" t="inlineStr">
        <is>
          <t>руб</t>
        </is>
      </c>
      <c r="E40" s="307" t="n">
        <v>0.738</v>
      </c>
      <c r="F40" s="228" t="n">
        <v>1</v>
      </c>
      <c r="G40" s="27">
        <f>ROUND(E40*F40,2)</f>
        <v/>
      </c>
      <c r="H40" s="111">
        <f>G40/$G$42</f>
        <v/>
      </c>
      <c r="I40" s="27">
        <f>ROUND(F40*Прил.10!$D$13,2)</f>
        <v/>
      </c>
      <c r="J40" s="27">
        <f>ROUND(I40*E40,2)</f>
        <v/>
      </c>
    </row>
    <row r="41" ht="14.25" customFormat="1" customHeight="1" s="12">
      <c r="A41" s="217" t="n"/>
      <c r="B41" s="217" t="n"/>
      <c r="C41" s="226" t="inlineStr">
        <is>
          <t>Итого прочие материалы</t>
        </is>
      </c>
      <c r="D41" s="217" t="n"/>
      <c r="E41" s="227" t="n"/>
      <c r="F41" s="228" t="n"/>
      <c r="G41" s="27">
        <f>SUM(G40:G40)</f>
        <v/>
      </c>
      <c r="H41" s="111">
        <f>G41/$G$42</f>
        <v/>
      </c>
      <c r="I41" s="27" t="n"/>
      <c r="J41" s="27">
        <f>SUM(J40:J40)</f>
        <v/>
      </c>
    </row>
    <row r="42" ht="14.25" customFormat="1" customHeight="1" s="12">
      <c r="A42" s="217" t="n"/>
      <c r="B42" s="217" t="n"/>
      <c r="C42" s="225" t="inlineStr">
        <is>
          <t>Итого по разделу «Материалы»</t>
        </is>
      </c>
      <c r="D42" s="217" t="n"/>
      <c r="E42" s="227" t="n"/>
      <c r="F42" s="228" t="n"/>
      <c r="G42" s="27">
        <f>G39+G41</f>
        <v/>
      </c>
      <c r="H42" s="229">
        <f>G42/$G$42</f>
        <v/>
      </c>
      <c r="I42" s="27" t="n"/>
      <c r="J42" s="27">
        <f>J39+J41</f>
        <v/>
      </c>
    </row>
    <row r="43" ht="14.25" customFormat="1" customHeight="1" s="12">
      <c r="A43" s="217" t="n"/>
      <c r="B43" s="217" t="n"/>
      <c r="C43" s="226" t="inlineStr">
        <is>
          <t>ИТОГО ПО РМ</t>
        </is>
      </c>
      <c r="D43" s="217" t="n"/>
      <c r="E43" s="227" t="n"/>
      <c r="F43" s="228" t="n"/>
      <c r="G43" s="27">
        <f>G14+G24+G42</f>
        <v/>
      </c>
      <c r="H43" s="229" t="n"/>
      <c r="I43" s="27" t="n"/>
      <c r="J43" s="27">
        <f>J14+J24+J42</f>
        <v/>
      </c>
    </row>
    <row r="44" ht="14.25" customFormat="1" customHeight="1" s="12">
      <c r="A44" s="217" t="n"/>
      <c r="B44" s="217" t="n"/>
      <c r="C44" s="226" t="inlineStr">
        <is>
          <t>Накладные расходы</t>
        </is>
      </c>
      <c r="D44" s="170">
        <f>ROUND(G44/(G$16+$G$14),2)</f>
        <v/>
      </c>
      <c r="E44" s="227" t="n"/>
      <c r="F44" s="228" t="n"/>
      <c r="G44" s="27" t="n">
        <v>49.12</v>
      </c>
      <c r="H44" s="229" t="n"/>
      <c r="I44" s="27" t="n"/>
      <c r="J44" s="27">
        <f>ROUND(D44*(J14+J16),2)</f>
        <v/>
      </c>
    </row>
    <row r="45" ht="14.25" customFormat="1" customHeight="1" s="12">
      <c r="A45" s="217" t="n"/>
      <c r="B45" s="217" t="n"/>
      <c r="C45" s="226" t="inlineStr">
        <is>
          <t>Сметная прибыль</t>
        </is>
      </c>
      <c r="D45" s="170">
        <f>ROUND(G45/(G$14+G$16),2)</f>
        <v/>
      </c>
      <c r="E45" s="227" t="n"/>
      <c r="F45" s="228" t="n"/>
      <c r="G45" s="27" t="n">
        <v>25.83</v>
      </c>
      <c r="H45" s="229" t="n"/>
      <c r="I45" s="27" t="n"/>
      <c r="J45" s="27">
        <f>ROUND(D45*(J14+J16),2)</f>
        <v/>
      </c>
    </row>
    <row r="46" ht="14.25" customFormat="1" customHeight="1" s="12">
      <c r="A46" s="217" t="n"/>
      <c r="B46" s="217" t="n"/>
      <c r="C46" s="226" t="inlineStr">
        <is>
          <t>Итого СМР (с НР и СП)</t>
        </is>
      </c>
      <c r="D46" s="217" t="n"/>
      <c r="E46" s="227" t="n"/>
      <c r="F46" s="228" t="n"/>
      <c r="G46" s="27">
        <f>G14+G24+G42+G44+G45</f>
        <v/>
      </c>
      <c r="H46" s="229" t="n"/>
      <c r="I46" s="27" t="n"/>
      <c r="J46" s="27">
        <f>J14+J24+J42+J44+J45</f>
        <v/>
      </c>
    </row>
    <row r="47" ht="14.25" customFormat="1" customHeight="1" s="12">
      <c r="A47" s="217" t="n"/>
      <c r="B47" s="217" t="n"/>
      <c r="C47" s="226" t="inlineStr">
        <is>
          <t>ВСЕГО СМР + ОБОРУДОВАНИЕ</t>
        </is>
      </c>
      <c r="D47" s="217" t="n"/>
      <c r="E47" s="227" t="n"/>
      <c r="F47" s="228" t="n"/>
      <c r="G47" s="27">
        <f>G46+G30</f>
        <v/>
      </c>
      <c r="H47" s="229" t="n"/>
      <c r="I47" s="27" t="n"/>
      <c r="J47" s="27">
        <f>J46+J30</f>
        <v/>
      </c>
    </row>
    <row r="48" ht="34.5" customFormat="1" customHeight="1" s="12">
      <c r="A48" s="217" t="n"/>
      <c r="B48" s="217" t="n"/>
      <c r="C48" s="226" t="inlineStr">
        <is>
          <t>ИТОГО ПОКАЗАТЕЛЬ НА ЕД. ИЗМ.</t>
        </is>
      </c>
      <c r="D48" s="217" t="inlineStr">
        <is>
          <t>шт</t>
        </is>
      </c>
      <c r="E48" s="311" t="n">
        <v>1</v>
      </c>
      <c r="F48" s="228" t="n"/>
      <c r="G48" s="27">
        <f>G47/E48</f>
        <v/>
      </c>
      <c r="H48" s="229" t="n"/>
      <c r="I48" s="27" t="n"/>
      <c r="J48" s="27">
        <f>J47/E48</f>
        <v/>
      </c>
    </row>
    <row r="50" ht="14.25" customFormat="1" customHeight="1" s="12">
      <c r="A50" s="4" t="inlineStr">
        <is>
          <t>Составил ______________________    Д.Ю. Нефедова</t>
        </is>
      </c>
    </row>
    <row r="51" ht="14.25" customFormat="1" customHeight="1" s="12">
      <c r="A51" s="158" t="inlineStr">
        <is>
          <t xml:space="preserve">                         (подпись, инициалы, фамилия)</t>
        </is>
      </c>
    </row>
    <row r="52" ht="14.25" customFormat="1" customHeight="1" s="12">
      <c r="A52" s="4" t="n"/>
    </row>
    <row r="53" ht="14.25" customFormat="1" customHeight="1" s="12">
      <c r="A53" s="4" t="inlineStr">
        <is>
          <t>Проверил ______________________        А.В. Костянецкая</t>
        </is>
      </c>
    </row>
    <row r="54" ht="14.25" customFormat="1" customHeight="1" s="12">
      <c r="A54" s="15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25:H2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90" min="1" max="1"/>
    <col width="17.5703125" customWidth="1" style="190" min="2" max="2"/>
    <col width="39.140625" customWidth="1" style="190" min="3" max="3"/>
    <col width="10.7109375" customWidth="1" style="190" min="4" max="4"/>
    <col width="13.85546875" customWidth="1" style="190" min="5" max="5"/>
    <col width="14.5703125" customWidth="1" style="190" min="6" max="6"/>
    <col width="14.140625" customWidth="1" style="190" min="7" max="7"/>
  </cols>
  <sheetData>
    <row r="1">
      <c r="A1" s="234" t="inlineStr">
        <is>
          <t>Приложение №6</t>
        </is>
      </c>
    </row>
    <row r="2" ht="21.75" customHeight="1" s="190">
      <c r="A2" s="234" t="n"/>
      <c r="B2" s="234" t="n"/>
      <c r="C2" s="234" t="n"/>
      <c r="D2" s="234" t="n"/>
      <c r="E2" s="234" t="n"/>
      <c r="F2" s="234" t="n"/>
      <c r="G2" s="234" t="n"/>
    </row>
    <row r="3">
      <c r="A3" s="196" t="inlineStr">
        <is>
          <t>Расчет стоимости оборудования</t>
        </is>
      </c>
    </row>
    <row r="4" ht="25.5" customHeight="1" s="190">
      <c r="A4" s="199" t="inlineStr">
        <is>
          <t xml:space="preserve">Наименование разрабатываемого показателя УНЦ — Системы оперативного постоянного тока и собственных нужд ПС. Шкаф с зарядно-подзарядными устройствами, номинальный ток 200 А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90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17" t="inlineStr">
        <is>
          <t>Кол-во единиц по проектным данным</t>
        </is>
      </c>
      <c r="F6" s="239" t="inlineStr">
        <is>
          <t>Сметная стоимость в ценах на 01.01.2000 (руб.)</t>
        </is>
      </c>
      <c r="G6" s="302" t="n"/>
    </row>
    <row r="7">
      <c r="A7" s="304" t="n"/>
      <c r="B7" s="304" t="n"/>
      <c r="C7" s="304" t="n"/>
      <c r="D7" s="304" t="n"/>
      <c r="E7" s="304" t="n"/>
      <c r="F7" s="217" t="inlineStr">
        <is>
          <t>на ед. изм.</t>
        </is>
      </c>
      <c r="G7" s="217" t="inlineStr">
        <is>
          <t>общая</t>
        </is>
      </c>
    </row>
    <row r="8">
      <c r="A8" s="217" t="n">
        <v>1</v>
      </c>
      <c r="B8" s="217" t="n">
        <v>2</v>
      </c>
      <c r="C8" s="217" t="n">
        <v>3</v>
      </c>
      <c r="D8" s="217" t="n">
        <v>4</v>
      </c>
      <c r="E8" s="217" t="n">
        <v>5</v>
      </c>
      <c r="F8" s="217" t="n">
        <v>6</v>
      </c>
      <c r="G8" s="217" t="n">
        <v>7</v>
      </c>
    </row>
    <row r="9" ht="15" customHeight="1" s="190">
      <c r="A9" s="116" t="n"/>
      <c r="B9" s="226" t="inlineStr">
        <is>
          <t>ИНЖЕНЕРНОЕ ОБОРУДОВАНИЕ</t>
        </is>
      </c>
      <c r="C9" s="301" t="n"/>
      <c r="D9" s="301" t="n"/>
      <c r="E9" s="301" t="n"/>
      <c r="F9" s="301" t="n"/>
      <c r="G9" s="302" t="n"/>
    </row>
    <row r="10" ht="27" customHeight="1" s="190">
      <c r="A10" s="217" t="n"/>
      <c r="B10" s="225" t="n"/>
      <c r="C10" s="226" t="inlineStr">
        <is>
          <t>ИТОГО ИНЖЕНЕРНОЕ ОБОРУДОВАНИЕ</t>
        </is>
      </c>
      <c r="D10" s="225" t="n"/>
      <c r="E10" s="160" t="n"/>
      <c r="F10" s="228" t="n"/>
      <c r="G10" s="27" t="n">
        <v>0</v>
      </c>
    </row>
    <row r="11">
      <c r="A11" s="217" t="n"/>
      <c r="B11" s="226" t="inlineStr">
        <is>
          <t>ТЕХНОЛОГИЧЕСКОЕ ОБОРУДОВАНИЕ</t>
        </is>
      </c>
      <c r="C11" s="301" t="n"/>
      <c r="D11" s="301" t="n"/>
      <c r="E11" s="301" t="n"/>
      <c r="F11" s="301" t="n"/>
      <c r="G11" s="302" t="n"/>
    </row>
    <row r="12" ht="37.5" customFormat="1" customHeight="1" s="192">
      <c r="A12" s="217" t="n">
        <v>1</v>
      </c>
      <c r="B12" s="226" t="inlineStr">
        <is>
          <t>БЦ.53.41</t>
        </is>
      </c>
      <c r="C12" s="226" t="inlineStr">
        <is>
          <t>Шкаф с зарядно-подзарядными устройствами, 200 А</t>
        </is>
      </c>
      <c r="D12" s="217" t="inlineStr">
        <is>
          <t>шт.</t>
        </is>
      </c>
      <c r="E12" s="307" t="n">
        <v>1</v>
      </c>
      <c r="F12" s="307" t="n">
        <v>466453.67</v>
      </c>
      <c r="G12" s="27" t="n">
        <v>466453.67</v>
      </c>
    </row>
    <row r="13" ht="25.5" customHeight="1" s="190">
      <c r="A13" s="217" t="n"/>
      <c r="B13" s="226" t="n"/>
      <c r="C13" s="226" t="inlineStr">
        <is>
          <t>ИТОГО ТЕХНОЛОГИЧЕСКОЕ ОБОРУДОВАНИЕ</t>
        </is>
      </c>
      <c r="D13" s="226" t="n"/>
      <c r="E13" s="238" t="n"/>
      <c r="F13" s="228" t="n"/>
      <c r="G13" s="27">
        <f>SUM(G12:G12)</f>
        <v/>
      </c>
    </row>
    <row r="14" ht="19.5" customHeight="1" s="190">
      <c r="A14" s="217" t="n"/>
      <c r="B14" s="226" t="n"/>
      <c r="C14" s="226" t="inlineStr">
        <is>
          <t>Всего по разделу «Оборудование»</t>
        </is>
      </c>
      <c r="D14" s="226" t="n"/>
      <c r="E14" s="238" t="n"/>
      <c r="F14" s="228" t="n"/>
      <c r="G14" s="27">
        <f>G10+G13</f>
        <v/>
      </c>
    </row>
    <row r="15">
      <c r="A15" s="25" t="n"/>
      <c r="B15" s="161" t="n"/>
      <c r="C15" s="25" t="n"/>
      <c r="D15" s="25" t="n"/>
      <c r="E15" s="25" t="n"/>
      <c r="F15" s="25" t="n"/>
      <c r="G15" s="25" t="n"/>
    </row>
    <row r="16">
      <c r="A16" s="299" t="inlineStr">
        <is>
          <t>Составил ______________________    Д.Ю. Нефедова</t>
        </is>
      </c>
      <c r="B16" s="12" t="n"/>
      <c r="C16" s="12" t="n"/>
      <c r="D16" s="25" t="n"/>
      <c r="E16" s="25" t="n"/>
      <c r="F16" s="25" t="n"/>
      <c r="G16" s="25" t="n"/>
    </row>
    <row r="17">
      <c r="A17" s="158" t="inlineStr">
        <is>
          <t xml:space="preserve">                         (подпись, инициалы, фамилия)</t>
        </is>
      </c>
      <c r="B17" s="12" t="n"/>
      <c r="C17" s="12" t="n"/>
      <c r="D17" s="25" t="n"/>
      <c r="E17" s="25" t="n"/>
      <c r="F17" s="25" t="n"/>
      <c r="G17" s="25" t="n"/>
    </row>
    <row r="18">
      <c r="A18" s="4" t="n"/>
      <c r="B18" s="12" t="n"/>
      <c r="C18" s="12" t="n"/>
      <c r="D18" s="25" t="n"/>
      <c r="E18" s="25" t="n"/>
      <c r="F18" s="25" t="n"/>
      <c r="G18" s="25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5" t="n"/>
      <c r="E19" s="25" t="n"/>
      <c r="F19" s="25" t="n"/>
      <c r="G19" s="25" t="n"/>
    </row>
    <row r="20">
      <c r="A20" s="158" t="inlineStr">
        <is>
          <t xml:space="preserve">                        (подпись, инициалы, фамилия)</t>
        </is>
      </c>
      <c r="B20" s="12" t="n"/>
      <c r="C20" s="12" t="n"/>
      <c r="D20" s="25" t="n"/>
      <c r="E20" s="25" t="n"/>
      <c r="F20" s="25" t="n"/>
      <c r="G20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0" min="1" max="1"/>
    <col width="16.42578125" customWidth="1" style="190" min="2" max="2"/>
    <col width="37.140625" customWidth="1" style="190" min="3" max="3"/>
    <col width="49" customWidth="1" style="190" min="4" max="4"/>
    <col width="9.140625" customWidth="1" style="190" min="5" max="5"/>
  </cols>
  <sheetData>
    <row r="1" ht="15.75" customHeight="1" s="190">
      <c r="A1" s="192" t="n"/>
      <c r="B1" s="192" t="n"/>
      <c r="C1" s="192" t="n"/>
      <c r="D1" s="192" t="inlineStr">
        <is>
          <t>Приложение №7</t>
        </is>
      </c>
    </row>
    <row r="2" ht="15.75" customHeight="1" s="190">
      <c r="A2" s="192" t="n"/>
      <c r="B2" s="192" t="n"/>
      <c r="C2" s="192" t="n"/>
      <c r="D2" s="192" t="n"/>
    </row>
    <row r="3" ht="15.75" customHeight="1" s="190">
      <c r="A3" s="192" t="n"/>
      <c r="B3" s="176" t="inlineStr">
        <is>
          <t>Расчет показателя УНЦ</t>
        </is>
      </c>
      <c r="C3" s="192" t="n"/>
      <c r="D3" s="192" t="n"/>
    </row>
    <row r="4" ht="15.75" customHeight="1" s="190">
      <c r="A4" s="192" t="n"/>
      <c r="B4" s="192" t="n"/>
      <c r="C4" s="192" t="n"/>
      <c r="D4" s="192" t="n"/>
    </row>
    <row r="5" ht="63" customHeight="1" s="190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ОБ'!D6:J6</f>
        <v/>
      </c>
    </row>
    <row r="6" ht="15.75" customHeight="1" s="190">
      <c r="A6" s="192" t="inlineStr">
        <is>
          <t>Единица измерения  — 1 ед</t>
        </is>
      </c>
      <c r="B6" s="192" t="n"/>
      <c r="C6" s="192" t="n"/>
      <c r="D6" s="192" t="n"/>
    </row>
    <row r="7" ht="15.75" customHeight="1" s="190">
      <c r="A7" s="192" t="n"/>
      <c r="B7" s="192" t="n"/>
      <c r="C7" s="192" t="n"/>
      <c r="D7" s="192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304" t="n"/>
      <c r="B9" s="304" t="n"/>
      <c r="C9" s="304" t="n"/>
      <c r="D9" s="304" t="n"/>
    </row>
    <row r="10" ht="15.75" customHeight="1" s="190">
      <c r="A10" s="208" t="n">
        <v>1</v>
      </c>
      <c r="B10" s="208" t="n">
        <v>2</v>
      </c>
      <c r="C10" s="208" t="n">
        <v>3</v>
      </c>
      <c r="D10" s="208" t="n">
        <v>4</v>
      </c>
    </row>
    <row r="11" ht="78.75" customHeight="1" s="190">
      <c r="A11" s="208" t="inlineStr">
        <is>
          <t>И13-05</t>
        </is>
      </c>
      <c r="B11" s="208" t="inlineStr">
        <is>
          <t>УНЦ РЗА</t>
        </is>
      </c>
      <c r="C11" s="189">
        <f>D5</f>
        <v/>
      </c>
      <c r="D11" s="153">
        <f>'Прил.4 РМ'!C41/1000</f>
        <v/>
      </c>
    </row>
    <row r="13">
      <c r="A13" s="4" t="inlineStr">
        <is>
          <t>Составил ______________________      Д.Ю. Нефедова</t>
        </is>
      </c>
      <c r="B13" s="12" t="n"/>
      <c r="C13" s="12" t="n"/>
      <c r="D13" s="25" t="n"/>
    </row>
    <row r="14">
      <c r="A14" s="158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158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14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190" min="2" max="2"/>
    <col width="37" customWidth="1" style="190" min="3" max="3"/>
    <col width="32" customWidth="1" style="190" min="4" max="4"/>
  </cols>
  <sheetData>
    <row r="4" ht="15.75" customHeight="1" s="190">
      <c r="B4" s="203" t="inlineStr">
        <is>
          <t>Приложение № 10</t>
        </is>
      </c>
    </row>
    <row r="5" ht="18.75" customHeight="1" s="190">
      <c r="B5" s="154" t="n"/>
    </row>
    <row r="6" ht="15.75" customHeight="1" s="190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41" t="n"/>
    </row>
    <row r="8">
      <c r="B8" s="241" t="n"/>
      <c r="C8" s="241" t="n"/>
      <c r="D8" s="241" t="n"/>
      <c r="E8" s="241" t="n"/>
    </row>
    <row r="9" ht="47.25" customHeight="1" s="190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90">
      <c r="B10" s="208" t="n">
        <v>1</v>
      </c>
      <c r="C10" s="208" t="n">
        <v>2</v>
      </c>
      <c r="D10" s="208" t="n">
        <v>3</v>
      </c>
    </row>
    <row r="11" ht="45" customHeight="1" s="190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прил.1</t>
        </is>
      </c>
      <c r="D11" s="208" t="n">
        <v>44.29</v>
      </c>
    </row>
    <row r="12" ht="29.25" customHeight="1" s="190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прил.1</t>
        </is>
      </c>
      <c r="D12" s="208" t="n">
        <v>13.47</v>
      </c>
    </row>
    <row r="13" ht="29.25" customHeight="1" s="190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прил.1</t>
        </is>
      </c>
      <c r="D13" s="208" t="n">
        <v>8.039999999999999</v>
      </c>
    </row>
    <row r="14" ht="30.75" customHeight="1" s="190">
      <c r="B14" s="208" t="inlineStr">
        <is>
          <t>Индекс изменения сметной стоимости на 1 квартал 2023 года. ОБ</t>
        </is>
      </c>
      <c r="C14" s="137" t="inlineStr">
        <is>
          <t>Письмо Минстроя России от 23.02.2023г. №9791-ИФ/09 прил.6</t>
        </is>
      </c>
      <c r="D14" s="208" t="n">
        <v>6.26</v>
      </c>
    </row>
    <row r="15" ht="89.45" customHeight="1" s="190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190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4.5" customHeight="1" s="190">
      <c r="B17" s="208" t="n"/>
      <c r="C17" s="208" t="n"/>
      <c r="D17" s="208" t="n"/>
    </row>
    <row r="18" ht="31.7" customHeight="1" s="190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156" t="n">
        <v>0.0214</v>
      </c>
    </row>
    <row r="19" ht="31.7" customHeight="1" s="190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156" t="n">
        <v>0.002</v>
      </c>
    </row>
    <row r="20" ht="24" customHeight="1" s="190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156" t="n">
        <v>0.03</v>
      </c>
    </row>
    <row r="21" ht="18.75" customHeight="1" s="190">
      <c r="B21" s="157" t="n"/>
    </row>
    <row r="22" ht="18.75" customHeight="1" s="190">
      <c r="B22" s="157" t="n"/>
    </row>
    <row r="23" ht="18.75" customHeight="1" s="190">
      <c r="B23" s="157" t="n"/>
    </row>
    <row r="24" ht="18.75" customHeight="1" s="190">
      <c r="B24" s="157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58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58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44.85546875" customWidth="1" style="190" min="2" max="2"/>
    <col width="13" customWidth="1" style="190" min="3" max="3"/>
    <col width="22.85546875" customWidth="1" style="190" min="4" max="4"/>
    <col width="21.5703125" customWidth="1" style="190" min="5" max="5"/>
    <col width="43.85546875" customWidth="1" style="190" min="6" max="6"/>
  </cols>
  <sheetData>
    <row r="1" s="190"/>
    <row r="2" ht="17.25" customHeight="1" s="190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3" s="190"/>
    <row r="4" ht="18" customHeight="1" s="190">
      <c r="A4" s="191" t="inlineStr">
        <is>
          <t>Составлен в уровне цен на 01.01.2023 г.</t>
        </is>
      </c>
      <c r="B4" s="192" t="n"/>
      <c r="C4" s="192" t="n"/>
      <c r="D4" s="192" t="n"/>
      <c r="E4" s="192" t="n"/>
      <c r="F4" s="192" t="n"/>
      <c r="G4" s="192" t="n"/>
    </row>
    <row r="5" ht="15.75" customHeight="1" s="190">
      <c r="A5" s="286" t="inlineStr">
        <is>
          <t>№ пп.</t>
        </is>
      </c>
      <c r="B5" s="286" t="inlineStr">
        <is>
          <t>Наименование элемента</t>
        </is>
      </c>
      <c r="C5" s="286" t="inlineStr">
        <is>
          <t>Обозначение</t>
        </is>
      </c>
      <c r="D5" s="286" t="inlineStr">
        <is>
          <t>Формула</t>
        </is>
      </c>
      <c r="E5" s="286" t="inlineStr">
        <is>
          <t>Величина элемента</t>
        </is>
      </c>
      <c r="F5" s="286" t="inlineStr">
        <is>
          <t>Наименования обосновывающих документов</t>
        </is>
      </c>
      <c r="G5" s="192" t="n"/>
    </row>
    <row r="6" ht="15.75" customHeight="1" s="190">
      <c r="A6" s="286" t="n">
        <v>1</v>
      </c>
      <c r="B6" s="286" t="n">
        <v>2</v>
      </c>
      <c r="C6" s="286" t="n">
        <v>3</v>
      </c>
      <c r="D6" s="286" t="n">
        <v>4</v>
      </c>
      <c r="E6" s="286" t="n">
        <v>5</v>
      </c>
      <c r="F6" s="286" t="n">
        <v>6</v>
      </c>
      <c r="G6" s="192" t="n"/>
    </row>
    <row r="7" ht="110.25" customHeight="1" s="190">
      <c r="A7" s="287" t="inlineStr">
        <is>
          <t>1.1</t>
        </is>
      </c>
      <c r="B7" s="2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9" t="inlineStr">
        <is>
          <t>С1ср</t>
        </is>
      </c>
      <c r="D7" s="289" t="inlineStr">
        <is>
          <t>-</t>
        </is>
      </c>
      <c r="E7" s="290" t="n">
        <v>47872.94</v>
      </c>
      <c r="F7" s="2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2" t="n"/>
    </row>
    <row r="8" ht="31.5" customHeight="1" s="190">
      <c r="A8" s="287" t="inlineStr">
        <is>
          <t>1.2</t>
        </is>
      </c>
      <c r="B8" s="288" t="inlineStr">
        <is>
          <t>Среднегодовое нормативное число часов работы одного рабочего в месяц, часы (ч.)</t>
        </is>
      </c>
      <c r="C8" s="289" t="inlineStr">
        <is>
          <t>tср</t>
        </is>
      </c>
      <c r="D8" s="289" t="inlineStr">
        <is>
          <t>1973ч/12мес.</t>
        </is>
      </c>
      <c r="E8" s="291">
        <f>1973/12</f>
        <v/>
      </c>
      <c r="F8" s="288" t="inlineStr">
        <is>
          <t>Производственный календарь 2023 год
(40-часов.неделя)</t>
        </is>
      </c>
      <c r="G8" s="194" t="n"/>
    </row>
    <row r="9" ht="15.75" customHeight="1" s="190">
      <c r="A9" s="287" t="inlineStr">
        <is>
          <t>1.3</t>
        </is>
      </c>
      <c r="B9" s="288" t="inlineStr">
        <is>
          <t>Коэффициент увеличения</t>
        </is>
      </c>
      <c r="C9" s="289" t="inlineStr">
        <is>
          <t>Кув</t>
        </is>
      </c>
      <c r="D9" s="289" t="inlineStr">
        <is>
          <t>-</t>
        </is>
      </c>
      <c r="E9" s="291" t="n">
        <v>1</v>
      </c>
      <c r="F9" s="288" t="n"/>
      <c r="G9" s="194" t="n"/>
    </row>
    <row r="10" ht="15.75" customHeight="1" s="190">
      <c r="A10" s="287" t="inlineStr">
        <is>
          <t>1.4</t>
        </is>
      </c>
      <c r="B10" s="288" t="inlineStr">
        <is>
          <t>Средний разряд работ</t>
        </is>
      </c>
      <c r="C10" s="289" t="n"/>
      <c r="D10" s="289" t="n"/>
      <c r="E10" s="312" t="n">
        <v>4.2</v>
      </c>
      <c r="F10" s="288" t="inlineStr">
        <is>
          <t>РТМ</t>
        </is>
      </c>
      <c r="G10" s="194" t="n"/>
    </row>
    <row r="11" ht="78.75" customHeight="1" s="190">
      <c r="A11" s="287" t="inlineStr">
        <is>
          <t>1.5</t>
        </is>
      </c>
      <c r="B11" s="288" t="inlineStr">
        <is>
          <t>Тарифный коэффициент среднего разряда работ</t>
        </is>
      </c>
      <c r="C11" s="289" t="inlineStr">
        <is>
          <t>КТ</t>
        </is>
      </c>
      <c r="D11" s="289" t="inlineStr">
        <is>
          <t>-</t>
        </is>
      </c>
      <c r="E11" s="313" t="n">
        <v>1.38</v>
      </c>
      <c r="F11" s="2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2" t="n"/>
    </row>
    <row r="12" ht="78.75" customHeight="1" s="190">
      <c r="A12" s="287" t="inlineStr">
        <is>
          <t>1.6</t>
        </is>
      </c>
      <c r="B12" s="294" t="inlineStr">
        <is>
          <t>Коэффициент инфляции, определяемый поквартально</t>
        </is>
      </c>
      <c r="C12" s="289" t="inlineStr">
        <is>
          <t>Кинф</t>
        </is>
      </c>
      <c r="D12" s="289" t="inlineStr">
        <is>
          <t>-</t>
        </is>
      </c>
      <c r="E12" s="314" t="n">
        <v>1.139</v>
      </c>
      <c r="F12" s="2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n"/>
    </row>
    <row r="13" ht="63" customHeight="1" s="190">
      <c r="A13" s="287" t="inlineStr">
        <is>
          <t>1.7</t>
        </is>
      </c>
      <c r="B13" s="297" t="inlineStr">
        <is>
          <t>Размер средств на оплату труда рабочих-строителей в текущем уровне цен (ФОТр.тек.), руб/чел.-ч</t>
        </is>
      </c>
      <c r="C13" s="289" t="inlineStr">
        <is>
          <t>ФОТр.тек.</t>
        </is>
      </c>
      <c r="D13" s="289" t="inlineStr">
        <is>
          <t>(С1ср/tср*КТ*Т*Кув)*Кинф</t>
        </is>
      </c>
      <c r="E13" s="298">
        <f>((E7*E9/E8)*E11)*E12</f>
        <v/>
      </c>
      <c r="F13" s="2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2025-01-24T12:01:44Z</dcterms:modified>
  <cp:lastModifiedBy>Nikolay Ivanov</cp:lastModifiedBy>
  <cp:lastPrinted>2023-11-30T12:38:48Z</cp:lastPrinted>
</cp:coreProperties>
</file>