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0890" windowHeight="807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3'!$A$1:$H$51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7">'Прил. 10'!$A$1:$D$30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_-* #,##0.00\ _₽_-;\-* #,##0.00\ _₽_-;_-* &quot;-&quot;??\ _₽_-;_-@_-"/>
    <numFmt numFmtId="170" formatCode="#,##0.0"/>
    <numFmt numFmtId="171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/>
    </xf>
    <xf numFmtId="0" fontId="17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10" fontId="18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4" fontId="17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top" wrapText="1"/>
    </xf>
    <xf numFmtId="4" fontId="19" fillId="0" borderId="1" applyAlignment="1" pivotButton="0" quotePrefix="0" xfId="0">
      <alignment vertical="top"/>
    </xf>
    <xf numFmtId="165" fontId="1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4" fillId="0" borderId="1" pivotButton="0" quotePrefix="0" xfId="0"/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7" fillId="0" borderId="0" pivotButton="0" quotePrefix="0" xfId="0"/>
    <xf numFmtId="1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center" vertical="center"/>
    </xf>
    <xf numFmtId="0" fontId="20" fillId="0" borderId="0" pivotButton="0" quotePrefix="0" xfId="0"/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" fontId="20" fillId="0" borderId="0" applyAlignment="1" pivotButton="0" quotePrefix="0" xfId="0">
      <alignment wrapText="1"/>
    </xf>
    <xf numFmtId="49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vertical="center" wrapText="1"/>
    </xf>
    <xf numFmtId="0" fontId="20" fillId="0" borderId="0" applyAlignment="1" pivotButton="0" quotePrefix="0" xfId="0">
      <alignment wrapText="1"/>
    </xf>
    <xf numFmtId="0" fontId="17" fillId="0" borderId="2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17" fillId="0" borderId="5" applyAlignment="1" pivotButton="0" quotePrefix="0" xfId="0">
      <alignment horizontal="center" vertical="center" wrapText="1"/>
    </xf>
    <xf numFmtId="0" fontId="19" fillId="0" borderId="0" pivotButton="0" quotePrefix="0" xfId="0"/>
    <xf numFmtId="167" fontId="17" fillId="0" borderId="0" pivotButton="0" quotePrefix="0" xfId="0"/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vertical="top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1" fontId="1" fillId="0" borderId="0" applyAlignment="1" pivotButton="0" quotePrefix="0" xfId="0">
      <alignment horizontal="center" vertical="top" wrapText="1"/>
    </xf>
    <xf numFmtId="0" fontId="17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4" fontId="1" fillId="0" borderId="0" applyAlignment="1" pivotButton="0" quotePrefix="0" xfId="0">
      <alignment horizontal="right" vertical="top" wrapText="1"/>
    </xf>
    <xf numFmtId="169" fontId="19" fillId="0" borderId="0" pivotButton="0" quotePrefix="0" xfId="0"/>
    <xf numFmtId="0" fontId="18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4" fontId="17" fillId="0" borderId="0" applyAlignment="1" pivotButton="0" quotePrefix="0" xfId="0">
      <alignment horizontal="left" vertical="center" wrapText="1"/>
    </xf>
    <xf numFmtId="4" fontId="17" fillId="0" borderId="1" applyAlignment="1" pivotButton="0" quotePrefix="0" xfId="0">
      <alignment vertical="center" wrapText="1"/>
    </xf>
    <xf numFmtId="4" fontId="17" fillId="0" borderId="1" applyAlignment="1" pivotButton="0" quotePrefix="0" xfId="0">
      <alignment horizontal="center" vertical="center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left" vertical="center" wrapText="1"/>
    </xf>
    <xf numFmtId="0" fontId="17" fillId="0" borderId="5" applyAlignment="1" pivotButton="0" quotePrefix="0" xfId="0">
      <alignment horizontal="center" vertical="center"/>
    </xf>
    <xf numFmtId="49" fontId="17" fillId="0" borderId="1" applyAlignment="1" pivotButton="0" quotePrefix="0" xfId="0">
      <alignment horizontal="left" vertical="center" wrapText="1"/>
    </xf>
    <xf numFmtId="4" fontId="17" fillId="0" borderId="1" applyAlignment="1" pivotButton="0" quotePrefix="0" xfId="0">
      <alignment horizontal="right" vertical="center"/>
    </xf>
    <xf numFmtId="4" fontId="17" fillId="0" borderId="1" applyAlignment="1" pivotButton="0" quotePrefix="0" xfId="0">
      <alignment horizontal="right" vertical="center" wrapText="1"/>
    </xf>
    <xf numFmtId="4" fontId="19" fillId="0" borderId="1" applyAlignment="1" pivotButton="0" quotePrefix="0" xfId="0">
      <alignment vertical="center" wrapText="1"/>
    </xf>
    <xf numFmtId="2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4" fontId="19" fillId="0" borderId="2" applyAlignment="1" pivotButton="0" quotePrefix="0" xfId="0">
      <alignment horizontal="center" vertical="center" wrapText="1"/>
    </xf>
    <xf numFmtId="4" fontId="19" fillId="0" borderId="6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4" fontId="17" fillId="0" borderId="2" applyAlignment="1" pivotButton="0" quotePrefix="0" xfId="0">
      <alignment horizontal="center" vertical="center"/>
    </xf>
    <xf numFmtId="4" fontId="17" fillId="0" borderId="6" applyAlignment="1" pivotButton="0" quotePrefix="0" xfId="0">
      <alignment horizontal="center" vertical="center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 wrapText="1"/>
    </xf>
    <xf numFmtId="0" fontId="17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7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7" fillId="0" borderId="10" applyAlignment="1" pivotButton="0" quotePrefix="0" xfId="0">
      <alignment horizontal="center" vertical="center"/>
    </xf>
    <xf numFmtId="49" fontId="17" fillId="0" borderId="10" applyAlignment="1" pivotButton="0" quotePrefix="0" xfId="0">
      <alignment horizontal="center" vertical="center"/>
    </xf>
    <xf numFmtId="0" fontId="17" fillId="0" borderId="10" applyAlignment="1" pivotButton="0" quotePrefix="0" xfId="0">
      <alignment horizontal="left" vertical="center" wrapText="1"/>
    </xf>
    <xf numFmtId="0" fontId="17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7" fillId="0" borderId="10" applyAlignment="1" pivotButton="0" quotePrefix="0" xfId="0">
      <alignment horizontal="center" vertical="center"/>
    </xf>
    <xf numFmtId="170" fontId="17" fillId="0" borderId="10" applyAlignment="1" pivotButton="0" quotePrefix="0" xfId="0">
      <alignment horizontal="center" vertical="center"/>
    </xf>
    <xf numFmtId="171" fontId="17" fillId="0" borderId="10" applyAlignment="1" pivotButton="0" quotePrefix="0" xfId="0">
      <alignment horizontal="center" vertical="center"/>
    </xf>
    <xf numFmtId="0" fontId="17" fillId="0" borderId="10" applyAlignment="1" pivotButton="0" quotePrefix="0" xfId="0">
      <alignment vertical="center" wrapText="1"/>
    </xf>
    <xf numFmtId="166" fontId="17" fillId="0" borderId="10" applyAlignment="1" pivotButton="0" quotePrefix="0" xfId="0">
      <alignment horizontal="center" vertical="center"/>
    </xf>
    <xf numFmtId="0" fontId="17" fillId="0" borderId="10" applyAlignment="1" pivotButton="0" quotePrefix="0" xfId="0">
      <alignment wrapText="1"/>
    </xf>
    <xf numFmtId="0" fontId="19" fillId="0" borderId="10" applyAlignment="1" pivotButton="0" quotePrefix="0" xfId="0">
      <alignment vertical="center" wrapText="1"/>
    </xf>
    <xf numFmtId="4" fontId="19" fillId="0" borderId="1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" fontId="19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7" fontId="17" fillId="0" borderId="0" pivotButton="0" quotePrefix="0" xfId="0"/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9" fontId="19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66" fontId="17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1" zoomScale="55" zoomScaleNormal="55" zoomScaleSheetLayoutView="55" workbookViewId="0">
      <selection activeCell="L55" sqref="L55"/>
    </sheetView>
  </sheetViews>
  <sheetFormatPr baseColWidth="8" defaultColWidth="9.140625" defaultRowHeight="15.75"/>
  <cols>
    <col width="9.140625" customWidth="1" style="197" min="1" max="2"/>
    <col width="51.7109375" customWidth="1" style="197" min="3" max="3"/>
    <col width="47" customWidth="1" style="197" min="4" max="4"/>
    <col width="37.42578125" customWidth="1" style="197" min="5" max="5"/>
    <col width="9.140625" customWidth="1" style="197" min="6" max="6"/>
  </cols>
  <sheetData>
    <row r="3">
      <c r="B3" s="215" t="inlineStr">
        <is>
          <t>Приложение № 1</t>
        </is>
      </c>
    </row>
    <row r="4">
      <c r="B4" s="216" t="inlineStr">
        <is>
          <t>Сравнительная таблица отбора объекта-представителя</t>
        </is>
      </c>
    </row>
    <row r="5" ht="84" customHeight="1" s="195">
      <c r="B5" s="21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5">
      <c r="B6" s="139" t="n"/>
      <c r="C6" s="139" t="n"/>
      <c r="D6" s="139" t="n"/>
    </row>
    <row r="7" ht="64.5" customHeight="1" s="195">
      <c r="B7" s="217" t="inlineStr">
        <is>
          <t>Наименование разрабатываемого показателя УНЦ - Блок аварийного освещения (БАО)</t>
        </is>
      </c>
    </row>
    <row r="8" ht="31.5" customHeight="1" s="195">
      <c r="B8" s="217" t="inlineStr">
        <is>
          <t>Сопоставимый уровень цен: 2 квартал 2019 г</t>
        </is>
      </c>
    </row>
    <row r="9" ht="15.75" customHeight="1" s="195">
      <c r="B9" s="217" t="inlineStr">
        <is>
          <t>Единица измерения  — 1 ед.</t>
        </is>
      </c>
    </row>
    <row r="10">
      <c r="B10" s="217" t="n"/>
    </row>
    <row r="11">
      <c r="B11" s="222" t="inlineStr">
        <is>
          <t>№ п/п</t>
        </is>
      </c>
      <c r="C11" s="222" t="inlineStr">
        <is>
          <t>Параметр</t>
        </is>
      </c>
      <c r="D11" s="222" t="inlineStr">
        <is>
          <t>Объект-представитель</t>
        </is>
      </c>
      <c r="E11" s="140" t="n"/>
    </row>
    <row r="12" ht="96.75" customHeight="1" s="195">
      <c r="B12" s="222" t="n">
        <v>1</v>
      </c>
      <c r="C12" s="141" t="inlineStr">
        <is>
          <t>Наименование объекта-представителя</t>
        </is>
      </c>
      <c r="D12" s="222" t="inlineStr">
        <is>
          <t>Две ВЛ 220 кВ Призейская - Эльгауголь с ПС 220 кВ Эльгауголь, ПС 220 кВ А, ПС 220 кВ Б; расширение ОРУ 220 кВ ПС 220 кВ Призейская</t>
        </is>
      </c>
    </row>
    <row r="13">
      <c r="B13" s="222" t="n">
        <v>2</v>
      </c>
      <c r="C13" s="141" t="inlineStr">
        <is>
          <t>Наименование субъекта Российской Федерации</t>
        </is>
      </c>
      <c r="D13" s="222" t="inlineStr">
        <is>
          <t>Амурская область</t>
        </is>
      </c>
    </row>
    <row r="14">
      <c r="B14" s="222" t="n">
        <v>3</v>
      </c>
      <c r="C14" s="141" t="inlineStr">
        <is>
          <t>Климатический район и подрайон</t>
        </is>
      </c>
      <c r="D14" s="188" t="inlineStr">
        <is>
          <t>I</t>
        </is>
      </c>
    </row>
    <row r="15">
      <c r="B15" s="222" t="n">
        <v>4</v>
      </c>
      <c r="C15" s="141" t="inlineStr">
        <is>
          <t>Мощность объекта</t>
        </is>
      </c>
      <c r="D15" s="188" t="n">
        <v>1</v>
      </c>
    </row>
    <row r="16" ht="63" customHeight="1" s="195">
      <c r="B16" s="222" t="n">
        <v>5</v>
      </c>
      <c r="C16" s="14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2" t="inlineStr">
        <is>
          <t>Блок аварийного освещения (БАО)</t>
        </is>
      </c>
    </row>
    <row r="17" ht="79.5" customHeight="1" s="195">
      <c r="B17" s="222" t="n">
        <v>6</v>
      </c>
      <c r="C17" s="14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6" t="n">
        <v>581.88288</v>
      </c>
      <c r="E17" s="143" t="n"/>
    </row>
    <row r="18">
      <c r="B18" s="144" t="inlineStr">
        <is>
          <t>6.1</t>
        </is>
      </c>
      <c r="C18" s="141" t="inlineStr">
        <is>
          <t>строительно-монтажные работы</t>
        </is>
      </c>
      <c r="D18" s="206" t="n">
        <v>5.27544</v>
      </c>
    </row>
    <row r="19" ht="15.75" customHeight="1" s="195">
      <c r="B19" s="144" t="inlineStr">
        <is>
          <t>6.2</t>
        </is>
      </c>
      <c r="C19" s="141" t="inlineStr">
        <is>
          <t>оборудование и инвентарь</t>
        </is>
      </c>
      <c r="D19" s="206" t="n">
        <v>576.60744</v>
      </c>
    </row>
    <row r="20" ht="16.5" customHeight="1" s="195">
      <c r="B20" s="144" t="inlineStr">
        <is>
          <t>6.3</t>
        </is>
      </c>
      <c r="C20" s="141" t="inlineStr">
        <is>
          <t>пусконаладочные работы</t>
        </is>
      </c>
      <c r="D20" s="222" t="n"/>
    </row>
    <row r="21" ht="35.25" customHeight="1" s="195">
      <c r="B21" s="144" t="inlineStr">
        <is>
          <t>6.4</t>
        </is>
      </c>
      <c r="C21" s="145" t="inlineStr">
        <is>
          <t>прочие и лимитированные затраты</t>
        </is>
      </c>
      <c r="D21" s="222" t="n"/>
    </row>
    <row r="22">
      <c r="B22" s="222" t="n">
        <v>7</v>
      </c>
      <c r="C22" s="145" t="inlineStr">
        <is>
          <t>Сопоставимый уровень цен</t>
        </is>
      </c>
      <c r="D22" s="222" t="inlineStr">
        <is>
          <t>2 квартал 2019 г</t>
        </is>
      </c>
      <c r="E22" s="146" t="n"/>
    </row>
    <row r="23" ht="123" customHeight="1" s="195">
      <c r="B23" s="222" t="n">
        <v>8</v>
      </c>
      <c r="C23" s="14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6" t="n">
        <v>581.88288</v>
      </c>
      <c r="E23" s="143" t="n"/>
    </row>
    <row r="24" ht="60.75" customHeight="1" s="195">
      <c r="B24" s="222" t="n">
        <v>9</v>
      </c>
      <c r="C24" s="142" t="inlineStr">
        <is>
          <t>Приведенная сметная стоимость на единицу мощности, тыс. руб. (строка 8/строку 4)</t>
        </is>
      </c>
      <c r="D24" s="206" t="n">
        <v>581.88288</v>
      </c>
      <c r="E24" s="146" t="n"/>
    </row>
    <row r="25">
      <c r="B25" s="222" t="n">
        <v>10</v>
      </c>
      <c r="C25" s="141" t="inlineStr">
        <is>
          <t>Примечание</t>
        </is>
      </c>
      <c r="D25" s="222" t="n"/>
    </row>
    <row r="26">
      <c r="B26" s="148" t="n"/>
      <c r="C26" s="149" t="n"/>
      <c r="D26" s="149" t="n"/>
    </row>
    <row r="27">
      <c r="B27" s="114" t="n"/>
    </row>
    <row r="28">
      <c r="B28" s="197" t="inlineStr">
        <is>
          <t>Составил ______________________    Д.Ю. Нефедова</t>
        </is>
      </c>
    </row>
    <row r="29">
      <c r="B29" s="114" t="inlineStr">
        <is>
          <t xml:space="preserve">                         (подпись, инициалы, фамилия)</t>
        </is>
      </c>
    </row>
    <row r="31">
      <c r="B31" s="197" t="inlineStr">
        <is>
          <t>Проверил ______________________        А.В. Костянецкая</t>
        </is>
      </c>
    </row>
    <row r="32">
      <c r="B32" s="11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L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197" min="1" max="1"/>
    <col width="9.140625" customWidth="1" style="197" min="2" max="2"/>
    <col width="35.28515625" customWidth="1" style="197" min="3" max="3"/>
    <col width="13.85546875" customWidth="1" style="197" min="4" max="4"/>
    <col width="24.85546875" customWidth="1" style="197" min="5" max="5"/>
    <col width="15.5703125" customWidth="1" style="197" min="6" max="6"/>
    <col width="14.85546875" customWidth="1" style="197" min="7" max="7"/>
    <col width="16.7109375" customWidth="1" style="197" min="8" max="8"/>
    <col width="13" customWidth="1" style="197" min="9" max="10"/>
    <col width="9.140625" customWidth="1" style="197" min="11" max="11"/>
  </cols>
  <sheetData>
    <row r="3">
      <c r="B3" s="215" t="inlineStr">
        <is>
          <t>Приложение № 2</t>
        </is>
      </c>
    </row>
    <row r="4">
      <c r="B4" s="216" t="inlineStr">
        <is>
          <t>Расчет стоимости основных видов работ для выбора объекта-представителя</t>
        </is>
      </c>
    </row>
    <row r="5">
      <c r="B5" s="112" t="n"/>
      <c r="C5" s="112" t="n"/>
      <c r="D5" s="112" t="n"/>
      <c r="E5" s="112" t="n"/>
      <c r="F5" s="112" t="n"/>
      <c r="G5" s="112" t="n"/>
      <c r="H5" s="112" t="n"/>
      <c r="I5" s="112" t="n"/>
      <c r="J5" s="112" t="n"/>
    </row>
    <row r="6" ht="29.25" customHeight="1" s="195">
      <c r="B6" s="217">
        <f>'Прил.1 Сравнит табл'!B7:D7</f>
        <v/>
      </c>
    </row>
    <row r="7">
      <c r="B7" s="217">
        <f>'Прил.1 Сравнит табл'!B9:D9</f>
        <v/>
      </c>
    </row>
    <row r="8" ht="18.75" customHeight="1" s="195">
      <c r="B8" s="106" t="n"/>
    </row>
    <row r="9" ht="15.75" customHeight="1" s="195">
      <c r="B9" s="222" t="inlineStr">
        <is>
          <t>№ п/п</t>
        </is>
      </c>
      <c r="C9" s="22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2" t="inlineStr">
        <is>
          <t xml:space="preserve">Объект-представитель </t>
        </is>
      </c>
      <c r="E9" s="316" t="n"/>
      <c r="F9" s="316" t="n"/>
      <c r="G9" s="316" t="n"/>
      <c r="H9" s="316" t="n"/>
      <c r="I9" s="316" t="n"/>
      <c r="J9" s="317" t="n"/>
      <c r="L9" s="197" t="n"/>
    </row>
    <row r="10" ht="15.75" customHeight="1" s="195">
      <c r="B10" s="318" t="n"/>
      <c r="C10" s="318" t="n"/>
      <c r="D10" s="222" t="inlineStr">
        <is>
          <t>Номер сметы</t>
        </is>
      </c>
      <c r="E10" s="222" t="inlineStr">
        <is>
          <t>Наименование сметы</t>
        </is>
      </c>
      <c r="F10" s="222" t="inlineStr">
        <is>
          <t>Сметная стоимость в уровне цен 2 кв. 2019 г., тыс. руб.</t>
        </is>
      </c>
      <c r="G10" s="316" t="n"/>
      <c r="H10" s="316" t="n"/>
      <c r="I10" s="316" t="n"/>
      <c r="J10" s="317" t="n"/>
      <c r="L10" s="197" t="n"/>
    </row>
    <row r="11" ht="83.25" customHeight="1" s="195">
      <c r="B11" s="319" t="n"/>
      <c r="C11" s="319" t="n"/>
      <c r="D11" s="319" t="n"/>
      <c r="E11" s="319" t="n"/>
      <c r="F11" s="222" t="inlineStr">
        <is>
          <t>Строительные работы</t>
        </is>
      </c>
      <c r="G11" s="222" t="inlineStr">
        <is>
          <t>Монтажные работы</t>
        </is>
      </c>
      <c r="H11" s="222" t="inlineStr">
        <is>
          <t>Оборудование</t>
        </is>
      </c>
      <c r="I11" s="222" t="inlineStr">
        <is>
          <t>Прочее</t>
        </is>
      </c>
      <c r="J11" s="222" t="inlineStr">
        <is>
          <t>Всего</t>
        </is>
      </c>
      <c r="L11" s="197" t="n"/>
    </row>
    <row r="12" ht="49.5" customHeight="1" s="195">
      <c r="B12" s="201" t="n">
        <v>1</v>
      </c>
      <c r="C12" s="152" t="inlineStr">
        <is>
          <t>Блок аварийного освещения (БАО)</t>
        </is>
      </c>
      <c r="D12" s="202" t="n"/>
      <c r="E12" s="141" t="n"/>
      <c r="F12" s="192" t="n">
        <v>5.27544</v>
      </c>
      <c r="G12" s="317" t="n"/>
      <c r="H12" s="203" t="n">
        <v>576.60744</v>
      </c>
      <c r="I12" s="203" t="n"/>
      <c r="J12" s="204" t="n">
        <v>581.88288</v>
      </c>
      <c r="L12" s="197" t="n"/>
    </row>
    <row r="13" ht="15.75" customHeight="1" s="195">
      <c r="B13" s="219" t="inlineStr">
        <is>
          <t>Всего по объекту:</t>
        </is>
      </c>
      <c r="C13" s="316" t="n"/>
      <c r="D13" s="316" t="n"/>
      <c r="E13" s="317" t="n"/>
      <c r="F13" s="320" t="n">
        <v>5.27544</v>
      </c>
      <c r="G13" s="317" t="n"/>
      <c r="H13" s="205" t="n">
        <v>576.60744</v>
      </c>
      <c r="I13" s="205" t="n"/>
      <c r="J13" s="205" t="n">
        <v>581.88288</v>
      </c>
      <c r="L13" s="197" t="n"/>
    </row>
    <row r="14" ht="28.5" customHeight="1" s="195">
      <c r="B14" s="219" t="inlineStr">
        <is>
          <t>Всего по объекту в сопоставимом уровне цен 2 кв. 2019 г:</t>
        </is>
      </c>
      <c r="C14" s="316" t="n"/>
      <c r="D14" s="316" t="n"/>
      <c r="E14" s="317" t="n"/>
      <c r="F14" s="320" t="n">
        <v>5.27544</v>
      </c>
      <c r="G14" s="317" t="n"/>
      <c r="H14" s="205" t="n">
        <v>576.60744</v>
      </c>
      <c r="I14" s="205" t="n"/>
      <c r="J14" s="205" t="n">
        <v>581.88288</v>
      </c>
      <c r="L14" s="197" t="n"/>
    </row>
    <row r="15" ht="15" customHeight="1" s="195"/>
    <row r="16" ht="15" customHeight="1" s="195"/>
    <row r="17" ht="15" customHeight="1" s="195"/>
    <row r="18" ht="15" customHeight="1" s="195">
      <c r="C18" s="4" t="inlineStr">
        <is>
          <t>Составил ______________________     Д.Ю. Нефедова</t>
        </is>
      </c>
      <c r="D18" s="12" t="n"/>
      <c r="E18" s="12" t="n"/>
    </row>
    <row r="19" ht="15" customHeight="1" s="195">
      <c r="C19" s="11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 s="195">
      <c r="C20" s="4" t="n"/>
      <c r="D20" s="12" t="n"/>
      <c r="E20" s="12" t="n"/>
    </row>
    <row r="21" ht="15" customHeight="1" s="195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 s="195">
      <c r="C22" s="11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 s="195"/>
    <row r="24" ht="15" customHeight="1" s="195"/>
    <row r="25" ht="15" customHeight="1" s="195"/>
    <row r="26" ht="15" customHeight="1" s="195"/>
    <row r="27" ht="15" customHeight="1" s="195"/>
    <row r="28" ht="15" customHeight="1" s="195"/>
  </sheetData>
  <mergeCells count="15">
    <mergeCell ref="B7:J7"/>
    <mergeCell ref="F12:G12"/>
    <mergeCell ref="B3:J3"/>
    <mergeCell ref="D10:D11"/>
    <mergeCell ref="D9:J9"/>
    <mergeCell ref="B13:E13"/>
    <mergeCell ref="F10:J10"/>
    <mergeCell ref="B9:B11"/>
    <mergeCell ref="C9:C11"/>
    <mergeCell ref="F14:G14"/>
    <mergeCell ref="B4:J4"/>
    <mergeCell ref="F13:G13"/>
    <mergeCell ref="E10:E11"/>
    <mergeCell ref="B6:J6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M49"/>
  <sheetViews>
    <sheetView view="pageBreakPreview" topLeftCell="A16" zoomScale="70" workbookViewId="0">
      <selection activeCell="C44" sqref="C44"/>
    </sheetView>
  </sheetViews>
  <sheetFormatPr baseColWidth="8" defaultColWidth="9.140625" defaultRowHeight="15.75"/>
  <cols>
    <col width="9.140625" customWidth="1" style="197" min="1" max="1"/>
    <col width="12.5703125" customWidth="1" style="197" min="2" max="2"/>
    <col width="22.42578125" customWidth="1" style="197" min="3" max="3"/>
    <col width="49.7109375" customWidth="1" style="197" min="4" max="4"/>
    <col width="10.140625" customWidth="1" style="197" min="5" max="5"/>
    <col width="20.7109375" customWidth="1" style="197" min="6" max="6"/>
    <col width="20" customWidth="1" style="197" min="7" max="7"/>
    <col width="16.7109375" customWidth="1" style="197" min="8" max="8"/>
    <col width="3.42578125" customWidth="1" style="197" min="9" max="9"/>
    <col width="8.28515625" customWidth="1" style="197" min="10" max="10"/>
    <col width="15" customWidth="1" style="197" min="11" max="11"/>
    <col width="9.140625" customWidth="1" style="197" min="12" max="12"/>
  </cols>
  <sheetData>
    <row r="2">
      <c r="A2" s="215" t="inlineStr">
        <is>
          <t xml:space="preserve">Приложение № 3 </t>
        </is>
      </c>
    </row>
    <row r="3">
      <c r="A3" s="216" t="inlineStr">
        <is>
          <t>Объектная ресурсная ведомость</t>
        </is>
      </c>
    </row>
    <row r="4" ht="18.75" customHeight="1" s="195">
      <c r="A4" s="150" t="n"/>
      <c r="B4" s="150" t="n"/>
      <c r="C4" s="23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17" t="n"/>
    </row>
    <row r="6" s="195">
      <c r="A6" s="217" t="n"/>
      <c r="B6" s="197" t="n"/>
      <c r="C6" s="197" t="n"/>
      <c r="D6" s="197" t="n"/>
      <c r="E6" s="197" t="n"/>
      <c r="F6" s="197" t="n"/>
      <c r="G6" s="197" t="n"/>
      <c r="H6" s="197" t="n"/>
      <c r="I6" s="197" t="n"/>
      <c r="J6" s="197" t="n"/>
      <c r="K6" s="197" t="n"/>
      <c r="L6" s="197" t="n"/>
    </row>
    <row r="7" s="195">
      <c r="A7" s="217" t="n"/>
      <c r="B7" s="197" t="n"/>
      <c r="C7" s="197" t="n"/>
      <c r="D7" s="197" t="n"/>
      <c r="E7" s="197" t="n"/>
      <c r="F7" s="197" t="n"/>
      <c r="G7" s="197" t="n"/>
      <c r="H7" s="197" t="n"/>
      <c r="I7" s="197" t="n"/>
      <c r="J7" s="197" t="n"/>
      <c r="K7" s="197" t="n"/>
      <c r="L7" s="197" t="n"/>
    </row>
    <row r="8" ht="33.75" customHeight="1" s="195">
      <c r="A8" s="229" t="inlineStr">
        <is>
          <t>Наименование разрабатываемого показателя УНЦ -  Блок аварийного освещения (БАО)</t>
        </is>
      </c>
    </row>
    <row r="9">
      <c r="A9" s="151" t="n"/>
      <c r="B9" s="151" t="n"/>
      <c r="C9" s="151" t="n"/>
      <c r="D9" s="151" t="n"/>
      <c r="E9" s="151" t="n"/>
      <c r="F9" s="151" t="n"/>
      <c r="G9" s="151" t="n"/>
      <c r="H9" s="151" t="n"/>
    </row>
    <row r="10" ht="38.25" customHeight="1" s="195">
      <c r="A10" s="222" t="inlineStr">
        <is>
          <t>п/п</t>
        </is>
      </c>
      <c r="B10" s="222" t="inlineStr">
        <is>
          <t>№ЛСР</t>
        </is>
      </c>
      <c r="C10" s="222" t="inlineStr">
        <is>
          <t>Код ресурса</t>
        </is>
      </c>
      <c r="D10" s="222" t="inlineStr">
        <is>
          <t>Наименование ресурса</t>
        </is>
      </c>
      <c r="E10" s="222" t="inlineStr">
        <is>
          <t>Ед. изм.</t>
        </is>
      </c>
      <c r="F10" s="222" t="inlineStr">
        <is>
          <t>Кол-во единиц по данным объекта-представителя</t>
        </is>
      </c>
      <c r="G10" s="222" t="inlineStr">
        <is>
          <t>Сметная стоимость в ценах на 01.01.2000 (руб.)</t>
        </is>
      </c>
      <c r="H10" s="317" t="n"/>
    </row>
    <row r="11" ht="40.5" customHeight="1" s="195">
      <c r="A11" s="319" t="n"/>
      <c r="B11" s="319" t="n"/>
      <c r="C11" s="319" t="n"/>
      <c r="D11" s="319" t="n"/>
      <c r="E11" s="319" t="n"/>
      <c r="F11" s="319" t="n"/>
      <c r="G11" s="222" t="inlineStr">
        <is>
          <t>на ед.изм.</t>
        </is>
      </c>
      <c r="H11" s="222" t="inlineStr">
        <is>
          <t>общая</t>
        </is>
      </c>
    </row>
    <row r="12">
      <c r="A12" s="152" t="n">
        <v>1</v>
      </c>
      <c r="B12" s="152" t="n"/>
      <c r="C12" s="152" t="n">
        <v>2</v>
      </c>
      <c r="D12" s="152" t="inlineStr">
        <is>
          <t>З</t>
        </is>
      </c>
      <c r="E12" s="152" t="n">
        <v>4</v>
      </c>
      <c r="F12" s="152" t="n">
        <v>5</v>
      </c>
      <c r="G12" s="152" t="n">
        <v>6</v>
      </c>
      <c r="H12" s="152" t="n">
        <v>7</v>
      </c>
    </row>
    <row r="13" customFormat="1" s="153">
      <c r="A13" s="226" t="inlineStr">
        <is>
          <t>Затраты труда рабочих</t>
        </is>
      </c>
      <c r="B13" s="316" t="n"/>
      <c r="C13" s="316" t="n"/>
      <c r="D13" s="316" t="n"/>
      <c r="E13" s="317" t="n"/>
      <c r="F13" s="321" t="n">
        <v>6.83</v>
      </c>
      <c r="G13" s="10" t="n"/>
      <c r="H13" s="321">
        <f>SUM(H14:H16)</f>
        <v/>
      </c>
    </row>
    <row r="14">
      <c r="A14" s="256" t="n">
        <v>1</v>
      </c>
      <c r="B14" s="122" t="n"/>
      <c r="C14" s="127" t="inlineStr">
        <is>
          <t>1-3-8</t>
        </is>
      </c>
      <c r="D14" s="128" t="inlineStr">
        <is>
          <t>Затраты труда рабочих (ср 3,8)</t>
        </is>
      </c>
      <c r="E14" s="256" t="inlineStr">
        <is>
          <t>чел.-ч</t>
        </is>
      </c>
      <c r="F14" s="127" t="n">
        <v>5.06</v>
      </c>
      <c r="G14" s="189" t="n">
        <v>9.4</v>
      </c>
      <c r="H14" s="123">
        <f>ROUND(F14*G14,2)</f>
        <v/>
      </c>
      <c r="M14" s="322" t="n"/>
    </row>
    <row r="15">
      <c r="A15" s="256" t="n">
        <v>2</v>
      </c>
      <c r="B15" s="122" t="n"/>
      <c r="C15" s="127" t="inlineStr">
        <is>
          <t>1-4-0</t>
        </is>
      </c>
      <c r="D15" s="128" t="inlineStr">
        <is>
          <t>Затраты труда рабочих (ср 4)</t>
        </is>
      </c>
      <c r="E15" s="256" t="inlineStr">
        <is>
          <t>чел.-ч</t>
        </is>
      </c>
      <c r="F15" s="127" t="n">
        <v>1.03</v>
      </c>
      <c r="G15" s="189" t="n">
        <v>9.619999999999999</v>
      </c>
      <c r="H15" s="123">
        <f>ROUND(F15*G15,2)</f>
        <v/>
      </c>
      <c r="M15" s="322" t="n"/>
    </row>
    <row r="16">
      <c r="A16" s="256" t="n">
        <v>3</v>
      </c>
      <c r="B16" s="122" t="n"/>
      <c r="C16" s="127" t="inlineStr">
        <is>
          <t>1-4-1</t>
        </is>
      </c>
      <c r="D16" s="128" t="inlineStr">
        <is>
          <t>Затраты труда рабочих (ср 4,1)</t>
        </is>
      </c>
      <c r="E16" s="256" t="inlineStr">
        <is>
          <t>чел.-ч</t>
        </is>
      </c>
      <c r="F16" s="127" t="n">
        <v>0.74</v>
      </c>
      <c r="G16" s="189" t="n">
        <v>9.76</v>
      </c>
      <c r="H16" s="123">
        <f>ROUND(F16*G16,2)</f>
        <v/>
      </c>
      <c r="M16" s="322" t="n"/>
    </row>
    <row r="17">
      <c r="A17" s="225" t="inlineStr">
        <is>
          <t>Затраты труда машинистов</t>
        </is>
      </c>
      <c r="B17" s="316" t="n"/>
      <c r="C17" s="316" t="n"/>
      <c r="D17" s="316" t="n"/>
      <c r="E17" s="317" t="n"/>
      <c r="F17" s="226" t="n"/>
      <c r="G17" s="124" t="n"/>
      <c r="H17" s="321">
        <f>H18</f>
        <v/>
      </c>
    </row>
    <row r="18">
      <c r="A18" s="256" t="n">
        <v>4</v>
      </c>
      <c r="B18" s="227" t="n"/>
      <c r="C18" s="127" t="n">
        <v>2</v>
      </c>
      <c r="D18" s="128" t="inlineStr">
        <is>
          <t>Затраты труда машинистов</t>
        </is>
      </c>
      <c r="E18" s="256" t="inlineStr">
        <is>
          <t>чел.-ч</t>
        </is>
      </c>
      <c r="F18" s="323" t="n">
        <v>0.26</v>
      </c>
      <c r="G18" s="123" t="n"/>
      <c r="H18" s="324" t="n">
        <v>3.27</v>
      </c>
    </row>
    <row r="19" customFormat="1" s="153">
      <c r="A19" s="226" t="inlineStr">
        <is>
          <t>Машины и механизмы</t>
        </is>
      </c>
      <c r="B19" s="316" t="n"/>
      <c r="C19" s="316" t="n"/>
      <c r="D19" s="316" t="n"/>
      <c r="E19" s="317" t="n"/>
      <c r="F19" s="226" t="n"/>
      <c r="G19" s="124" t="n"/>
      <c r="H19" s="321">
        <f>SUM(H20:H23)</f>
        <v/>
      </c>
      <c r="K19" s="325" t="n"/>
    </row>
    <row r="20" ht="25.5" customHeight="1" s="195">
      <c r="A20" s="256" t="n">
        <v>5</v>
      </c>
      <c r="B20" s="227" t="n"/>
      <c r="C20" s="127" t="inlineStr">
        <is>
          <t>91.05.05-015</t>
        </is>
      </c>
      <c r="D20" s="128" t="inlineStr">
        <is>
          <t>Краны на автомобильном ходу, грузоподъемность 16 т</t>
        </is>
      </c>
      <c r="E20" s="256" t="inlineStr">
        <is>
          <t>маш.час</t>
        </is>
      </c>
      <c r="F20" s="127" t="n">
        <v>0.13</v>
      </c>
      <c r="G20" s="189" t="n">
        <v>115.4</v>
      </c>
      <c r="H20" s="123">
        <f>ROUND(F20*G20,2)</f>
        <v/>
      </c>
      <c r="I20" s="135" t="n"/>
      <c r="J20" s="135" t="n"/>
      <c r="L20" s="135" t="n"/>
    </row>
    <row r="21">
      <c r="A21" s="256" t="n">
        <v>6</v>
      </c>
      <c r="B21" s="227" t="n"/>
      <c r="C21" s="127" t="inlineStr">
        <is>
          <t>91.14.02-001</t>
        </is>
      </c>
      <c r="D21" s="128" t="inlineStr">
        <is>
          <t>Автомобили бортовые, грузоподъемность до 5 т</t>
        </is>
      </c>
      <c r="E21" s="256" t="inlineStr">
        <is>
          <t>маш.час</t>
        </is>
      </c>
      <c r="F21" s="127" t="n">
        <v>0.13</v>
      </c>
      <c r="G21" s="189" t="n">
        <v>65.70999999999999</v>
      </c>
      <c r="H21" s="123">
        <f>ROUND(F21*G21,2)</f>
        <v/>
      </c>
      <c r="I21" s="135" t="n"/>
      <c r="J21" s="135" t="n"/>
      <c r="K21" s="135" t="n"/>
      <c r="L21" s="135" t="n"/>
    </row>
    <row r="22" ht="25.5" customFormat="1" customHeight="1" s="153">
      <c r="A22" s="256" t="n">
        <v>7</v>
      </c>
      <c r="B22" s="227" t="n"/>
      <c r="C22" s="127" t="inlineStr">
        <is>
          <t>91.06.03-061</t>
        </is>
      </c>
      <c r="D22" s="128" t="inlineStr">
        <is>
          <t>Лебедки электрические тяговым усилием до 12,26 кН (1,25 т)</t>
        </is>
      </c>
      <c r="E22" s="256" t="inlineStr">
        <is>
          <t>маш.час</t>
        </is>
      </c>
      <c r="F22" s="127" t="n">
        <v>1.1</v>
      </c>
      <c r="G22" s="189" t="n">
        <v>3.28</v>
      </c>
      <c r="H22" s="123">
        <f>ROUND(F22*G22,2)</f>
        <v/>
      </c>
      <c r="I22" s="135" t="n"/>
      <c r="J22" s="135" t="n"/>
      <c r="K22" s="135" t="n"/>
      <c r="L22" s="135" t="n"/>
    </row>
    <row r="23" ht="25.5" customFormat="1" customHeight="1" s="153">
      <c r="A23" s="256" t="n">
        <v>8</v>
      </c>
      <c r="B23" s="227" t="n"/>
      <c r="C23" s="127" t="inlineStr">
        <is>
          <t>91.06.01-003</t>
        </is>
      </c>
      <c r="D23" s="128" t="inlineStr">
        <is>
          <t>Домкраты гидравлические, грузоподъемность 63-100 т</t>
        </is>
      </c>
      <c r="E23" s="256" t="inlineStr">
        <is>
          <t>маш.час</t>
        </is>
      </c>
      <c r="F23" s="127" t="n">
        <v>1.1</v>
      </c>
      <c r="G23" s="189" t="n">
        <v>0.9</v>
      </c>
      <c r="H23" s="123">
        <f>ROUND(F23*G23,2)</f>
        <v/>
      </c>
      <c r="I23" s="135" t="n"/>
      <c r="J23" s="135" t="n"/>
      <c r="L23" s="135" t="n"/>
    </row>
    <row r="24" ht="15" customHeight="1" s="195">
      <c r="A24" s="226" t="inlineStr">
        <is>
          <t>Оборудование</t>
        </is>
      </c>
      <c r="B24" s="316" t="n"/>
      <c r="C24" s="316" t="n"/>
      <c r="D24" s="316" t="n"/>
      <c r="E24" s="317" t="n"/>
      <c r="F24" s="10" t="n"/>
      <c r="G24" s="10" t="n"/>
      <c r="H24" s="321">
        <f>H25</f>
        <v/>
      </c>
    </row>
    <row r="25">
      <c r="A25" s="157" t="n">
        <v>9</v>
      </c>
      <c r="B25" s="227" t="n"/>
      <c r="C25" s="127" t="inlineStr">
        <is>
          <t>Прайс из СД ОП</t>
        </is>
      </c>
      <c r="D25" s="128" t="inlineStr">
        <is>
          <t>Блок аварийного освещения (БАО)</t>
        </is>
      </c>
      <c r="E25" s="256" t="inlineStr">
        <is>
          <t>компл</t>
        </is>
      </c>
      <c r="F25" s="256" t="n">
        <v>1</v>
      </c>
      <c r="G25" s="123" t="n">
        <v>124001.6</v>
      </c>
      <c r="H25" s="123">
        <f>ROUND(F25*G25,2)</f>
        <v/>
      </c>
      <c r="I25" s="136" t="n"/>
      <c r="J25" s="135" t="n"/>
      <c r="K25" s="135" t="n"/>
    </row>
    <row r="26">
      <c r="A26" s="226" t="inlineStr">
        <is>
          <t>Материалы</t>
        </is>
      </c>
      <c r="B26" s="316" t="n"/>
      <c r="C26" s="316" t="n"/>
      <c r="D26" s="316" t="n"/>
      <c r="E26" s="317" t="n"/>
      <c r="F26" s="226" t="n"/>
      <c r="G26" s="124" t="n"/>
      <c r="H26" s="321">
        <f>SUM(H27:H42)</f>
        <v/>
      </c>
    </row>
    <row r="27" ht="25.5" customHeight="1" s="195">
      <c r="A27" s="157" t="n">
        <v>10</v>
      </c>
      <c r="B27" s="227" t="n"/>
      <c r="C27" s="127" t="inlineStr">
        <is>
          <t>21.1.06.09-0161</t>
        </is>
      </c>
      <c r="D27" s="128" t="inlineStr">
        <is>
          <t>Кабель силовой с медными жилами ВВГнг(A)-LS 4х2,5-660</t>
        </is>
      </c>
      <c r="E27" s="256" t="inlineStr">
        <is>
          <t>1000 м</t>
        </is>
      </c>
      <c r="F27" s="256" t="n">
        <v>0.051</v>
      </c>
      <c r="G27" s="123" t="n">
        <v>9526.1</v>
      </c>
      <c r="H27" s="123">
        <f>ROUND(F27*G27,2)</f>
        <v/>
      </c>
      <c r="I27" s="136" t="n"/>
      <c r="J27" s="135" t="n"/>
      <c r="K27" s="135" t="n"/>
    </row>
    <row r="28" ht="25.5" customHeight="1" s="195">
      <c r="A28" s="157" t="n">
        <v>11</v>
      </c>
      <c r="B28" s="227" t="n"/>
      <c r="C28" s="127" t="inlineStr">
        <is>
          <t>10.3.02.03-0011</t>
        </is>
      </c>
      <c r="D28" s="128" t="inlineStr">
        <is>
          <t>Припои оловянно-свинцовые бессурьмянистые, марка ПОС30</t>
        </is>
      </c>
      <c r="E28" s="256" t="inlineStr">
        <is>
          <t>т</t>
        </is>
      </c>
      <c r="F28" s="127" t="n">
        <v>0.00023</v>
      </c>
      <c r="G28" s="189" t="n">
        <v>68050</v>
      </c>
      <c r="H28" s="123">
        <f>ROUND(F28*G28,2)</f>
        <v/>
      </c>
      <c r="I28" s="136" t="n"/>
      <c r="J28" s="135" t="n"/>
      <c r="K28" s="135" t="n"/>
    </row>
    <row r="29">
      <c r="A29" s="157" t="n">
        <v>12</v>
      </c>
      <c r="B29" s="227" t="n"/>
      <c r="C29" s="127" t="inlineStr">
        <is>
          <t>20.1.02.06-0001</t>
        </is>
      </c>
      <c r="D29" s="128" t="inlineStr">
        <is>
          <t>Жир паяльный</t>
        </is>
      </c>
      <c r="E29" s="256" t="inlineStr">
        <is>
          <t>кг</t>
        </is>
      </c>
      <c r="F29" s="127" t="n">
        <v>0.04</v>
      </c>
      <c r="G29" s="189" t="n">
        <v>100.8</v>
      </c>
      <c r="H29" s="123">
        <f>ROUND(F29*G29,2)</f>
        <v/>
      </c>
      <c r="I29" s="136" t="n"/>
      <c r="J29" s="135" t="n"/>
    </row>
    <row r="30">
      <c r="A30" s="157" t="n">
        <v>13</v>
      </c>
      <c r="B30" s="227" t="n"/>
      <c r="C30" s="127" t="inlineStr">
        <is>
          <t>14.4.03.03-0002</t>
        </is>
      </c>
      <c r="D30" s="128" t="inlineStr">
        <is>
          <t>Лак битумный БТ-123</t>
        </is>
      </c>
      <c r="E30" s="256" t="inlineStr">
        <is>
          <t>т</t>
        </is>
      </c>
      <c r="F30" s="127" t="n">
        <v>0.00036</v>
      </c>
      <c r="G30" s="189" t="n">
        <v>7826.9</v>
      </c>
      <c r="H30" s="123">
        <f>ROUND(F30*G30,2)</f>
        <v/>
      </c>
      <c r="I30" s="136" t="n"/>
      <c r="J30" s="135" t="n"/>
      <c r="K30" s="135" t="n"/>
    </row>
    <row r="31">
      <c r="A31" s="157" t="n">
        <v>14</v>
      </c>
      <c r="B31" s="227" t="n"/>
      <c r="C31" s="127" t="inlineStr">
        <is>
          <t>25.2.01.01-0017</t>
        </is>
      </c>
      <c r="D31" s="128" t="inlineStr">
        <is>
          <t>Бирки маркировочные пластмассовые</t>
        </is>
      </c>
      <c r="E31" s="256" t="inlineStr">
        <is>
          <t>100 шт</t>
        </is>
      </c>
      <c r="F31" s="127" t="n">
        <v>0.08</v>
      </c>
      <c r="G31" s="189" t="n">
        <v>30.74</v>
      </c>
      <c r="H31" s="123">
        <f>ROUND(F31*G31,2)</f>
        <v/>
      </c>
      <c r="I31" s="136" t="n"/>
      <c r="J31" s="135" t="n"/>
      <c r="K31" s="135" t="n"/>
    </row>
    <row r="32" ht="25.5" customHeight="1" s="195">
      <c r="A32" s="157" t="n">
        <v>15</v>
      </c>
      <c r="B32" s="227" t="n"/>
      <c r="C32" s="127" t="inlineStr">
        <is>
          <t>999-9950</t>
        </is>
      </c>
      <c r="D32" s="128" t="inlineStr">
        <is>
          <t>Вспомогательные ненормируемые ресурсы (2% от Оплаты труда рабочих)</t>
        </is>
      </c>
      <c r="E32" s="256" t="inlineStr">
        <is>
          <t>руб</t>
        </is>
      </c>
      <c r="F32" s="127" t="n">
        <v>1.2948</v>
      </c>
      <c r="G32" s="189" t="n">
        <v>1</v>
      </c>
      <c r="H32" s="123">
        <f>ROUND(F32*G32,2)</f>
        <v/>
      </c>
      <c r="I32" s="136" t="n"/>
      <c r="J32" s="135" t="n"/>
      <c r="K32" s="135" t="n"/>
    </row>
    <row r="33">
      <c r="A33" s="157" t="n">
        <v>16</v>
      </c>
      <c r="B33" s="227" t="n"/>
      <c r="C33" s="127" t="inlineStr">
        <is>
          <t>01.7.06.07-0002</t>
        </is>
      </c>
      <c r="D33" s="128" t="inlineStr">
        <is>
          <t>Лента монтажная, тип ЛМ-5</t>
        </is>
      </c>
      <c r="E33" s="256" t="inlineStr">
        <is>
          <t>10 м</t>
        </is>
      </c>
      <c r="F33" s="127" t="n">
        <v>0.1225</v>
      </c>
      <c r="G33" s="189" t="n">
        <v>6.9</v>
      </c>
      <c r="H33" s="123">
        <f>ROUND(F33*G33,2)</f>
        <v/>
      </c>
      <c r="I33" s="136" t="n"/>
      <c r="J33" s="135" t="n"/>
      <c r="K33" s="135" t="n"/>
    </row>
    <row r="34" ht="25.5" customHeight="1" s="195">
      <c r="A34" s="157" t="n">
        <v>17</v>
      </c>
      <c r="B34" s="227" t="n"/>
      <c r="C34" s="127" t="inlineStr">
        <is>
          <t>10.3.02.03-0013</t>
        </is>
      </c>
      <c r="D34" s="128" t="inlineStr">
        <is>
          <t>Припои оловянно-свинцовые бессурьмянистые, марка ПОС61</t>
        </is>
      </c>
      <c r="E34" s="256" t="inlineStr">
        <is>
          <t>т</t>
        </is>
      </c>
      <c r="F34" s="127" t="n">
        <v>6.4e-06</v>
      </c>
      <c r="G34" s="189" t="n">
        <v>114220</v>
      </c>
      <c r="H34" s="123">
        <f>ROUND(F34*G34,2)</f>
        <v/>
      </c>
      <c r="I34" s="136" t="n"/>
      <c r="J34" s="135" t="n"/>
      <c r="K34" s="135" t="n"/>
    </row>
    <row r="35">
      <c r="A35" s="157" t="n">
        <v>18</v>
      </c>
      <c r="B35" s="227" t="n"/>
      <c r="C35" s="127" t="inlineStr">
        <is>
          <t>01.7.15.14-0165</t>
        </is>
      </c>
      <c r="D35" s="128" t="inlineStr">
        <is>
          <t>Шурупы с полукруглой головкой 4х40 мм</t>
        </is>
      </c>
      <c r="E35" s="256" t="inlineStr">
        <is>
          <t>т</t>
        </is>
      </c>
      <c r="F35" s="127" t="n">
        <v>5.5e-05</v>
      </c>
      <c r="G35" s="189" t="n">
        <v>12430</v>
      </c>
      <c r="H35" s="123">
        <f>ROUND(F35*G35,2)</f>
        <v/>
      </c>
      <c r="I35" s="136" t="n"/>
      <c r="J35" s="135" t="n"/>
      <c r="K35" s="135" t="n"/>
    </row>
    <row r="36" ht="25.5" customHeight="1" s="195">
      <c r="A36" s="157" t="n">
        <v>19</v>
      </c>
      <c r="B36" s="227" t="n"/>
      <c r="C36" s="127" t="inlineStr">
        <is>
          <t>01.7.06.05-0041</t>
        </is>
      </c>
      <c r="D36" s="128" t="inlineStr">
        <is>
          <t>Лента изоляционная прорезиненная односторонняя, ширина 20 мм, толщина 0,25-0,35 мм</t>
        </is>
      </c>
      <c r="E36" s="256" t="inlineStr">
        <is>
          <t>кг</t>
        </is>
      </c>
      <c r="F36" s="127" t="n">
        <v>0.02</v>
      </c>
      <c r="G36" s="189" t="n">
        <v>30.4</v>
      </c>
      <c r="H36" s="123">
        <f>ROUND(F36*G36,2)</f>
        <v/>
      </c>
      <c r="I36" s="136" t="n"/>
      <c r="J36" s="135" t="n"/>
      <c r="K36" s="135" t="n"/>
    </row>
    <row r="37">
      <c r="A37" s="157" t="n">
        <v>20</v>
      </c>
      <c r="B37" s="227" t="n"/>
      <c r="C37" s="127" t="inlineStr">
        <is>
          <t>01.7.15.03-0042</t>
        </is>
      </c>
      <c r="D37" s="128" t="inlineStr">
        <is>
          <t>Болты с гайками и шайбами строительные</t>
        </is>
      </c>
      <c r="E37" s="256" t="inlineStr">
        <is>
          <t>кг</t>
        </is>
      </c>
      <c r="F37" s="127" t="n">
        <v>0.06</v>
      </c>
      <c r="G37" s="189" t="n">
        <v>9.039999999999999</v>
      </c>
      <c r="H37" s="123">
        <f>ROUND(F37*G37,2)</f>
        <v/>
      </c>
      <c r="I37" s="136" t="n"/>
      <c r="J37" s="135" t="n"/>
      <c r="K37" s="135" t="n"/>
    </row>
    <row r="38">
      <c r="A38" s="157" t="n">
        <v>21</v>
      </c>
      <c r="B38" s="227" t="n"/>
      <c r="C38" s="127" t="inlineStr">
        <is>
          <t>01.3.01.05-0009</t>
        </is>
      </c>
      <c r="D38" s="128" t="inlineStr">
        <is>
          <t>Парафин нефтяной твердый Т-1</t>
        </is>
      </c>
      <c r="E38" s="256" t="inlineStr">
        <is>
          <t>т</t>
        </is>
      </c>
      <c r="F38" s="127" t="n">
        <v>2e-05</v>
      </c>
      <c r="G38" s="189" t="n">
        <v>8105.71</v>
      </c>
      <c r="H38" s="123">
        <f>ROUND(F38*G38,2)</f>
        <v/>
      </c>
      <c r="I38" s="136" t="n"/>
      <c r="J38" s="135" t="n"/>
      <c r="K38" s="135" t="n"/>
    </row>
    <row r="39">
      <c r="A39" s="157" t="n">
        <v>22</v>
      </c>
      <c r="B39" s="227" t="n"/>
      <c r="C39" s="127" t="inlineStr">
        <is>
          <t>24.3.01.01-0002</t>
        </is>
      </c>
      <c r="D39" s="128" t="inlineStr">
        <is>
          <t>Трубка полихлорвиниловая</t>
        </is>
      </c>
      <c r="E39" s="256" t="inlineStr">
        <is>
          <t>кг</t>
        </is>
      </c>
      <c r="F39" s="127" t="n">
        <v>0.0032</v>
      </c>
      <c r="G39" s="189" t="n">
        <v>35.7</v>
      </c>
      <c r="H39" s="123">
        <f>ROUND(F39*G39,2)</f>
        <v/>
      </c>
      <c r="I39" s="136" t="n"/>
      <c r="J39" s="135" t="n"/>
      <c r="K39" s="135" t="n"/>
    </row>
    <row r="40">
      <c r="A40" s="157" t="n">
        <v>23</v>
      </c>
      <c r="B40" s="227" t="n"/>
      <c r="C40" s="127" t="inlineStr">
        <is>
          <t>01.3.01.07-0009</t>
        </is>
      </c>
      <c r="D40" s="128" t="inlineStr">
        <is>
          <t>Спирт этиловый ректификованный технический, сорт I</t>
        </is>
      </c>
      <c r="E40" s="256" t="inlineStr">
        <is>
          <t>кг</t>
        </is>
      </c>
      <c r="F40" s="127" t="n">
        <v>0.00232</v>
      </c>
      <c r="G40" s="189" t="n">
        <v>38.89</v>
      </c>
      <c r="H40" s="123">
        <f>ROUND(F40*G40,2)</f>
        <v/>
      </c>
      <c r="I40" s="136" t="n"/>
      <c r="J40" s="135" t="n"/>
      <c r="K40" s="135" t="n"/>
    </row>
    <row r="41">
      <c r="A41" s="157" t="n">
        <v>24</v>
      </c>
      <c r="B41" s="227" t="n"/>
      <c r="C41" s="127" t="inlineStr">
        <is>
          <t>01.3.05.17-0002</t>
        </is>
      </c>
      <c r="D41" s="128" t="inlineStr">
        <is>
          <t>Канифоль сосновая</t>
        </is>
      </c>
      <c r="E41" s="256" t="inlineStr">
        <is>
          <t>кг</t>
        </is>
      </c>
      <c r="F41" s="127" t="n">
        <v>0.00152</v>
      </c>
      <c r="G41" s="189" t="n">
        <v>27.74</v>
      </c>
      <c r="H41" s="123">
        <f>ROUND(F41*G41,2)</f>
        <v/>
      </c>
      <c r="I41" s="136" t="n"/>
      <c r="J41" s="135" t="n"/>
      <c r="K41" s="135" t="n"/>
    </row>
    <row r="42">
      <c r="A42" s="157" t="n">
        <v>25</v>
      </c>
      <c r="B42" s="227" t="n"/>
      <c r="C42" s="127" t="inlineStr">
        <is>
          <t>01.3.05.11-0001</t>
        </is>
      </c>
      <c r="D42" s="128" t="inlineStr">
        <is>
          <t>Дихлорэтан технический, сорт I</t>
        </is>
      </c>
      <c r="E42" s="256" t="inlineStr">
        <is>
          <t>т</t>
        </is>
      </c>
      <c r="F42" s="127" t="n">
        <v>1.6e-06</v>
      </c>
      <c r="G42" s="189" t="n">
        <v>4934.48</v>
      </c>
      <c r="H42" s="123">
        <f>ROUND(F42*G42,2)</f>
        <v/>
      </c>
    </row>
    <row r="43">
      <c r="A43" s="180" t="n"/>
      <c r="B43" s="181" t="n"/>
      <c r="C43" s="182" t="n"/>
      <c r="D43" s="183" t="n"/>
      <c r="E43" s="184" t="n"/>
      <c r="F43" s="182" t="n"/>
      <c r="G43" s="185" t="n"/>
      <c r="H43" s="186" t="n"/>
    </row>
    <row r="45">
      <c r="B45" s="197" t="inlineStr">
        <is>
          <t>Составил ______________________     Д.Ю. Нефедова</t>
        </is>
      </c>
    </row>
    <row r="46">
      <c r="B46" s="114" t="inlineStr">
        <is>
          <t xml:space="preserve">                         (подпись, инициалы, фамилия)</t>
        </is>
      </c>
    </row>
    <row r="48">
      <c r="B48" s="197" t="inlineStr">
        <is>
          <t>Проверил ______________________        А.В. Костянецкая</t>
        </is>
      </c>
    </row>
    <row r="49">
      <c r="B49" s="114" t="inlineStr">
        <is>
          <t xml:space="preserve">                        (подпись, инициалы, фамилия)</t>
        </is>
      </c>
    </row>
  </sheetData>
  <mergeCells count="16">
    <mergeCell ref="A8:H8"/>
    <mergeCell ref="A3:H3"/>
    <mergeCell ref="D10:D11"/>
    <mergeCell ref="A26:E26"/>
    <mergeCell ref="A24:E24"/>
    <mergeCell ref="F10:F11"/>
    <mergeCell ref="A2:H2"/>
    <mergeCell ref="G10:H10"/>
    <mergeCell ref="A19:E19"/>
    <mergeCell ref="A10:A11"/>
    <mergeCell ref="C4:H4"/>
    <mergeCell ref="A13:E13"/>
    <mergeCell ref="C10:C11"/>
    <mergeCell ref="B10:B11"/>
    <mergeCell ref="E10:E11"/>
    <mergeCell ref="A17:E17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28" workbookViewId="0">
      <selection activeCell="B43" sqref="B43"/>
    </sheetView>
  </sheetViews>
  <sheetFormatPr baseColWidth="8" defaultRowHeight="15"/>
  <cols>
    <col width="4.140625" customWidth="1" style="195" min="1" max="1"/>
    <col width="36.28515625" customWidth="1" style="195" min="2" max="2"/>
    <col width="18.85546875" customWidth="1" style="195" min="3" max="3"/>
    <col width="18.28515625" customWidth="1" style="195" min="4" max="4"/>
    <col width="18.85546875" customWidth="1" style="195" min="5" max="5"/>
    <col width="11.42578125" customWidth="1" style="195" min="6" max="6"/>
    <col width="14.42578125" customWidth="1" style="195" min="7" max="7"/>
    <col width="9.140625" customWidth="1" style="195" min="8" max="11"/>
    <col width="13.5703125" customWidth="1" style="195" min="12" max="12"/>
    <col width="9.140625" customWidth="1" style="195" min="13" max="13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1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08" t="inlineStr">
        <is>
          <t>Ресурсная модель</t>
        </is>
      </c>
    </row>
    <row r="6">
      <c r="B6" s="158" t="n"/>
      <c r="C6" s="4" t="n"/>
      <c r="D6" s="4" t="n"/>
      <c r="E6" s="4" t="n"/>
    </row>
    <row r="7" ht="38.25" customHeight="1" s="195">
      <c r="B7" s="231" t="inlineStr">
        <is>
          <t>Наименование разрабатываемого показателя УНЦ — Блок аварийного освещения (БАО)</t>
        </is>
      </c>
    </row>
    <row r="8">
      <c r="B8" s="232" t="inlineStr">
        <is>
          <t>Единица измерения  — 1 ед.</t>
        </is>
      </c>
    </row>
    <row r="9">
      <c r="B9" s="158" t="n"/>
      <c r="C9" s="4" t="n"/>
      <c r="D9" s="4" t="n"/>
      <c r="E9" s="4" t="n"/>
    </row>
    <row r="10" ht="51" customHeight="1" s="195">
      <c r="B10" s="236" t="inlineStr">
        <is>
          <t>Наименование</t>
        </is>
      </c>
      <c r="C10" s="236" t="inlineStr">
        <is>
          <t>Сметная стоимость в ценах на 01.01.2023
 (руб.)</t>
        </is>
      </c>
      <c r="D10" s="236" t="inlineStr">
        <is>
          <t>Удельный вес, 
(в СМР)</t>
        </is>
      </c>
      <c r="E10" s="236" t="inlineStr">
        <is>
          <t>Удельный вес, % 
(от всего по РМ)</t>
        </is>
      </c>
    </row>
    <row r="11">
      <c r="B11" s="116" t="inlineStr">
        <is>
          <t>Оплата труда рабочих</t>
        </is>
      </c>
      <c r="C11" s="159">
        <f>'Прил.5 Расчет СМР и ОБ'!J14</f>
        <v/>
      </c>
      <c r="D11" s="160">
        <f>C11/$C$24</f>
        <v/>
      </c>
      <c r="E11" s="160">
        <f>C11/$C$40</f>
        <v/>
      </c>
    </row>
    <row r="12">
      <c r="B12" s="116" t="inlineStr">
        <is>
          <t>Эксплуатация машин основных</t>
        </is>
      </c>
      <c r="C12" s="159">
        <f>'Прил.5 Расчет СМР и ОБ'!J22</f>
        <v/>
      </c>
      <c r="D12" s="160">
        <f>C12/$C$24</f>
        <v/>
      </c>
      <c r="E12" s="160">
        <f>C12/$C$40</f>
        <v/>
      </c>
    </row>
    <row r="13">
      <c r="B13" s="116" t="inlineStr">
        <is>
          <t>Эксплуатация машин прочих</t>
        </is>
      </c>
      <c r="C13" s="159">
        <f>'Прил.5 Расчет СМР и ОБ'!J24</f>
        <v/>
      </c>
      <c r="D13" s="160">
        <f>C13/$C$24</f>
        <v/>
      </c>
      <c r="E13" s="160">
        <f>C13/$C$40</f>
        <v/>
      </c>
    </row>
    <row r="14">
      <c r="B14" s="116" t="inlineStr">
        <is>
          <t>ЭКСПЛУАТАЦИЯ МАШИН, ВСЕГО:</t>
        </is>
      </c>
      <c r="C14" s="159">
        <f>C13+C12</f>
        <v/>
      </c>
      <c r="D14" s="160">
        <f>C14/$C$24</f>
        <v/>
      </c>
      <c r="E14" s="160">
        <f>C14/$C$40</f>
        <v/>
      </c>
    </row>
    <row r="15">
      <c r="B15" s="116" t="inlineStr">
        <is>
          <t>в том числе зарплата машинистов</t>
        </is>
      </c>
      <c r="C15" s="159">
        <f>'Прил.5 Расчет СМР и ОБ'!J16</f>
        <v/>
      </c>
      <c r="D15" s="160">
        <f>C15/$C$24</f>
        <v/>
      </c>
      <c r="E15" s="160">
        <f>C15/$C$40</f>
        <v/>
      </c>
    </row>
    <row r="16">
      <c r="B16" s="116" t="inlineStr">
        <is>
          <t>Материалы основные</t>
        </is>
      </c>
      <c r="C16" s="159">
        <f>'Прил.5 Расчет СМР и ОБ'!J36</f>
        <v/>
      </c>
      <c r="D16" s="160">
        <f>C16/$C$24</f>
        <v/>
      </c>
      <c r="E16" s="160">
        <f>C16/$C$40</f>
        <v/>
      </c>
    </row>
    <row r="17">
      <c r="B17" s="116" t="inlineStr">
        <is>
          <t>Материалы прочие</t>
        </is>
      </c>
      <c r="C17" s="159">
        <f>'Прил.5 Расчет СМР и ОБ'!J52</f>
        <v/>
      </c>
      <c r="D17" s="160">
        <f>C17/$C$24</f>
        <v/>
      </c>
      <c r="E17" s="160">
        <f>C17/$C$40</f>
        <v/>
      </c>
      <c r="G17" s="326" t="n"/>
    </row>
    <row r="18">
      <c r="B18" s="116" t="inlineStr">
        <is>
          <t>МАТЕРИАЛЫ, ВСЕГО:</t>
        </is>
      </c>
      <c r="C18" s="159">
        <f>C17+C16</f>
        <v/>
      </c>
      <c r="D18" s="160">
        <f>C18/$C$24</f>
        <v/>
      </c>
      <c r="E18" s="160">
        <f>C18/$C$40</f>
        <v/>
      </c>
    </row>
    <row r="19">
      <c r="B19" s="116" t="inlineStr">
        <is>
          <t>ИТОГО</t>
        </is>
      </c>
      <c r="C19" s="159">
        <f>C18+C14+C11</f>
        <v/>
      </c>
      <c r="D19" s="160" t="n"/>
      <c r="E19" s="116" t="n"/>
    </row>
    <row r="20">
      <c r="B20" s="116" t="inlineStr">
        <is>
          <t>Сметная прибыль, руб.</t>
        </is>
      </c>
      <c r="C20" s="159">
        <f>ROUND(C21*(C11+C15),2)</f>
        <v/>
      </c>
      <c r="D20" s="160">
        <f>C20/$C$24</f>
        <v/>
      </c>
      <c r="E20" s="160">
        <f>C20/$C$40</f>
        <v/>
      </c>
    </row>
    <row r="21">
      <c r="B21" s="116" t="inlineStr">
        <is>
          <t>Сметная прибыль, %</t>
        </is>
      </c>
      <c r="C21" s="162">
        <f>'Прил.5 Расчет СМР и ОБ'!D56</f>
        <v/>
      </c>
      <c r="D21" s="160" t="n"/>
      <c r="E21" s="116" t="n"/>
    </row>
    <row r="22">
      <c r="B22" s="116" t="inlineStr">
        <is>
          <t>Накладные расходы, руб.</t>
        </is>
      </c>
      <c r="C22" s="159">
        <f>ROUND(C23*(C11+C15),2)</f>
        <v/>
      </c>
      <c r="D22" s="160">
        <f>C22/$C$24</f>
        <v/>
      </c>
      <c r="E22" s="160">
        <f>C22/$C$40</f>
        <v/>
      </c>
    </row>
    <row r="23">
      <c r="B23" s="116" t="inlineStr">
        <is>
          <t>Накладные расходы, %</t>
        </is>
      </c>
      <c r="C23" s="162">
        <f>'Прил.5 Расчет СМР и ОБ'!D55</f>
        <v/>
      </c>
      <c r="D23" s="160" t="n"/>
      <c r="E23" s="116" t="n"/>
    </row>
    <row r="24">
      <c r="B24" s="116" t="inlineStr">
        <is>
          <t>ВСЕГО СМР с НР и СП</t>
        </is>
      </c>
      <c r="C24" s="159">
        <f>C19+C20+C22</f>
        <v/>
      </c>
      <c r="D24" s="160">
        <f>C24/$C$24</f>
        <v/>
      </c>
      <c r="E24" s="160">
        <f>C24/$C$40</f>
        <v/>
      </c>
    </row>
    <row r="25" ht="25.5" customHeight="1" s="195">
      <c r="B25" s="116" t="inlineStr">
        <is>
          <t>ВСЕГО стоимость оборудования, в том числе</t>
        </is>
      </c>
      <c r="C25" s="159">
        <f>'Прил.5 Расчет СМР и ОБ'!J31</f>
        <v/>
      </c>
      <c r="D25" s="160" t="n"/>
      <c r="E25" s="160">
        <f>C25/$C$40</f>
        <v/>
      </c>
    </row>
    <row r="26" ht="25.5" customHeight="1" s="195">
      <c r="B26" s="116" t="inlineStr">
        <is>
          <t>стоимость оборудования технологического</t>
        </is>
      </c>
      <c r="C26" s="159">
        <f>'Прил.5 Расчет СМР и ОБ'!J32</f>
        <v/>
      </c>
      <c r="D26" s="160" t="n"/>
      <c r="E26" s="160">
        <f>C26/$C$40</f>
        <v/>
      </c>
    </row>
    <row r="27">
      <c r="B27" s="116" t="inlineStr">
        <is>
          <t>ИТОГО (СМР + ОБОРУДОВАНИЕ)</t>
        </is>
      </c>
      <c r="C27" s="110">
        <f>C24+C25</f>
        <v/>
      </c>
      <c r="D27" s="160" t="n"/>
      <c r="E27" s="160">
        <f>C27/$C$40</f>
        <v/>
      </c>
    </row>
    <row r="28" ht="33" customHeight="1" s="195">
      <c r="B28" s="116" t="inlineStr">
        <is>
          <t>ПРОЧ. ЗАТР., УЧТЕННЫЕ ПОКАЗАТЕЛЕМ,  в том числе</t>
        </is>
      </c>
      <c r="C28" s="116" t="n"/>
      <c r="D28" s="116" t="n"/>
      <c r="E28" s="116" t="n"/>
      <c r="F28" s="163" t="n"/>
    </row>
    <row r="29" ht="25.5" customHeight="1" s="195">
      <c r="B29" s="116" t="inlineStr">
        <is>
          <t>Временные здания и сооружения - 2,5%</t>
        </is>
      </c>
      <c r="C29" s="110">
        <f>ROUND(C24*2.5%,2)</f>
        <v/>
      </c>
      <c r="D29" s="116" t="n"/>
      <c r="E29" s="160">
        <f>C29/$C$40</f>
        <v/>
      </c>
    </row>
    <row r="30" ht="38.25" customHeight="1" s="195">
      <c r="B30" s="116" t="inlineStr">
        <is>
          <t>Дополнительные затраты при производстве строительно-монтажных работ в зимнее время - 2,1%</t>
        </is>
      </c>
      <c r="C30" s="110">
        <f>ROUND((C24+C29)*2.1%,2)</f>
        <v/>
      </c>
      <c r="D30" s="116" t="n"/>
      <c r="E30" s="160">
        <f>C30/$C$40</f>
        <v/>
      </c>
      <c r="F30" s="163" t="n"/>
    </row>
    <row r="31">
      <c r="B31" s="116" t="inlineStr">
        <is>
          <t>Пусконаладочные работы</t>
        </is>
      </c>
      <c r="C31" s="110" t="n">
        <v>51400</v>
      </c>
      <c r="D31" s="116" t="n"/>
      <c r="E31" s="160">
        <f>C31/$C$40</f>
        <v/>
      </c>
    </row>
    <row r="32" ht="25.5" customHeight="1" s="195">
      <c r="B32" s="116" t="inlineStr">
        <is>
          <t>Затраты по перевозке работников к месту работы и обратно</t>
        </is>
      </c>
      <c r="C32" s="110">
        <f>ROUND(C27*0%,2)</f>
        <v/>
      </c>
      <c r="D32" s="116" t="n"/>
      <c r="E32" s="160">
        <f>C32/$C$40</f>
        <v/>
      </c>
    </row>
    <row r="33" ht="25.5" customHeight="1" s="195">
      <c r="B33" s="116" t="inlineStr">
        <is>
          <t>Затраты, связанные с осуществлением работ вахтовым методом</t>
        </is>
      </c>
      <c r="C33" s="110">
        <f>ROUND(C28*0%,2)</f>
        <v/>
      </c>
      <c r="D33" s="116" t="n"/>
      <c r="E33" s="160">
        <f>C33/$C$40</f>
        <v/>
      </c>
    </row>
    <row r="34" ht="51" customHeight="1" s="195">
      <c r="B34" s="11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10">
        <f>ROUND(C29*0%,2)</f>
        <v/>
      </c>
      <c r="D34" s="116" t="n"/>
      <c r="E34" s="160">
        <f>C34/$C$40</f>
        <v/>
      </c>
      <c r="H34" s="136" t="n"/>
    </row>
    <row r="35" ht="76.5" customHeight="1" s="195">
      <c r="B35" s="11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10">
        <f>ROUND(C30*0%,2)</f>
        <v/>
      </c>
      <c r="D35" s="116" t="n"/>
      <c r="E35" s="160">
        <f>C35/$C$40</f>
        <v/>
      </c>
    </row>
    <row r="36" ht="25.5" customHeight="1" s="195">
      <c r="B36" s="116" t="inlineStr">
        <is>
          <t>Строительный контроль и содержание службы заказчика - 2,14%</t>
        </is>
      </c>
      <c r="C36" s="110">
        <f>ROUND((C27+C32+C33+C34+C35+C29+C31+C30)*2.14%,2)</f>
        <v/>
      </c>
      <c r="D36" s="116" t="n"/>
      <c r="E36" s="160">
        <f>C36/$C$40</f>
        <v/>
      </c>
      <c r="L36" s="163" t="n"/>
    </row>
    <row r="37">
      <c r="B37" s="116" t="inlineStr">
        <is>
          <t>Авторский надзор - 0,2%</t>
        </is>
      </c>
      <c r="C37" s="110">
        <f>ROUND((C27+C32+C33+C34+C35+C29+C31+C30)*0.2%,2)</f>
        <v/>
      </c>
      <c r="D37" s="116" t="n"/>
      <c r="E37" s="160">
        <f>C37/$C$40</f>
        <v/>
      </c>
      <c r="L37" s="163" t="n"/>
    </row>
    <row r="38" ht="38.25" customHeight="1" s="195">
      <c r="B38" s="116" t="inlineStr">
        <is>
          <t>ИТОГО (СМР+ОБОРУДОВАНИЕ+ПРОЧ. ЗАТР., УЧТЕННЫЕ ПОКАЗАТЕЛЕМ)</t>
        </is>
      </c>
      <c r="C38" s="159">
        <f>C27+C32+C33+C34+C35+C29+C31+C30+C36+C37</f>
        <v/>
      </c>
      <c r="D38" s="116" t="n"/>
      <c r="E38" s="160">
        <f>C38/$C$40</f>
        <v/>
      </c>
    </row>
    <row r="39" ht="13.5" customHeight="1" s="195">
      <c r="B39" s="116" t="inlineStr">
        <is>
          <t>Непредвиденные расходы</t>
        </is>
      </c>
      <c r="C39" s="159">
        <f>ROUND(C38*3%,2)</f>
        <v/>
      </c>
      <c r="D39" s="116" t="n"/>
      <c r="E39" s="160">
        <f>C39/$C$38</f>
        <v/>
      </c>
    </row>
    <row r="40">
      <c r="B40" s="116" t="inlineStr">
        <is>
          <t>ВСЕГО:</t>
        </is>
      </c>
      <c r="C40" s="159">
        <f>C39+C38</f>
        <v/>
      </c>
      <c r="D40" s="116" t="n"/>
      <c r="E40" s="160">
        <f>C40/$C$40</f>
        <v/>
      </c>
    </row>
    <row r="41">
      <c r="B41" s="116" t="inlineStr">
        <is>
          <t>ИТОГО ПОКАЗАТЕЛЬ НА ЕД. ИЗМ.</t>
        </is>
      </c>
      <c r="C41" s="159">
        <f>C40/'Прил.5 Расчет СМР и ОБ'!E59</f>
        <v/>
      </c>
      <c r="D41" s="116" t="n"/>
      <c r="E41" s="116" t="n"/>
    </row>
    <row r="42">
      <c r="B42" s="115" t="n"/>
      <c r="C42" s="4" t="n"/>
      <c r="D42" s="4" t="n"/>
      <c r="E42" s="4" t="n"/>
    </row>
    <row r="43">
      <c r="B43" s="115" t="inlineStr">
        <is>
          <t>Составил ____________________________ Д.Ю. Нефедова</t>
        </is>
      </c>
      <c r="C43" s="4" t="n"/>
      <c r="D43" s="4" t="n"/>
      <c r="E43" s="4" t="n"/>
    </row>
    <row r="44">
      <c r="B44" s="115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15" t="n"/>
      <c r="C45" s="4" t="n"/>
      <c r="D45" s="4" t="n"/>
      <c r="E45" s="4" t="n"/>
    </row>
    <row r="46">
      <c r="B46" s="115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2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5"/>
  <sheetViews>
    <sheetView view="pageBreakPreview" topLeftCell="A29" zoomScale="70" workbookViewId="0">
      <selection activeCell="B61" sqref="B61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 s="195">
      <c r="H2" s="233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08" t="inlineStr">
        <is>
          <t>Расчет стоимости СМР и оборудования</t>
        </is>
      </c>
    </row>
    <row r="5" ht="12.75" customFormat="1" customHeight="1" s="4">
      <c r="A5" s="208" t="n"/>
      <c r="B5" s="208" t="n"/>
      <c r="C5" s="259" t="n"/>
      <c r="D5" s="208" t="n"/>
      <c r="E5" s="208" t="n"/>
      <c r="F5" s="208" t="n"/>
      <c r="G5" s="208" t="n"/>
      <c r="H5" s="208" t="n"/>
      <c r="I5" s="208" t="n"/>
      <c r="J5" s="208" t="n"/>
    </row>
    <row r="6" ht="27.75" customFormat="1" customHeight="1" s="4">
      <c r="A6" s="164" t="inlineStr">
        <is>
          <t>Наименование разрабатываемого показателя УНЦ</t>
        </is>
      </c>
      <c r="B6" s="165" t="n"/>
      <c r="C6" s="165" t="n"/>
      <c r="D6" s="211" t="inlineStr">
        <is>
          <t>Блок аварийного освещения (БАО)</t>
        </is>
      </c>
    </row>
    <row r="7" ht="12.75" customFormat="1" customHeight="1" s="4">
      <c r="A7" s="211" t="inlineStr">
        <is>
          <t>Единица измерения  — 1 ед.</t>
        </is>
      </c>
      <c r="I7" s="231" t="n"/>
      <c r="J7" s="231" t="n"/>
    </row>
    <row r="8" ht="13.5" customFormat="1" customHeight="1" s="4">
      <c r="A8" s="211" t="n"/>
    </row>
    <row r="9" ht="27" customHeight="1" s="195">
      <c r="A9" s="236" t="inlineStr">
        <is>
          <t>№ пп.</t>
        </is>
      </c>
      <c r="B9" s="236" t="inlineStr">
        <is>
          <t>Код ресурса</t>
        </is>
      </c>
      <c r="C9" s="236" t="inlineStr">
        <is>
          <t>Наименование</t>
        </is>
      </c>
      <c r="D9" s="236" t="inlineStr">
        <is>
          <t>Ед. изм.</t>
        </is>
      </c>
      <c r="E9" s="236" t="inlineStr">
        <is>
          <t>Кол-во единиц по проектным данным</t>
        </is>
      </c>
      <c r="F9" s="236" t="inlineStr">
        <is>
          <t>Сметная стоимость в ценах на 01.01.2000 (руб.)</t>
        </is>
      </c>
      <c r="G9" s="317" t="n"/>
      <c r="H9" s="236" t="inlineStr">
        <is>
          <t>Удельный вес, %</t>
        </is>
      </c>
      <c r="I9" s="236" t="inlineStr">
        <is>
          <t>Сметная стоимость в ценах на 01.01.2023 (руб.)</t>
        </is>
      </c>
      <c r="J9" s="317" t="n"/>
      <c r="M9" s="12" t="n"/>
      <c r="N9" s="12" t="n"/>
    </row>
    <row r="10" ht="28.5" customHeight="1" s="195">
      <c r="A10" s="319" t="n"/>
      <c r="B10" s="319" t="n"/>
      <c r="C10" s="319" t="n"/>
      <c r="D10" s="319" t="n"/>
      <c r="E10" s="319" t="n"/>
      <c r="F10" s="236" t="inlineStr">
        <is>
          <t>на ед. изм.</t>
        </is>
      </c>
      <c r="G10" s="236" t="inlineStr">
        <is>
          <t>общая</t>
        </is>
      </c>
      <c r="H10" s="319" t="n"/>
      <c r="I10" s="236" t="inlineStr">
        <is>
          <t>на ед. изм.</t>
        </is>
      </c>
      <c r="J10" s="236" t="inlineStr">
        <is>
          <t>общая</t>
        </is>
      </c>
      <c r="M10" s="12" t="n"/>
      <c r="N10" s="12" t="n"/>
    </row>
    <row r="11">
      <c r="A11" s="236" t="n">
        <v>1</v>
      </c>
      <c r="B11" s="236" t="n">
        <v>2</v>
      </c>
      <c r="C11" s="236" t="n">
        <v>3</v>
      </c>
      <c r="D11" s="236" t="n">
        <v>4</v>
      </c>
      <c r="E11" s="236" t="n">
        <v>5</v>
      </c>
      <c r="F11" s="236" t="n">
        <v>6</v>
      </c>
      <c r="G11" s="236" t="n">
        <v>7</v>
      </c>
      <c r="H11" s="236" t="n">
        <v>8</v>
      </c>
      <c r="I11" s="237" t="n">
        <v>9</v>
      </c>
      <c r="J11" s="237" t="n">
        <v>10</v>
      </c>
      <c r="M11" s="12" t="n"/>
      <c r="N11" s="12" t="n"/>
    </row>
    <row r="12">
      <c r="A12" s="236" t="n"/>
      <c r="B12" s="225" t="inlineStr">
        <is>
          <t>Затраты труда рабочих-строителей</t>
        </is>
      </c>
      <c r="C12" s="316" t="n"/>
      <c r="D12" s="316" t="n"/>
      <c r="E12" s="316" t="n"/>
      <c r="F12" s="316" t="n"/>
      <c r="G12" s="316" t="n"/>
      <c r="H12" s="317" t="n"/>
      <c r="I12" s="132" t="n"/>
      <c r="J12" s="132" t="n"/>
    </row>
    <row r="13" ht="25.5" customHeight="1" s="195">
      <c r="A13" s="236" t="n">
        <v>1</v>
      </c>
      <c r="B13" s="137" t="inlineStr">
        <is>
          <t>1-3-9</t>
        </is>
      </c>
      <c r="C13" s="243" t="inlineStr">
        <is>
          <t>Затраты труда рабочих-строителей среднего разряда (3,9)</t>
        </is>
      </c>
      <c r="D13" s="236" t="inlineStr">
        <is>
          <t>чел.-ч.</t>
        </is>
      </c>
      <c r="E13" s="327">
        <f>G13/F13</f>
        <v/>
      </c>
      <c r="F13" s="26" t="n">
        <v>9.51</v>
      </c>
      <c r="G13" s="26">
        <f>'Прил. 3'!H13</f>
        <v/>
      </c>
      <c r="H13" s="166">
        <f>G13/G14</f>
        <v/>
      </c>
      <c r="I13" s="26">
        <f>ФОТр.тек.!E13</f>
        <v/>
      </c>
      <c r="J13" s="26">
        <f>ROUND(I13*E13,2)</f>
        <v/>
      </c>
    </row>
    <row r="14" ht="25.5" customFormat="1" customHeight="1" s="12">
      <c r="A14" s="236" t="n"/>
      <c r="B14" s="236" t="n"/>
      <c r="C14" s="225" t="inlineStr">
        <is>
          <t>Итого по разделу "Затраты труда рабочих-строителей"</t>
        </is>
      </c>
      <c r="D14" s="236" t="inlineStr">
        <is>
          <t>чел.-ч.</t>
        </is>
      </c>
      <c r="E14" s="327">
        <f>SUM(E13)</f>
        <v/>
      </c>
      <c r="F14" s="26" t="n"/>
      <c r="G14" s="26">
        <f>SUM(G13:G13)</f>
        <v/>
      </c>
      <c r="H14" s="246" t="n">
        <v>1</v>
      </c>
      <c r="I14" s="132" t="n"/>
      <c r="J14" s="26">
        <f>SUM(J13:J13)</f>
        <v/>
      </c>
    </row>
    <row r="15" ht="14.25" customFormat="1" customHeight="1" s="12">
      <c r="A15" s="236" t="n"/>
      <c r="B15" s="243" t="inlineStr">
        <is>
          <t>Затраты труда машинистов</t>
        </is>
      </c>
      <c r="C15" s="316" t="n"/>
      <c r="D15" s="316" t="n"/>
      <c r="E15" s="316" t="n"/>
      <c r="F15" s="316" t="n"/>
      <c r="G15" s="316" t="n"/>
      <c r="H15" s="317" t="n"/>
      <c r="I15" s="132" t="n"/>
      <c r="J15" s="132" t="n"/>
    </row>
    <row r="16" ht="14.25" customFormat="1" customHeight="1" s="12">
      <c r="A16" s="236" t="n">
        <v>2</v>
      </c>
      <c r="B16" s="236" t="n">
        <v>2</v>
      </c>
      <c r="C16" s="243" t="inlineStr">
        <is>
          <t>Затраты труда машинистов</t>
        </is>
      </c>
      <c r="D16" s="236" t="inlineStr">
        <is>
          <t>чел.-ч.</t>
        </is>
      </c>
      <c r="E16" s="327">
        <f>'Прил. 3'!F18</f>
        <v/>
      </c>
      <c r="F16" s="26">
        <f>G16/E16</f>
        <v/>
      </c>
      <c r="G16" s="26">
        <f>'Прил. 3'!H17</f>
        <v/>
      </c>
      <c r="H16" s="246" t="n">
        <v>1</v>
      </c>
      <c r="I16" s="26">
        <f>ROUND(F16*'Прил. 10'!D11,2)</f>
        <v/>
      </c>
      <c r="J16" s="26">
        <f>ROUND(I16*E16,2)</f>
        <v/>
      </c>
    </row>
    <row r="17" ht="14.25" customFormat="1" customHeight="1" s="12">
      <c r="A17" s="236" t="n"/>
      <c r="B17" s="225" t="inlineStr">
        <is>
          <t>Машины и механизмы</t>
        </is>
      </c>
      <c r="C17" s="316" t="n"/>
      <c r="D17" s="316" t="n"/>
      <c r="E17" s="316" t="n"/>
      <c r="F17" s="316" t="n"/>
      <c r="G17" s="316" t="n"/>
      <c r="H17" s="317" t="n"/>
      <c r="I17" s="132" t="n"/>
      <c r="J17" s="132" t="n"/>
    </row>
    <row r="18" ht="14.25" customFormat="1" customHeight="1" s="12">
      <c r="A18" s="236" t="n"/>
      <c r="B18" s="243" t="inlineStr">
        <is>
          <t>Основные машины и механизмы</t>
        </is>
      </c>
      <c r="C18" s="316" t="n"/>
      <c r="D18" s="316" t="n"/>
      <c r="E18" s="316" t="n"/>
      <c r="F18" s="316" t="n"/>
      <c r="G18" s="316" t="n"/>
      <c r="H18" s="317" t="n"/>
      <c r="I18" s="132" t="n"/>
      <c r="J18" s="132" t="n"/>
    </row>
    <row r="19" ht="25.5" customFormat="1" customHeight="1" s="12">
      <c r="A19" s="236" t="n">
        <v>3</v>
      </c>
      <c r="B19" s="137" t="inlineStr">
        <is>
          <t>91.05.05-015</t>
        </is>
      </c>
      <c r="C19" s="243" t="inlineStr">
        <is>
          <t>Краны на автомобильном ходу, грузоподъемность 16 т</t>
        </is>
      </c>
      <c r="D19" s="236" t="inlineStr">
        <is>
          <t>маш.час</t>
        </is>
      </c>
      <c r="E19" s="327" t="n">
        <v>0.13</v>
      </c>
      <c r="F19" s="245" t="n">
        <v>115.4</v>
      </c>
      <c r="G19" s="26">
        <f>ROUND(E19*F19,2)</f>
        <v/>
      </c>
      <c r="H19" s="166">
        <f>G19/$G$25</f>
        <v/>
      </c>
      <c r="I19" s="26">
        <f>ROUND(F19*'Прил. 10'!$D$12,2)</f>
        <v/>
      </c>
      <c r="J19" s="26">
        <f>ROUND(I19*E19,2)</f>
        <v/>
      </c>
    </row>
    <row r="20" ht="25.5" customFormat="1" customHeight="1" s="12">
      <c r="A20" s="236" t="n">
        <v>4</v>
      </c>
      <c r="B20" s="137" t="inlineStr">
        <is>
          <t>91.14.02-001</t>
        </is>
      </c>
      <c r="C20" s="243" t="inlineStr">
        <is>
          <t>Автомобили бортовые, грузоподъемность до 5 т</t>
        </is>
      </c>
      <c r="D20" s="236" t="inlineStr">
        <is>
          <t>маш.час</t>
        </is>
      </c>
      <c r="E20" s="327" t="n">
        <v>0.13</v>
      </c>
      <c r="F20" s="245" t="n">
        <v>65.70999999999999</v>
      </c>
      <c r="G20" s="26">
        <f>ROUND(E20*F20,2)</f>
        <v/>
      </c>
      <c r="H20" s="166">
        <f>G20/$G$25</f>
        <v/>
      </c>
      <c r="I20" s="26">
        <f>ROUND(F20*'Прил. 10'!$D$12,2)</f>
        <v/>
      </c>
      <c r="J20" s="26">
        <f>ROUND(I20*E20,2)</f>
        <v/>
      </c>
    </row>
    <row r="21" ht="25.5" customFormat="1" customHeight="1" s="12">
      <c r="A21" s="236" t="n">
        <v>5</v>
      </c>
      <c r="B21" s="137" t="inlineStr">
        <is>
          <t>91.06.03-061</t>
        </is>
      </c>
      <c r="C21" s="243" t="inlineStr">
        <is>
          <t>Лебедки электрические тяговым усилием до 12,26 кН (1,25 т)</t>
        </is>
      </c>
      <c r="D21" s="236" t="inlineStr">
        <is>
          <t>маш.час</t>
        </is>
      </c>
      <c r="E21" s="327" t="n">
        <v>1.1</v>
      </c>
      <c r="F21" s="245" t="n">
        <v>3.28</v>
      </c>
      <c r="G21" s="26">
        <f>ROUND(E21*F21,2)</f>
        <v/>
      </c>
      <c r="H21" s="166">
        <f>G21/$G$25</f>
        <v/>
      </c>
      <c r="I21" s="26">
        <f>ROUND(F21*'Прил. 10'!$D$12,2)</f>
        <v/>
      </c>
      <c r="J21" s="26">
        <f>ROUND(I21*E21,2)</f>
        <v/>
      </c>
    </row>
    <row r="22" ht="14.25" customFormat="1" customHeight="1" s="12">
      <c r="A22" s="236" t="n"/>
      <c r="B22" s="236" t="n"/>
      <c r="C22" s="243" t="inlineStr">
        <is>
          <t>Итого основные машины и механизмы</t>
        </is>
      </c>
      <c r="D22" s="236" t="n"/>
      <c r="E22" s="327" t="n"/>
      <c r="F22" s="26" t="n"/>
      <c r="G22" s="26">
        <f>SUM(G19:G21)</f>
        <v/>
      </c>
      <c r="H22" s="246">
        <f>G22/G25</f>
        <v/>
      </c>
      <c r="I22" s="134" t="n"/>
      <c r="J22" s="26">
        <f>SUM(J19:J21)</f>
        <v/>
      </c>
    </row>
    <row r="23" outlineLevel="1" ht="25.5" customFormat="1" customHeight="1" s="12">
      <c r="A23" s="236" t="n">
        <v>6</v>
      </c>
      <c r="B23" s="137" t="inlineStr">
        <is>
          <t>91.06.01-003</t>
        </is>
      </c>
      <c r="C23" s="243" t="inlineStr">
        <is>
          <t>Домкраты гидравлические, грузоподъемность 63-100 т</t>
        </is>
      </c>
      <c r="D23" s="236" t="inlineStr">
        <is>
          <t>маш.час</t>
        </is>
      </c>
      <c r="E23" s="327" t="n">
        <v>1.1</v>
      </c>
      <c r="F23" s="245" t="n">
        <v>0.9</v>
      </c>
      <c r="G23" s="26">
        <f>ROUND(E23*F23,2)</f>
        <v/>
      </c>
      <c r="H23" s="166">
        <f>G23/$G$25</f>
        <v/>
      </c>
      <c r="I23" s="26">
        <f>ROUND(F23*'Прил. 10'!$D$12,2)</f>
        <v/>
      </c>
      <c r="J23" s="26">
        <f>ROUND(I23*E23,2)</f>
        <v/>
      </c>
    </row>
    <row r="24" ht="14.25" customFormat="1" customHeight="1" s="12">
      <c r="A24" s="236" t="n"/>
      <c r="B24" s="236" t="n"/>
      <c r="C24" s="243" t="inlineStr">
        <is>
          <t>Итого прочие машины и механизмы</t>
        </is>
      </c>
      <c r="D24" s="236" t="n"/>
      <c r="E24" s="244" t="n"/>
      <c r="F24" s="26" t="n"/>
      <c r="G24" s="134">
        <f>SUM(G23:G23)</f>
        <v/>
      </c>
      <c r="H24" s="166">
        <f>G24/G25</f>
        <v/>
      </c>
      <c r="I24" s="26" t="n"/>
      <c r="J24" s="134">
        <f>SUM(J23:J23)</f>
        <v/>
      </c>
    </row>
    <row r="25" ht="25.5" customFormat="1" customHeight="1" s="12">
      <c r="A25" s="236" t="n"/>
      <c r="B25" s="236" t="n"/>
      <c r="C25" s="225" t="inlineStr">
        <is>
          <t>Итого по разделу «Машины и механизмы»</t>
        </is>
      </c>
      <c r="D25" s="236" t="n"/>
      <c r="E25" s="244" t="n"/>
      <c r="F25" s="26" t="n"/>
      <c r="G25" s="26">
        <f>G22+G24</f>
        <v/>
      </c>
      <c r="H25" s="130" t="n">
        <v>1</v>
      </c>
      <c r="I25" s="131" t="n"/>
      <c r="J25" s="26">
        <f>J22+J24</f>
        <v/>
      </c>
    </row>
    <row r="26" ht="14.25" customFormat="1" customHeight="1" s="12">
      <c r="A26" s="236" t="n"/>
      <c r="B26" s="225" t="inlineStr">
        <is>
          <t>Оборудование</t>
        </is>
      </c>
      <c r="C26" s="316" t="n"/>
      <c r="D26" s="316" t="n"/>
      <c r="E26" s="316" t="n"/>
      <c r="F26" s="316" t="n"/>
      <c r="G26" s="316" t="n"/>
      <c r="H26" s="317" t="n"/>
      <c r="I26" s="132" t="n"/>
      <c r="J26" s="132" t="n"/>
    </row>
    <row r="27">
      <c r="A27" s="236" t="n"/>
      <c r="B27" s="243" t="inlineStr">
        <is>
          <t>Основное оборудование</t>
        </is>
      </c>
      <c r="C27" s="316" t="n"/>
      <c r="D27" s="316" t="n"/>
      <c r="E27" s="316" t="n"/>
      <c r="F27" s="316" t="n"/>
      <c r="G27" s="316" t="n"/>
      <c r="H27" s="317" t="n"/>
      <c r="I27" s="132" t="n"/>
      <c r="J27" s="132" t="n"/>
    </row>
    <row r="28">
      <c r="A28" s="236" t="n"/>
      <c r="B28" s="137" t="inlineStr">
        <is>
          <t>БЦ.53.45</t>
        </is>
      </c>
      <c r="C28" s="243" t="inlineStr">
        <is>
          <t>Блок аварийного освещения (БАО)</t>
        </is>
      </c>
      <c r="D28" s="236" t="inlineStr">
        <is>
          <t>компл</t>
        </is>
      </c>
      <c r="E28" s="327" t="n">
        <v>1</v>
      </c>
      <c r="F28" s="245">
        <f>ROUND(I28/'Прил. 10'!D14,2)</f>
        <v/>
      </c>
      <c r="G28" s="26">
        <f>ROUND(E28*F28,2)</f>
        <v/>
      </c>
      <c r="H28" s="194">
        <f>G28/$G$31</f>
        <v/>
      </c>
      <c r="I28" s="26" t="n">
        <v>862500</v>
      </c>
      <c r="J28" s="193">
        <f>ROUND(I28*E28,2)</f>
        <v/>
      </c>
    </row>
    <row r="29">
      <c r="A29" s="236" t="n"/>
      <c r="B29" s="236" t="n"/>
      <c r="C29" s="243" t="inlineStr">
        <is>
          <t>Итого основное оборудование</t>
        </is>
      </c>
      <c r="D29" s="236" t="n"/>
      <c r="E29" s="328" t="n"/>
      <c r="F29" s="245" t="n"/>
      <c r="G29" s="193">
        <f>SUM(G28)</f>
        <v/>
      </c>
      <c r="H29" s="194">
        <f>G29/$G$31</f>
        <v/>
      </c>
      <c r="I29" s="134" t="n"/>
      <c r="J29" s="193">
        <f>SUM(J28)</f>
        <v/>
      </c>
    </row>
    <row r="30">
      <c r="A30" s="236" t="n"/>
      <c r="B30" s="236" t="n"/>
      <c r="C30" s="243" t="inlineStr">
        <is>
          <t>Итого прочее оборудование</t>
        </is>
      </c>
      <c r="D30" s="236" t="n"/>
      <c r="E30" s="327" t="n"/>
      <c r="F30" s="245" t="n"/>
      <c r="G30" s="26" t="n">
        <v>0</v>
      </c>
      <c r="H30" s="166" t="n">
        <v>0</v>
      </c>
      <c r="I30" s="134" t="n"/>
      <c r="J30" s="26" t="n">
        <v>0</v>
      </c>
    </row>
    <row r="31">
      <c r="A31" s="236" t="n"/>
      <c r="B31" s="236" t="n"/>
      <c r="C31" s="225" t="inlineStr">
        <is>
          <t>Итого по разделу «Оборудование»</t>
        </is>
      </c>
      <c r="D31" s="236" t="n"/>
      <c r="E31" s="244" t="n"/>
      <c r="F31" s="245" t="n"/>
      <c r="G31" s="26">
        <f>G29+G30</f>
        <v/>
      </c>
      <c r="H31" s="166">
        <f>H29+H30</f>
        <v/>
      </c>
      <c r="I31" s="134" t="n"/>
      <c r="J31" s="26">
        <f>J30+J29</f>
        <v/>
      </c>
    </row>
    <row r="32" ht="25.5" customHeight="1" s="195">
      <c r="A32" s="236" t="n"/>
      <c r="B32" s="236" t="n"/>
      <c r="C32" s="243" t="inlineStr">
        <is>
          <t>в том числе технологическое оборудование</t>
        </is>
      </c>
      <c r="D32" s="236" t="n"/>
      <c r="E32" s="328" t="n"/>
      <c r="F32" s="245" t="n"/>
      <c r="G32" s="26">
        <f>'Прил.6 Расчет ОБ'!G13</f>
        <v/>
      </c>
      <c r="H32" s="246" t="n"/>
      <c r="I32" s="134" t="n"/>
      <c r="J32" s="26">
        <f>J31</f>
        <v/>
      </c>
    </row>
    <row r="33" ht="14.25" customFormat="1" customHeight="1" s="12">
      <c r="A33" s="236" t="n"/>
      <c r="B33" s="225" t="inlineStr">
        <is>
          <t>Материалы</t>
        </is>
      </c>
      <c r="C33" s="316" t="n"/>
      <c r="D33" s="316" t="n"/>
      <c r="E33" s="316" t="n"/>
      <c r="F33" s="316" t="n"/>
      <c r="G33" s="316" t="n"/>
      <c r="H33" s="317" t="n"/>
      <c r="I33" s="132" t="n"/>
      <c r="J33" s="132" t="n"/>
    </row>
    <row r="34" ht="14.25" customFormat="1" customHeight="1" s="12">
      <c r="A34" s="237" t="n"/>
      <c r="B34" s="239" t="inlineStr">
        <is>
          <t>Основные материалы</t>
        </is>
      </c>
      <c r="C34" s="329" t="n"/>
      <c r="D34" s="329" t="n"/>
      <c r="E34" s="329" t="n"/>
      <c r="F34" s="329" t="n"/>
      <c r="G34" s="329" t="n"/>
      <c r="H34" s="330" t="n"/>
      <c r="I34" s="167" t="n"/>
      <c r="J34" s="167" t="n"/>
    </row>
    <row r="35" ht="25.5" customFormat="1" customHeight="1" s="12">
      <c r="A35" s="236" t="n">
        <v>7</v>
      </c>
      <c r="B35" s="236" t="inlineStr">
        <is>
          <t>21.1.06.09-0161</t>
        </is>
      </c>
      <c r="C35" s="243" t="inlineStr">
        <is>
          <t>Кабель силовой с медными жилами ВВГнг(A)-LS 4х2,5-660</t>
        </is>
      </c>
      <c r="D35" s="236" t="inlineStr">
        <is>
          <t>1000 м</t>
        </is>
      </c>
      <c r="E35" s="328" t="n">
        <v>0.051</v>
      </c>
      <c r="F35" s="245" t="n">
        <v>9526.1</v>
      </c>
      <c r="G35" s="26">
        <f>ROUND(E35*F35,2)</f>
        <v/>
      </c>
      <c r="H35" s="166">
        <f>G35/$G$53</f>
        <v/>
      </c>
      <c r="I35" s="26">
        <f>ROUND(F35*'Прил. 10'!$D$13,2)</f>
        <v/>
      </c>
      <c r="J35" s="26">
        <f>ROUND(I35*E35,2)</f>
        <v/>
      </c>
    </row>
    <row r="36" ht="14.25" customFormat="1" customHeight="1" s="12">
      <c r="A36" s="238" t="n"/>
      <c r="B36" s="169" t="n"/>
      <c r="C36" s="170" t="inlineStr">
        <is>
          <t>Итого основные материалы</t>
        </is>
      </c>
      <c r="D36" s="238" t="n"/>
      <c r="E36" s="331" t="n"/>
      <c r="F36" s="172" t="n"/>
      <c r="G36" s="172">
        <f>SUM(G35:G35)</f>
        <v/>
      </c>
      <c r="H36" s="166">
        <f>G36/$G$53</f>
        <v/>
      </c>
      <c r="I36" s="26" t="n"/>
      <c r="J36" s="172">
        <f>SUM(J35:J35)</f>
        <v/>
      </c>
    </row>
    <row r="37" outlineLevel="1" ht="25.5" customFormat="1" customHeight="1" s="12">
      <c r="A37" s="236" t="n">
        <v>8</v>
      </c>
      <c r="B37" s="127" t="inlineStr">
        <is>
          <t>10.3.02.03-0011</t>
        </is>
      </c>
      <c r="C37" s="128" t="inlineStr">
        <is>
          <t>Припои оловянно-свинцовые бессурьмянистые, марка ПОС30</t>
        </is>
      </c>
      <c r="D37" s="256" t="inlineStr">
        <is>
          <t>т</t>
        </is>
      </c>
      <c r="E37" s="127" t="n">
        <v>0.00023</v>
      </c>
      <c r="F37" s="189" t="n">
        <v>68050</v>
      </c>
      <c r="G37" s="26">
        <f>ROUND(E37*F37,2)</f>
        <v/>
      </c>
      <c r="H37" s="166">
        <f>G37/$G$53</f>
        <v/>
      </c>
      <c r="I37" s="26">
        <f>ROUND(F37*'Прил. 10'!$D$13,2)</f>
        <v/>
      </c>
      <c r="J37" s="26">
        <f>ROUND(I37*E37,2)</f>
        <v/>
      </c>
    </row>
    <row r="38" outlineLevel="1" ht="14.25" customFormat="1" customHeight="1" s="12">
      <c r="A38" s="236" t="n">
        <v>9</v>
      </c>
      <c r="B38" s="127" t="inlineStr">
        <is>
          <t>20.1.02.06-0001</t>
        </is>
      </c>
      <c r="C38" s="128" t="inlineStr">
        <is>
          <t>Жир паяльный</t>
        </is>
      </c>
      <c r="D38" s="256" t="inlineStr">
        <is>
          <t>кг</t>
        </is>
      </c>
      <c r="E38" s="127" t="n">
        <v>0.04</v>
      </c>
      <c r="F38" s="189" t="n">
        <v>100.8</v>
      </c>
      <c r="G38" s="26">
        <f>ROUND(E38*F38,2)</f>
        <v/>
      </c>
      <c r="H38" s="166">
        <f>G38/$G$53</f>
        <v/>
      </c>
      <c r="I38" s="26">
        <f>ROUND(F38*'Прил. 10'!$D$13,2)</f>
        <v/>
      </c>
      <c r="J38" s="26">
        <f>ROUND(I38*E38,2)</f>
        <v/>
      </c>
    </row>
    <row r="39" outlineLevel="1" ht="14.25" customFormat="1" customHeight="1" s="12">
      <c r="A39" s="236" t="n">
        <v>10</v>
      </c>
      <c r="B39" s="127" t="inlineStr">
        <is>
          <t>14.4.03.03-0002</t>
        </is>
      </c>
      <c r="C39" s="128" t="inlineStr">
        <is>
          <t>Лак битумный БТ-123</t>
        </is>
      </c>
      <c r="D39" s="256" t="inlineStr">
        <is>
          <t>т</t>
        </is>
      </c>
      <c r="E39" s="127" t="n">
        <v>0.00036</v>
      </c>
      <c r="F39" s="189" t="n">
        <v>7826.9</v>
      </c>
      <c r="G39" s="26">
        <f>ROUND(E39*F39,2)</f>
        <v/>
      </c>
      <c r="H39" s="166">
        <f>G39/$G$53</f>
        <v/>
      </c>
      <c r="I39" s="26">
        <f>ROUND(F39*'Прил. 10'!$D$13,2)</f>
        <v/>
      </c>
      <c r="J39" s="26">
        <f>ROUND(I39*E39,2)</f>
        <v/>
      </c>
    </row>
    <row r="40" outlineLevel="1" ht="14.25" customFormat="1" customHeight="1" s="12">
      <c r="A40" s="236" t="n">
        <v>11</v>
      </c>
      <c r="B40" s="127" t="inlineStr">
        <is>
          <t>25.2.01.01-0017</t>
        </is>
      </c>
      <c r="C40" s="128" t="inlineStr">
        <is>
          <t>Бирки маркировочные пластмассовые</t>
        </is>
      </c>
      <c r="D40" s="256" t="inlineStr">
        <is>
          <t>100 шт</t>
        </is>
      </c>
      <c r="E40" s="127" t="n">
        <v>0.08</v>
      </c>
      <c r="F40" s="189" t="n">
        <v>30.74</v>
      </c>
      <c r="G40" s="26">
        <f>ROUND(E40*F40,2)</f>
        <v/>
      </c>
      <c r="H40" s="166">
        <f>G40/$G$53</f>
        <v/>
      </c>
      <c r="I40" s="26">
        <f>ROUND(F40*'Прил. 10'!$D$13,2)</f>
        <v/>
      </c>
      <c r="J40" s="26">
        <f>ROUND(I40*E40,2)</f>
        <v/>
      </c>
    </row>
    <row r="41" outlineLevel="1" ht="25.5" customFormat="1" customHeight="1" s="12">
      <c r="A41" s="236" t="n">
        <v>12</v>
      </c>
      <c r="B41" s="127" t="inlineStr">
        <is>
          <t>999-9950</t>
        </is>
      </c>
      <c r="C41" s="128" t="inlineStr">
        <is>
          <t>Вспомогательные ненормируемые ресурсы (2% от Оплаты труда рабочих)</t>
        </is>
      </c>
      <c r="D41" s="256" t="inlineStr">
        <is>
          <t>руб</t>
        </is>
      </c>
      <c r="E41" s="127" t="n">
        <v>1.2948</v>
      </c>
      <c r="F41" s="189" t="n">
        <v>1</v>
      </c>
      <c r="G41" s="26">
        <f>ROUND(E41*F41,2)</f>
        <v/>
      </c>
      <c r="H41" s="166">
        <f>G41/$G$53</f>
        <v/>
      </c>
      <c r="I41" s="26">
        <f>ROUND(F41*'Прил. 10'!$D$13,2)</f>
        <v/>
      </c>
      <c r="J41" s="26">
        <f>ROUND(I41*E41,2)</f>
        <v/>
      </c>
    </row>
    <row r="42" outlineLevel="1" ht="14.25" customFormat="1" customHeight="1" s="12">
      <c r="A42" s="236" t="n">
        <v>13</v>
      </c>
      <c r="B42" s="127" t="inlineStr">
        <is>
          <t>01.7.06.07-0002</t>
        </is>
      </c>
      <c r="C42" s="128" t="inlineStr">
        <is>
          <t>Лента монтажная, тип ЛМ-5</t>
        </is>
      </c>
      <c r="D42" s="256" t="inlineStr">
        <is>
          <t>10 м</t>
        </is>
      </c>
      <c r="E42" s="127" t="n">
        <v>0.1225</v>
      </c>
      <c r="F42" s="189" t="n">
        <v>6.9</v>
      </c>
      <c r="G42" s="26">
        <f>ROUND(E42*F42,2)</f>
        <v/>
      </c>
      <c r="H42" s="166">
        <f>G42/$G$53</f>
        <v/>
      </c>
      <c r="I42" s="26">
        <f>ROUND(F42*'Прил. 10'!$D$13,2)</f>
        <v/>
      </c>
      <c r="J42" s="26">
        <f>ROUND(I42*E42,2)</f>
        <v/>
      </c>
    </row>
    <row r="43" outlineLevel="1" ht="25.5" customFormat="1" customHeight="1" s="12">
      <c r="A43" s="236" t="n">
        <v>14</v>
      </c>
      <c r="B43" s="127" t="inlineStr">
        <is>
          <t>10.3.02.03-0013</t>
        </is>
      </c>
      <c r="C43" s="128" t="inlineStr">
        <is>
          <t>Припои оловянно-свинцовые бессурьмянистые, марка ПОС61</t>
        </is>
      </c>
      <c r="D43" s="256" t="inlineStr">
        <is>
          <t>т</t>
        </is>
      </c>
      <c r="E43" s="127" t="n">
        <v>6.4e-06</v>
      </c>
      <c r="F43" s="189" t="n">
        <v>114220</v>
      </c>
      <c r="G43" s="26">
        <f>ROUND(E43*F43,2)</f>
        <v/>
      </c>
      <c r="H43" s="166">
        <f>G43/$G$53</f>
        <v/>
      </c>
      <c r="I43" s="26">
        <f>ROUND(F43*'Прил. 10'!$D$13,2)</f>
        <v/>
      </c>
      <c r="J43" s="26">
        <f>ROUND(I43*E43,2)</f>
        <v/>
      </c>
    </row>
    <row r="44" outlineLevel="1" ht="14.25" customFormat="1" customHeight="1" s="12">
      <c r="A44" s="236" t="n">
        <v>15</v>
      </c>
      <c r="B44" s="127" t="inlineStr">
        <is>
          <t>01.7.15.14-0165</t>
        </is>
      </c>
      <c r="C44" s="128" t="inlineStr">
        <is>
          <t>Шурупы с полукруглой головкой 4х40 мм</t>
        </is>
      </c>
      <c r="D44" s="256" t="inlineStr">
        <is>
          <t>т</t>
        </is>
      </c>
      <c r="E44" s="127" t="n">
        <v>5.5e-05</v>
      </c>
      <c r="F44" s="189" t="n">
        <v>12430</v>
      </c>
      <c r="G44" s="26">
        <f>ROUND(E44*F44,2)</f>
        <v/>
      </c>
      <c r="H44" s="166">
        <f>G44/$G$53</f>
        <v/>
      </c>
      <c r="I44" s="26">
        <f>ROUND(F44*'Прил. 10'!$D$13,2)</f>
        <v/>
      </c>
      <c r="J44" s="26">
        <f>ROUND(I44*E44,2)</f>
        <v/>
      </c>
    </row>
    <row r="45" outlineLevel="1" ht="38.25" customFormat="1" customHeight="1" s="12">
      <c r="A45" s="236" t="n">
        <v>16</v>
      </c>
      <c r="B45" s="127" t="inlineStr">
        <is>
          <t>01.7.06.05-0041</t>
        </is>
      </c>
      <c r="C45" s="128" t="inlineStr">
        <is>
          <t>Лента изоляционная прорезиненная односторонняя, ширина 20 мм, толщина 0,25-0,35 мм</t>
        </is>
      </c>
      <c r="D45" s="256" t="inlineStr">
        <is>
          <t>кг</t>
        </is>
      </c>
      <c r="E45" s="127" t="n">
        <v>0.02</v>
      </c>
      <c r="F45" s="189" t="n">
        <v>30.4</v>
      </c>
      <c r="G45" s="26">
        <f>ROUND(E45*F45,2)</f>
        <v/>
      </c>
      <c r="H45" s="166">
        <f>G45/$G$53</f>
        <v/>
      </c>
      <c r="I45" s="26">
        <f>ROUND(F45*'Прил. 10'!$D$13,2)</f>
        <v/>
      </c>
      <c r="J45" s="26">
        <f>ROUND(I45*E45,2)</f>
        <v/>
      </c>
    </row>
    <row r="46" outlineLevel="1" ht="14.25" customFormat="1" customHeight="1" s="12">
      <c r="A46" s="236" t="n">
        <v>17</v>
      </c>
      <c r="B46" s="127" t="inlineStr">
        <is>
          <t>01.7.15.03-0042</t>
        </is>
      </c>
      <c r="C46" s="128" t="inlineStr">
        <is>
          <t>Болты с гайками и шайбами строительные</t>
        </is>
      </c>
      <c r="D46" s="256" t="inlineStr">
        <is>
          <t>кг</t>
        </is>
      </c>
      <c r="E46" s="127" t="n">
        <v>0.06</v>
      </c>
      <c r="F46" s="189" t="n">
        <v>9.039999999999999</v>
      </c>
      <c r="G46" s="26">
        <f>ROUND(E46*F46,2)</f>
        <v/>
      </c>
      <c r="H46" s="166">
        <f>G46/$G$53</f>
        <v/>
      </c>
      <c r="I46" s="26">
        <f>ROUND(F46*'Прил. 10'!$D$13,2)</f>
        <v/>
      </c>
      <c r="J46" s="26">
        <f>ROUND(I46*E46,2)</f>
        <v/>
      </c>
    </row>
    <row r="47" outlineLevel="1" ht="14.25" customFormat="1" customHeight="1" s="12">
      <c r="A47" s="236" t="n">
        <v>18</v>
      </c>
      <c r="B47" s="127" t="inlineStr">
        <is>
          <t>01.3.01.05-0009</t>
        </is>
      </c>
      <c r="C47" s="128" t="inlineStr">
        <is>
          <t>Парафин нефтяной твердый Т-1</t>
        </is>
      </c>
      <c r="D47" s="256" t="inlineStr">
        <is>
          <t>т</t>
        </is>
      </c>
      <c r="E47" s="127" t="n">
        <v>2e-05</v>
      </c>
      <c r="F47" s="189" t="n">
        <v>8105.71</v>
      </c>
      <c r="G47" s="26">
        <f>ROUND(E47*F47,2)</f>
        <v/>
      </c>
      <c r="H47" s="166">
        <f>G47/$G$53</f>
        <v/>
      </c>
      <c r="I47" s="26">
        <f>ROUND(F47*'Прил. 10'!$D$13,2)</f>
        <v/>
      </c>
      <c r="J47" s="26">
        <f>ROUND(I47*E47,2)</f>
        <v/>
      </c>
    </row>
    <row r="48" outlineLevel="1" ht="14.25" customFormat="1" customHeight="1" s="12">
      <c r="A48" s="236" t="n">
        <v>19</v>
      </c>
      <c r="B48" s="127" t="inlineStr">
        <is>
          <t>24.3.01.01-0002</t>
        </is>
      </c>
      <c r="C48" s="128" t="inlineStr">
        <is>
          <t>Трубка полихлорвиниловая</t>
        </is>
      </c>
      <c r="D48" s="256" t="inlineStr">
        <is>
          <t>кг</t>
        </is>
      </c>
      <c r="E48" s="127" t="n">
        <v>0.0032</v>
      </c>
      <c r="F48" s="189" t="n">
        <v>35.7</v>
      </c>
      <c r="G48" s="26">
        <f>ROUND(E48*F48,2)</f>
        <v/>
      </c>
      <c r="H48" s="166">
        <f>G48/$G$53</f>
        <v/>
      </c>
      <c r="I48" s="26">
        <f>ROUND(F48*'Прил. 10'!$D$13,2)</f>
        <v/>
      </c>
      <c r="J48" s="26">
        <f>ROUND(I48*E48,2)</f>
        <v/>
      </c>
    </row>
    <row r="49" outlineLevel="1" ht="25.5" customFormat="1" customHeight="1" s="12">
      <c r="A49" s="236" t="n">
        <v>20</v>
      </c>
      <c r="B49" s="127" t="inlineStr">
        <is>
          <t>01.3.01.07-0009</t>
        </is>
      </c>
      <c r="C49" s="128" t="inlineStr">
        <is>
          <t>Спирт этиловый ректификованный технический, сорт I</t>
        </is>
      </c>
      <c r="D49" s="256" t="inlineStr">
        <is>
          <t>кг</t>
        </is>
      </c>
      <c r="E49" s="127" t="n">
        <v>0.00232</v>
      </c>
      <c r="F49" s="189" t="n">
        <v>38.89</v>
      </c>
      <c r="G49" s="26">
        <f>ROUND(E49*F49,2)</f>
        <v/>
      </c>
      <c r="H49" s="166">
        <f>G49/$G$53</f>
        <v/>
      </c>
      <c r="I49" s="26">
        <f>ROUND(F49*'Прил. 10'!$D$13,2)</f>
        <v/>
      </c>
      <c r="J49" s="26">
        <f>ROUND(I49*E49,2)</f>
        <v/>
      </c>
    </row>
    <row r="50" outlineLevel="1" ht="14.25" customFormat="1" customHeight="1" s="12">
      <c r="A50" s="236" t="n">
        <v>21</v>
      </c>
      <c r="B50" s="127" t="inlineStr">
        <is>
          <t>01.3.05.17-0002</t>
        </is>
      </c>
      <c r="C50" s="128" t="inlineStr">
        <is>
          <t>Канифоль сосновая</t>
        </is>
      </c>
      <c r="D50" s="256" t="inlineStr">
        <is>
          <t>кг</t>
        </is>
      </c>
      <c r="E50" s="127" t="n">
        <v>0.00152</v>
      </c>
      <c r="F50" s="189" t="n">
        <v>27.74</v>
      </c>
      <c r="G50" s="26">
        <f>ROUND(E50*F50,2)</f>
        <v/>
      </c>
      <c r="H50" s="166">
        <f>G50/$G$53</f>
        <v/>
      </c>
      <c r="I50" s="26">
        <f>ROUND(F50*'Прил. 10'!$D$13,2)</f>
        <v/>
      </c>
      <c r="J50" s="26">
        <f>ROUND(I50*E50,2)</f>
        <v/>
      </c>
    </row>
    <row r="51" outlineLevel="1" ht="14.25" customFormat="1" customHeight="1" s="12">
      <c r="A51" s="236" t="n">
        <v>22</v>
      </c>
      <c r="B51" s="127" t="inlineStr">
        <is>
          <t>01.3.05.11-0001</t>
        </is>
      </c>
      <c r="C51" s="128" t="inlineStr">
        <is>
          <t>Дихлорэтан технический, сорт I</t>
        </is>
      </c>
      <c r="D51" s="256" t="inlineStr">
        <is>
          <t>т</t>
        </is>
      </c>
      <c r="E51" s="127" t="n">
        <v>1.6e-06</v>
      </c>
      <c r="F51" s="189" t="n">
        <v>4934.48</v>
      </c>
      <c r="G51" s="26">
        <f>ROUND(E51*F51,2)</f>
        <v/>
      </c>
      <c r="H51" s="166">
        <f>G51/$G$53</f>
        <v/>
      </c>
      <c r="I51" s="26">
        <f>ROUND(F51*'Прил. 10'!$D$13,2)</f>
        <v/>
      </c>
      <c r="J51" s="26">
        <f>ROUND(I51*E51,2)</f>
        <v/>
      </c>
    </row>
    <row r="52" ht="14.25" customFormat="1" customHeight="1" s="12">
      <c r="A52" s="236" t="n"/>
      <c r="B52" s="236" t="n"/>
      <c r="C52" s="243" t="inlineStr">
        <is>
          <t>Итого прочие материалы</t>
        </is>
      </c>
      <c r="D52" s="236" t="n"/>
      <c r="E52" s="244" t="n"/>
      <c r="F52" s="245" t="n"/>
      <c r="G52" s="26">
        <f>SUM(G37:G51)</f>
        <v/>
      </c>
      <c r="H52" s="166">
        <f>G52/$G$53</f>
        <v/>
      </c>
      <c r="I52" s="26" t="n"/>
      <c r="J52" s="26">
        <f>SUM(J37:J51)</f>
        <v/>
      </c>
    </row>
    <row r="53" ht="14.25" customFormat="1" customHeight="1" s="12">
      <c r="A53" s="236" t="n"/>
      <c r="B53" s="236" t="n"/>
      <c r="C53" s="225" t="inlineStr">
        <is>
          <t>Итого по разделу «Материалы»</t>
        </is>
      </c>
      <c r="D53" s="236" t="n"/>
      <c r="E53" s="244" t="n"/>
      <c r="F53" s="245" t="n"/>
      <c r="G53" s="26">
        <f>G36+G52</f>
        <v/>
      </c>
      <c r="H53" s="246">
        <f>G53/$G$53</f>
        <v/>
      </c>
      <c r="I53" s="26" t="n"/>
      <c r="J53" s="26">
        <f>J36+J52</f>
        <v/>
      </c>
    </row>
    <row r="54" ht="14.25" customFormat="1" customHeight="1" s="12">
      <c r="A54" s="236" t="n"/>
      <c r="B54" s="236" t="n"/>
      <c r="C54" s="243" t="inlineStr">
        <is>
          <t>ИТОГО ПО РМ</t>
        </is>
      </c>
      <c r="D54" s="236" t="n"/>
      <c r="E54" s="244" t="n"/>
      <c r="F54" s="245" t="n"/>
      <c r="G54" s="26">
        <f>G14+G25+G53</f>
        <v/>
      </c>
      <c r="H54" s="246" t="n"/>
      <c r="I54" s="26" t="n"/>
      <c r="J54" s="26">
        <f>J14+J25+J53</f>
        <v/>
      </c>
    </row>
    <row r="55" ht="14.25" customFormat="1" customHeight="1" s="12">
      <c r="A55" s="236" t="n"/>
      <c r="B55" s="236" t="n"/>
      <c r="C55" s="243" t="inlineStr">
        <is>
          <t>Накладные расходы</t>
        </is>
      </c>
      <c r="D55" s="120">
        <f>ROUND(G55/(G$16+$G$14),2)</f>
        <v/>
      </c>
      <c r="E55" s="244" t="n"/>
      <c r="F55" s="245" t="n"/>
      <c r="G55" s="26" t="n">
        <v>65.44</v>
      </c>
      <c r="H55" s="246" t="n"/>
      <c r="I55" s="26" t="n"/>
      <c r="J55" s="26">
        <f>ROUND(D55*(J14+J16),2)</f>
        <v/>
      </c>
    </row>
    <row r="56" ht="14.25" customFormat="1" customHeight="1" s="12">
      <c r="A56" s="236" t="n"/>
      <c r="B56" s="236" t="n"/>
      <c r="C56" s="243" t="inlineStr">
        <is>
          <t>Сметная прибыль</t>
        </is>
      </c>
      <c r="D56" s="120">
        <f>ROUND(G56/(G$14+G$16),2)</f>
        <v/>
      </c>
      <c r="E56" s="244" t="n"/>
      <c r="F56" s="245" t="n"/>
      <c r="G56" s="26" t="n">
        <v>34.31</v>
      </c>
      <c r="H56" s="246" t="n"/>
      <c r="I56" s="26" t="n"/>
      <c r="J56" s="26">
        <f>ROUND(D56*(J14+J16),2)</f>
        <v/>
      </c>
    </row>
    <row r="57" ht="14.25" customFormat="1" customHeight="1" s="12">
      <c r="A57" s="236" t="n"/>
      <c r="B57" s="236" t="n"/>
      <c r="C57" s="243" t="inlineStr">
        <is>
          <t>Итого СМР (с НР и СП)</t>
        </is>
      </c>
      <c r="D57" s="236" t="n"/>
      <c r="E57" s="244" t="n"/>
      <c r="F57" s="245" t="n"/>
      <c r="G57" s="26">
        <f>G14+G25+G53+G55+G56</f>
        <v/>
      </c>
      <c r="H57" s="246" t="n"/>
      <c r="I57" s="26" t="n"/>
      <c r="J57" s="26">
        <f>J14+J25+J53+J55+J56</f>
        <v/>
      </c>
    </row>
    <row r="58" ht="14.25" customFormat="1" customHeight="1" s="12">
      <c r="A58" s="236" t="n"/>
      <c r="B58" s="236" t="n"/>
      <c r="C58" s="243" t="inlineStr">
        <is>
          <t>ВСЕГО СМР + ОБОРУДОВАНИЕ</t>
        </is>
      </c>
      <c r="D58" s="236" t="n"/>
      <c r="E58" s="244" t="n"/>
      <c r="F58" s="245" t="n"/>
      <c r="G58" s="26">
        <f>G57+G31</f>
        <v/>
      </c>
      <c r="H58" s="246" t="n"/>
      <c r="I58" s="26" t="n"/>
      <c r="J58" s="26">
        <f>J57+J31</f>
        <v/>
      </c>
    </row>
    <row r="59" ht="34.5" customFormat="1" customHeight="1" s="12">
      <c r="A59" s="236" t="n"/>
      <c r="B59" s="236" t="n"/>
      <c r="C59" s="243" t="inlineStr">
        <is>
          <t>ИТОГО ПОКАЗАТЕЛЬ НА ЕД. ИЗМ.</t>
        </is>
      </c>
      <c r="D59" s="236" t="inlineStr">
        <is>
          <t>ед.</t>
        </is>
      </c>
      <c r="E59" s="332" t="n">
        <v>1</v>
      </c>
      <c r="F59" s="245" t="n"/>
      <c r="G59" s="26">
        <f>G58/E59</f>
        <v/>
      </c>
      <c r="H59" s="246" t="n"/>
      <c r="I59" s="26" t="n"/>
      <c r="J59" s="26">
        <f>J58/E59</f>
        <v/>
      </c>
    </row>
    <row r="61" ht="14.25" customFormat="1" customHeight="1" s="12">
      <c r="A61" s="4" t="inlineStr">
        <is>
          <t>Составил ______________________    Д.Ю. Нефедова</t>
        </is>
      </c>
    </row>
    <row r="62" ht="14.25" customFormat="1" customHeight="1" s="12">
      <c r="A62" s="113" t="inlineStr">
        <is>
          <t xml:space="preserve">                         (подпись, инициалы, фамилия)</t>
        </is>
      </c>
    </row>
    <row r="63" ht="14.25" customFormat="1" customHeight="1" s="12">
      <c r="A63" s="4" t="n"/>
    </row>
    <row r="64" ht="14.25" customFormat="1" customHeight="1" s="12">
      <c r="A64" s="4" t="inlineStr">
        <is>
          <t>Проверил ______________________        А.В. Костянецкая</t>
        </is>
      </c>
    </row>
    <row r="65" ht="14.25" customFormat="1" customHeight="1" s="12">
      <c r="A65" s="113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E9:E10"/>
    <mergeCell ref="B26:H26"/>
    <mergeCell ref="A7:H7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</mergeCells>
  <pageMargins left="0.62992125984252" right="0.23622047244094" top="0.74803149606299" bottom="0.74803149606299" header="0.31496062992126" footer="0.31496062992126"/>
  <pageSetup orientation="portrait" paperSize="9" scale="57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0"/>
  <sheetViews>
    <sheetView view="pageBreakPreview" workbookViewId="0">
      <selection activeCell="C31" sqref="C31"/>
    </sheetView>
  </sheetViews>
  <sheetFormatPr baseColWidth="8" defaultRowHeight="15"/>
  <cols>
    <col width="5.7109375" customWidth="1" style="195" min="1" max="1"/>
    <col width="17.5703125" customWidth="1" style="195" min="2" max="2"/>
    <col width="39.140625" customWidth="1" style="195" min="3" max="3"/>
    <col width="10.7109375" customWidth="1" style="195" min="4" max="4"/>
    <col width="13.85546875" customWidth="1" style="195" min="5" max="5"/>
    <col width="13.28515625" customWidth="1" style="195" min="6" max="6"/>
    <col width="14.140625" customWidth="1" style="195" min="7" max="7"/>
  </cols>
  <sheetData>
    <row r="1">
      <c r="A1" s="251" t="inlineStr">
        <is>
          <t>Приложение №6</t>
        </is>
      </c>
    </row>
    <row r="2" ht="21.75" customHeight="1" s="195">
      <c r="A2" s="251" t="n"/>
      <c r="B2" s="251" t="n"/>
      <c r="C2" s="251" t="n"/>
      <c r="D2" s="251" t="n"/>
      <c r="E2" s="251" t="n"/>
      <c r="F2" s="251" t="n"/>
      <c r="G2" s="251" t="n"/>
    </row>
    <row r="3">
      <c r="A3" s="208" t="inlineStr">
        <is>
          <t>Расчет стоимости оборудования</t>
        </is>
      </c>
    </row>
    <row r="4" ht="27" customHeight="1" s="195">
      <c r="A4" s="211" t="inlineStr">
        <is>
          <t>Наименование разрабатываемого показателя УНЦ — Блок аварийного освещения (БАО)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 s="195">
      <c r="A6" s="256" t="inlineStr">
        <is>
          <t>№ пп.</t>
        </is>
      </c>
      <c r="B6" s="256" t="inlineStr">
        <is>
          <t>Код ресурса</t>
        </is>
      </c>
      <c r="C6" s="256" t="inlineStr">
        <is>
          <t>Наименование</t>
        </is>
      </c>
      <c r="D6" s="256" t="inlineStr">
        <is>
          <t>Ед. изм.</t>
        </is>
      </c>
      <c r="E6" s="236" t="inlineStr">
        <is>
          <t>Кол-во единиц по проектным данным</t>
        </is>
      </c>
      <c r="F6" s="256" t="inlineStr">
        <is>
          <t>Сметная стоимость в ценах на 01.01.2000 (руб.)</t>
        </is>
      </c>
      <c r="G6" s="317" t="n"/>
    </row>
    <row r="7">
      <c r="A7" s="319" t="n"/>
      <c r="B7" s="319" t="n"/>
      <c r="C7" s="319" t="n"/>
      <c r="D7" s="319" t="n"/>
      <c r="E7" s="319" t="n"/>
      <c r="F7" s="236" t="inlineStr">
        <is>
          <t>на ед. изм.</t>
        </is>
      </c>
      <c r="G7" s="236" t="inlineStr">
        <is>
          <t>общая</t>
        </is>
      </c>
    </row>
    <row r="8">
      <c r="A8" s="236" t="n">
        <v>1</v>
      </c>
      <c r="B8" s="236" t="n">
        <v>2</v>
      </c>
      <c r="C8" s="236" t="n">
        <v>3</v>
      </c>
      <c r="D8" s="236" t="n">
        <v>4</v>
      </c>
      <c r="E8" s="236" t="n">
        <v>5</v>
      </c>
      <c r="F8" s="236" t="n">
        <v>6</v>
      </c>
      <c r="G8" s="236" t="n">
        <v>7</v>
      </c>
    </row>
    <row r="9" ht="15" customHeight="1" s="195">
      <c r="A9" s="116" t="n"/>
      <c r="B9" s="243" t="inlineStr">
        <is>
          <t>ИНЖЕНЕРНОЕ ОБОРУДОВАНИЕ</t>
        </is>
      </c>
      <c r="C9" s="316" t="n"/>
      <c r="D9" s="316" t="n"/>
      <c r="E9" s="316" t="n"/>
      <c r="F9" s="316" t="n"/>
      <c r="G9" s="317" t="n"/>
    </row>
    <row r="10" ht="27" customHeight="1" s="195">
      <c r="A10" s="236" t="n"/>
      <c r="B10" s="225" t="n"/>
      <c r="C10" s="243" t="inlineStr">
        <is>
          <t>ИТОГО ИНЖЕНЕРНОЕ ОБОРУДОВАНИЕ</t>
        </is>
      </c>
      <c r="D10" s="225" t="n"/>
      <c r="E10" s="118" t="n"/>
      <c r="F10" s="245" t="n"/>
      <c r="G10" s="245" t="n">
        <v>0</v>
      </c>
    </row>
    <row r="11">
      <c r="A11" s="236" t="n"/>
      <c r="B11" s="243" t="inlineStr">
        <is>
          <t>ТЕХНОЛОГИЧЕСКОЕ ОБОРУДОВАНИЕ</t>
        </is>
      </c>
      <c r="C11" s="316" t="n"/>
      <c r="D11" s="316" t="n"/>
      <c r="E11" s="316" t="n"/>
      <c r="F11" s="316" t="n"/>
      <c r="G11" s="317" t="n"/>
    </row>
    <row r="12">
      <c r="A12" s="236" t="n">
        <v>1</v>
      </c>
      <c r="B12" s="200" t="inlineStr">
        <is>
          <t>БЦ.53.45</t>
        </is>
      </c>
      <c r="C12" s="200" t="inlineStr">
        <is>
          <t>Блок аварийного освещения (БАО)</t>
        </is>
      </c>
      <c r="D12" s="200" t="inlineStr">
        <is>
          <t>компл</t>
        </is>
      </c>
      <c r="E12" s="137" t="n">
        <v>1</v>
      </c>
      <c r="F12" s="245" t="n">
        <v>137779.55</v>
      </c>
      <c r="G12" s="26" t="n">
        <v>137779.55</v>
      </c>
    </row>
    <row r="13" ht="25.5" customHeight="1" s="195">
      <c r="A13" s="236" t="n"/>
      <c r="B13" s="243" t="n"/>
      <c r="C13" s="243" t="inlineStr">
        <is>
          <t>ИТОГО ТЕХНОЛОГИЧЕСКОЕ ОБОРУДОВАНИЕ</t>
        </is>
      </c>
      <c r="D13" s="243" t="n"/>
      <c r="E13" s="255" t="n"/>
      <c r="F13" s="245" t="n"/>
      <c r="G13" s="26">
        <f>SUM(G12:G12)</f>
        <v/>
      </c>
    </row>
    <row r="14" ht="19.5" customHeight="1" s="195">
      <c r="A14" s="236" t="n"/>
      <c r="B14" s="243" t="n"/>
      <c r="C14" s="243" t="inlineStr">
        <is>
          <t>Всего по разделу «Оборудование»</t>
        </is>
      </c>
      <c r="D14" s="243" t="n"/>
      <c r="E14" s="255" t="n"/>
      <c r="F14" s="245" t="n"/>
      <c r="G14" s="26">
        <f>G10+G13</f>
        <v/>
      </c>
    </row>
    <row r="15">
      <c r="A15" s="24" t="n"/>
      <c r="B15" s="119" t="n"/>
      <c r="C15" s="24" t="n"/>
      <c r="D15" s="24" t="n"/>
      <c r="E15" s="24" t="n"/>
      <c r="F15" s="24" t="n"/>
      <c r="G15" s="24" t="n"/>
    </row>
    <row r="16">
      <c r="A16" s="4" t="inlineStr">
        <is>
          <t>Составил ______________________    Д.Ю. Нефедова</t>
        </is>
      </c>
      <c r="B16" s="12" t="n"/>
      <c r="C16" s="12" t="n"/>
      <c r="D16" s="24" t="n"/>
      <c r="E16" s="24" t="n"/>
      <c r="F16" s="24" t="n"/>
      <c r="G16" s="24" t="n"/>
    </row>
    <row r="17">
      <c r="A17" s="113" t="inlineStr">
        <is>
          <t xml:space="preserve">                         (подпись, инициалы, фамилия)</t>
        </is>
      </c>
      <c r="B17" s="12" t="n"/>
      <c r="C17" s="12" t="n"/>
      <c r="D17" s="24" t="n"/>
      <c r="E17" s="24" t="n"/>
      <c r="F17" s="24" t="n"/>
      <c r="G17" s="24" t="n"/>
    </row>
    <row r="18">
      <c r="A18" s="4" t="n"/>
      <c r="B18" s="12" t="n"/>
      <c r="C18" s="12" t="n"/>
      <c r="D18" s="24" t="n"/>
      <c r="E18" s="24" t="n"/>
      <c r="F18" s="24" t="n"/>
      <c r="G18" s="24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24" t="n"/>
      <c r="E19" s="24" t="n"/>
      <c r="F19" s="24" t="n"/>
      <c r="G19" s="24" t="n"/>
    </row>
    <row r="20">
      <c r="A20" s="113" t="inlineStr">
        <is>
          <t xml:space="preserve">                        (подпись, инициалы, фамилия)</t>
        </is>
      </c>
      <c r="B20" s="12" t="n"/>
      <c r="C20" s="12" t="n"/>
      <c r="D20" s="24" t="n"/>
      <c r="E20" s="24" t="n"/>
      <c r="F20" s="24" t="n"/>
      <c r="G20" s="2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195" min="1" max="1"/>
    <col width="16.42578125" customWidth="1" style="195" min="2" max="2"/>
    <col width="37.140625" customWidth="1" style="195" min="3" max="3"/>
    <col width="49" customWidth="1" style="195" min="4" max="4"/>
    <col width="9.140625" customWidth="1" style="195" min="5" max="5"/>
  </cols>
  <sheetData>
    <row r="1" ht="15.75" customHeight="1" s="195">
      <c r="A1" s="197" t="n"/>
      <c r="B1" s="197" t="n"/>
      <c r="C1" s="197" t="n"/>
      <c r="D1" s="197" t="inlineStr">
        <is>
          <t>Приложение №7</t>
        </is>
      </c>
    </row>
    <row r="2" ht="15.75" customHeight="1" s="195">
      <c r="A2" s="197" t="n"/>
      <c r="B2" s="197" t="n"/>
      <c r="C2" s="197" t="n"/>
      <c r="D2" s="197" t="n"/>
    </row>
    <row r="3" ht="15.75" customHeight="1" s="195">
      <c r="A3" s="197" t="n"/>
      <c r="B3" s="153" t="inlineStr">
        <is>
          <t>Расчет показателя УНЦ</t>
        </is>
      </c>
      <c r="C3" s="197" t="n"/>
      <c r="D3" s="197" t="n"/>
    </row>
    <row r="4" ht="15.75" customHeight="1" s="195">
      <c r="A4" s="197" t="n"/>
      <c r="B4" s="197" t="n"/>
      <c r="C4" s="197" t="n"/>
      <c r="D4" s="197" t="n"/>
    </row>
    <row r="5" ht="15.75" customHeight="1" s="195">
      <c r="A5" s="257" t="inlineStr">
        <is>
          <t xml:space="preserve">Наименование разрабатываемого показателя УНЦ - </t>
        </is>
      </c>
      <c r="D5" s="257">
        <f>'Прил.5 Расчет СМР и ОБ'!D6:J6</f>
        <v/>
      </c>
    </row>
    <row r="6" ht="15.75" customHeight="1" s="195">
      <c r="A6" s="197" t="inlineStr">
        <is>
          <t>Единица измерения  — 1 ед</t>
        </is>
      </c>
      <c r="B6" s="197" t="n"/>
      <c r="C6" s="197" t="n"/>
      <c r="D6" s="197" t="n"/>
    </row>
    <row r="7" ht="15.75" customHeight="1" s="195">
      <c r="A7" s="197" t="n"/>
      <c r="B7" s="197" t="n"/>
      <c r="C7" s="197" t="n"/>
      <c r="D7" s="197" t="n"/>
    </row>
    <row r="8">
      <c r="A8" s="222" t="inlineStr">
        <is>
          <t>Код показателя</t>
        </is>
      </c>
      <c r="B8" s="222" t="inlineStr">
        <is>
          <t>Наименование показателя</t>
        </is>
      </c>
      <c r="C8" s="222" t="inlineStr">
        <is>
          <t>Наименование РМ, входящих в состав показателя</t>
        </is>
      </c>
      <c r="D8" s="222" t="inlineStr">
        <is>
          <t>Норматив цены на 01.01.2023, тыс.руб.</t>
        </is>
      </c>
    </row>
    <row r="9">
      <c r="A9" s="319" t="n"/>
      <c r="B9" s="319" t="n"/>
      <c r="C9" s="319" t="n"/>
      <c r="D9" s="319" t="n"/>
    </row>
    <row r="10" ht="15.75" customHeight="1" s="195">
      <c r="A10" s="222" t="n">
        <v>1</v>
      </c>
      <c r="B10" s="222" t="n">
        <v>2</v>
      </c>
      <c r="C10" s="222" t="n">
        <v>3</v>
      </c>
      <c r="D10" s="222" t="n">
        <v>4</v>
      </c>
    </row>
    <row r="11" ht="94.5" customHeight="1" s="195">
      <c r="A11" s="222" t="inlineStr">
        <is>
          <t>И13-09</t>
        </is>
      </c>
      <c r="B11" s="222" t="inlineStr">
        <is>
          <t xml:space="preserve">УНЦ системы оперативного постоянного тока и собственных нужд ПС </t>
        </is>
      </c>
      <c r="C11" s="191">
        <f>D5</f>
        <v/>
      </c>
      <c r="D11" s="192">
        <f>'Прил.4 РМ'!C41/1000</f>
        <v/>
      </c>
    </row>
    <row r="13">
      <c r="A13" s="4" t="inlineStr">
        <is>
          <t>Составил ______________________      Д.Ю. Нефедова</t>
        </is>
      </c>
      <c r="B13" s="12" t="n"/>
      <c r="C13" s="12" t="n"/>
      <c r="D13" s="24" t="n"/>
    </row>
    <row r="14">
      <c r="A14" s="113" t="inlineStr">
        <is>
          <t xml:space="preserve">                         (подпись, инициалы, фамилия)</t>
        </is>
      </c>
      <c r="B14" s="12" t="n"/>
      <c r="C14" s="12" t="n"/>
      <c r="D14" s="24" t="n"/>
    </row>
    <row r="15">
      <c r="A15" s="4" t="n"/>
      <c r="B15" s="12" t="n"/>
      <c r="C15" s="12" t="n"/>
      <c r="D15" s="24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4" t="n"/>
    </row>
    <row r="17">
      <c r="A17" s="113" t="inlineStr">
        <is>
          <t xml:space="preserve">                        (подпись, инициалы, фамилия)</t>
        </is>
      </c>
      <c r="B17" s="12" t="n"/>
      <c r="C17" s="12" t="n"/>
      <c r="D17" s="2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zoomScale="60" zoomScaleNormal="85" workbookViewId="0">
      <selection activeCell="B26" sqref="B26"/>
    </sheetView>
  </sheetViews>
  <sheetFormatPr baseColWidth="8" defaultRowHeight="15"/>
  <cols>
    <col width="9.140625" customWidth="1" style="195" min="1" max="1"/>
    <col width="40.7109375" customWidth="1" style="195" min="2" max="2"/>
    <col width="37.5703125" customWidth="1" style="195" min="3" max="3"/>
    <col width="32" customWidth="1" style="195" min="4" max="4"/>
    <col width="9.140625" customWidth="1" style="195" min="5" max="5"/>
  </cols>
  <sheetData>
    <row r="4" ht="15.75" customHeight="1" s="195">
      <c r="B4" s="215" t="inlineStr">
        <is>
          <t>Приложение № 10</t>
        </is>
      </c>
    </row>
    <row r="5" ht="18.75" customHeight="1" s="195">
      <c r="B5" s="105" t="n"/>
    </row>
    <row r="6" ht="15.75" customHeight="1" s="195">
      <c r="B6" s="216" t="inlineStr">
        <is>
          <t>Используемые индексы изменений сметной стоимости и нормы сопутствующих затрат</t>
        </is>
      </c>
    </row>
    <row r="7">
      <c r="B7" s="258" t="n"/>
    </row>
    <row r="8">
      <c r="B8" s="258" t="n"/>
      <c r="C8" s="258" t="n"/>
      <c r="D8" s="258" t="n"/>
      <c r="E8" s="258" t="n"/>
    </row>
    <row r="9" ht="47.25" customHeight="1" s="195">
      <c r="B9" s="222" t="inlineStr">
        <is>
          <t>Наименование индекса / норм сопутствующих затрат</t>
        </is>
      </c>
      <c r="C9" s="222" t="inlineStr">
        <is>
          <t>Дата применения и обоснование индекса / норм сопутствующих затрат</t>
        </is>
      </c>
      <c r="D9" s="222" t="inlineStr">
        <is>
          <t>Размер индекса / норма сопутствующих затрат</t>
        </is>
      </c>
    </row>
    <row r="10" ht="15.75" customHeight="1" s="195">
      <c r="B10" s="222" t="n">
        <v>1</v>
      </c>
      <c r="C10" s="222" t="n">
        <v>2</v>
      </c>
      <c r="D10" s="222" t="n">
        <v>3</v>
      </c>
    </row>
    <row r="11" ht="45" customHeight="1" s="195">
      <c r="B11" s="222" t="inlineStr">
        <is>
          <t xml:space="preserve">Индекс изменения сметной стоимости на 1 квартал 2023 года. ОЗП </t>
        </is>
      </c>
      <c r="C11" s="222" t="inlineStr">
        <is>
          <t>Письмо Минстроя России от 30.03.2023г. №17106-ИФ/09  прил.1</t>
        </is>
      </c>
      <c r="D11" s="222" t="n">
        <v>44.29</v>
      </c>
    </row>
    <row r="12" ht="29.25" customHeight="1" s="195">
      <c r="B12" s="222" t="inlineStr">
        <is>
          <t>Индекс изменения сметной стоимости на 1 квартал 2023 года. ЭМ</t>
        </is>
      </c>
      <c r="C12" s="222" t="inlineStr">
        <is>
          <t>Письмо Минстроя России от 30.03.2023г. №17106-ИФ/09  прил.1</t>
        </is>
      </c>
      <c r="D12" s="222" t="n">
        <v>13.47</v>
      </c>
    </row>
    <row r="13" ht="29.25" customHeight="1" s="195">
      <c r="B13" s="222" t="inlineStr">
        <is>
          <t>Индекс изменения сметной стоимости на 1 квартал 2023 года. МАТ</t>
        </is>
      </c>
      <c r="C13" s="222" t="inlineStr">
        <is>
          <t>Письмо Минстроя России от 30.03.2023г. №17106-ИФ/09  прил.1</t>
        </is>
      </c>
      <c r="D13" s="222" t="n">
        <v>8.039999999999999</v>
      </c>
    </row>
    <row r="14" ht="30.75" customHeight="1" s="195">
      <c r="B14" s="222" t="inlineStr">
        <is>
          <t>Индекс изменения сметной стоимости на 1 квартал 2023 года. ОБ</t>
        </is>
      </c>
      <c r="C14" s="142" t="inlineStr">
        <is>
          <t>Письмо Минстроя России от 23.02.2023г. №9791-ИФ/09 прил.6</t>
        </is>
      </c>
      <c r="D14" s="222" t="n">
        <v>6.26</v>
      </c>
    </row>
    <row r="15" ht="89.25" customHeight="1" s="195">
      <c r="B15" s="222" t="inlineStr">
        <is>
          <t>Временные здания и сооружения</t>
        </is>
      </c>
      <c r="C15" s="222" t="inlineStr">
        <is>
          <t xml:space="preserve">п.23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08" t="n">
        <v>0.025</v>
      </c>
    </row>
    <row r="16" ht="78.75" customHeight="1" s="195">
      <c r="B16" s="222" t="inlineStr">
        <is>
          <t>Дополнительные затраты при производстве строительно-монтажных работ в зимнее время</t>
        </is>
      </c>
      <c r="C16" s="222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08" t="n">
        <v>0.021</v>
      </c>
    </row>
    <row r="17" ht="31.5" customHeight="1" s="195">
      <c r="B17" s="222" t="inlineStr">
        <is>
          <t>Строительный контроль</t>
        </is>
      </c>
      <c r="C17" s="222" t="inlineStr">
        <is>
          <t>Постановление Правительства РФ от 21.06.10 г. № 468</t>
        </is>
      </c>
      <c r="D17" s="108" t="n">
        <v>0.0214</v>
      </c>
    </row>
    <row r="18" ht="31.5" customHeight="1" s="195">
      <c r="B18" s="222" t="inlineStr">
        <is>
          <t>Авторский надзор - 0,2%</t>
        </is>
      </c>
      <c r="C18" s="222" t="inlineStr">
        <is>
          <t>Приказ от 4.08.2020 № 421/пр п.173</t>
        </is>
      </c>
      <c r="D18" s="108" t="n">
        <v>0.002</v>
      </c>
    </row>
    <row r="19" ht="24" customHeight="1" s="195">
      <c r="B19" s="222" t="inlineStr">
        <is>
          <t>Непредвиденные расходы</t>
        </is>
      </c>
      <c r="C19" s="222" t="inlineStr">
        <is>
          <t>Приказ от 4.08.2020 № 421/пр п.179</t>
        </is>
      </c>
      <c r="D19" s="108" t="n">
        <v>0.03</v>
      </c>
    </row>
    <row r="20" ht="18.75" customHeight="1" s="195">
      <c r="B20" s="106" t="n"/>
    </row>
    <row r="21" ht="18.75" customHeight="1" s="195">
      <c r="B21" s="106" t="n"/>
    </row>
    <row r="22" ht="18.75" customHeight="1" s="195">
      <c r="B22" s="106" t="n"/>
    </row>
    <row r="23" ht="18.75" customHeight="1" s="195">
      <c r="B23" s="106" t="n"/>
    </row>
    <row r="26">
      <c r="B26" s="4" t="inlineStr">
        <is>
          <t>Составил ______________________        Д.Ю. Нефедова</t>
        </is>
      </c>
      <c r="C26" s="12" t="n"/>
    </row>
    <row r="27">
      <c r="B27" s="11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11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O45" sqref="O45"/>
    </sheetView>
  </sheetViews>
  <sheetFormatPr baseColWidth="8" defaultColWidth="9.140625" defaultRowHeight="15"/>
  <cols>
    <col width="44.85546875" customWidth="1" style="195" min="2" max="2"/>
    <col width="13" customWidth="1" style="195" min="3" max="3"/>
    <col width="22.85546875" customWidth="1" style="195" min="4" max="4"/>
    <col width="21.5703125" customWidth="1" style="195" min="5" max="5"/>
    <col width="43.85546875" customWidth="1" style="195" min="6" max="6"/>
  </cols>
  <sheetData>
    <row r="1" s="195"/>
    <row r="2" ht="17.25" customHeight="1" s="195">
      <c r="A2" s="216" t="inlineStr">
        <is>
          <t>Расчет размера средств на оплату труда рабочих-строителей в текущем уровне цен (ФОТр.тек.)</t>
        </is>
      </c>
    </row>
    <row r="3" s="195"/>
    <row r="4" ht="18" customHeight="1" s="195">
      <c r="A4" s="196" t="inlineStr">
        <is>
          <t>Составлен в уровне цен на 01.01.2023 г.</t>
        </is>
      </c>
      <c r="B4" s="197" t="n"/>
      <c r="C4" s="197" t="n"/>
      <c r="D4" s="197" t="n"/>
      <c r="E4" s="197" t="n"/>
      <c r="F4" s="197" t="n"/>
      <c r="G4" s="197" t="n"/>
    </row>
    <row r="5" ht="15.75" customHeight="1" s="195">
      <c r="A5" s="303" t="inlineStr">
        <is>
          <t>№ пп.</t>
        </is>
      </c>
      <c r="B5" s="303" t="inlineStr">
        <is>
          <t>Наименование элемента</t>
        </is>
      </c>
      <c r="C5" s="303" t="inlineStr">
        <is>
          <t>Обозначение</t>
        </is>
      </c>
      <c r="D5" s="303" t="inlineStr">
        <is>
          <t>Формула</t>
        </is>
      </c>
      <c r="E5" s="303" t="inlineStr">
        <is>
          <t>Величина элемента</t>
        </is>
      </c>
      <c r="F5" s="303" t="inlineStr">
        <is>
          <t>Наименования обосновывающих документов</t>
        </is>
      </c>
      <c r="G5" s="197" t="n"/>
    </row>
    <row r="6" ht="15.75" customHeight="1" s="195">
      <c r="A6" s="303" t="n">
        <v>1</v>
      </c>
      <c r="B6" s="303" t="n">
        <v>2</v>
      </c>
      <c r="C6" s="303" t="n">
        <v>3</v>
      </c>
      <c r="D6" s="303" t="n">
        <v>4</v>
      </c>
      <c r="E6" s="303" t="n">
        <v>5</v>
      </c>
      <c r="F6" s="303" t="n">
        <v>6</v>
      </c>
      <c r="G6" s="197" t="n"/>
    </row>
    <row r="7" ht="110.25" customHeight="1" s="195">
      <c r="A7" s="304" t="inlineStr">
        <is>
          <t>1.1</t>
        </is>
      </c>
      <c r="B7" s="30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06" t="inlineStr">
        <is>
          <t>С1ср</t>
        </is>
      </c>
      <c r="D7" s="306" t="inlineStr">
        <is>
          <t>-</t>
        </is>
      </c>
      <c r="E7" s="307" t="n">
        <v>47872.94</v>
      </c>
      <c r="F7" s="30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97" t="n"/>
    </row>
    <row r="8" ht="31.5" customHeight="1" s="195">
      <c r="A8" s="304" t="inlineStr">
        <is>
          <t>1.2</t>
        </is>
      </c>
      <c r="B8" s="305" t="inlineStr">
        <is>
          <t>Среднегодовое нормативное число часов работы одного рабочего в месяц, часы (ч.)</t>
        </is>
      </c>
      <c r="C8" s="306" t="inlineStr">
        <is>
          <t>tср</t>
        </is>
      </c>
      <c r="D8" s="306" t="inlineStr">
        <is>
          <t>1973ч/12мес.</t>
        </is>
      </c>
      <c r="E8" s="308">
        <f>1973/12</f>
        <v/>
      </c>
      <c r="F8" s="305" t="inlineStr">
        <is>
          <t>Производственный календарь 2023 год
(40-часов.неделя)</t>
        </is>
      </c>
      <c r="G8" s="199" t="n"/>
    </row>
    <row r="9" ht="15.75" customHeight="1" s="195">
      <c r="A9" s="304" t="inlineStr">
        <is>
          <t>1.3</t>
        </is>
      </c>
      <c r="B9" s="305" t="inlineStr">
        <is>
          <t>Коэффициент увеличения</t>
        </is>
      </c>
      <c r="C9" s="306" t="inlineStr">
        <is>
          <t>Кув</t>
        </is>
      </c>
      <c r="D9" s="306" t="inlineStr">
        <is>
          <t>-</t>
        </is>
      </c>
      <c r="E9" s="308" t="n">
        <v>1</v>
      </c>
      <c r="F9" s="305" t="n"/>
      <c r="G9" s="199" t="n"/>
    </row>
    <row r="10" ht="15.75" customHeight="1" s="195">
      <c r="A10" s="304" t="inlineStr">
        <is>
          <t>1.4</t>
        </is>
      </c>
      <c r="B10" s="305" t="inlineStr">
        <is>
          <t>Средний разряд работ</t>
        </is>
      </c>
      <c r="C10" s="306" t="n"/>
      <c r="D10" s="306" t="n"/>
      <c r="E10" s="309" t="n">
        <v>3.9</v>
      </c>
      <c r="F10" s="305" t="inlineStr">
        <is>
          <t>РТМ</t>
        </is>
      </c>
      <c r="G10" s="199" t="n"/>
    </row>
    <row r="11" ht="78.75" customHeight="1" s="195">
      <c r="A11" s="304" t="inlineStr">
        <is>
          <t>1.5</t>
        </is>
      </c>
      <c r="B11" s="305" t="inlineStr">
        <is>
          <t>Тарифный коэффициент среднего разряда работ</t>
        </is>
      </c>
      <c r="C11" s="306" t="inlineStr">
        <is>
          <t>КТ</t>
        </is>
      </c>
      <c r="D11" s="306" t="inlineStr">
        <is>
          <t>-</t>
        </is>
      </c>
      <c r="E11" s="310" t="n">
        <v>1.324</v>
      </c>
      <c r="F11" s="30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97" t="n"/>
    </row>
    <row r="12" ht="78.75" customHeight="1" s="195">
      <c r="A12" s="304" t="inlineStr">
        <is>
          <t>1.6</t>
        </is>
      </c>
      <c r="B12" s="311" t="inlineStr">
        <is>
          <t>Коэффициент инфляции, определяемый поквартально</t>
        </is>
      </c>
      <c r="C12" s="306" t="inlineStr">
        <is>
          <t>Кинф</t>
        </is>
      </c>
      <c r="D12" s="306" t="inlineStr">
        <is>
          <t>-</t>
        </is>
      </c>
      <c r="E12" s="333" t="n">
        <v>1.139</v>
      </c>
      <c r="F12" s="31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9" t="n"/>
    </row>
    <row r="13" ht="63" customHeight="1" s="195">
      <c r="A13" s="304" t="inlineStr">
        <is>
          <t>1.7</t>
        </is>
      </c>
      <c r="B13" s="314" t="inlineStr">
        <is>
          <t>Размер средств на оплату труда рабочих-строителей в текущем уровне цен (ФОТр.тек.), руб/чел.-ч</t>
        </is>
      </c>
      <c r="C13" s="306" t="inlineStr">
        <is>
          <t>ФОТр.тек.</t>
        </is>
      </c>
      <c r="D13" s="306" t="inlineStr">
        <is>
          <t>(С1ср/tср*КТ*Т*Кув)*Кинф</t>
        </is>
      </c>
      <c r="E13" s="315">
        <f>((E7*E9/E8)*E11)*E12</f>
        <v/>
      </c>
      <c r="F13" s="30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97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2025-01-24T12:01:46Z</dcterms:modified>
  <cp:lastModifiedBy>Nikolay Ivanov</cp:lastModifiedBy>
  <cp:lastPrinted>2023-11-30T12:44:47Z</cp:lastPrinted>
</cp:coreProperties>
</file>