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3'!$A$1:$H$50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" fontId="17" fillId="0" borderId="0" applyAlignment="1" pivotButton="0" quotePrefix="0" xfId="0">
      <alignment horizontal="left"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7" fillId="0" borderId="5" applyAlignment="1" pivotButton="0" quotePrefix="0" xfId="0">
      <alignment horizontal="center" vertical="center"/>
    </xf>
    <xf numFmtId="49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right" vertical="center"/>
    </xf>
    <xf numFmtId="4" fontId="17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4" fontId="19" fillId="0" borderId="2" applyAlignment="1" pivotButton="0" quotePrefix="0" xfId="0">
      <alignment horizontal="center" vertical="center" wrapText="1"/>
    </xf>
    <xf numFmtId="4" fontId="19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2" applyAlignment="1" pivotButton="0" quotePrefix="0" xfId="0">
      <alignment horizontal="center" vertical="center"/>
    </xf>
    <xf numFmtId="4" fontId="17" fillId="0" borderId="6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7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7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55" zoomScaleNormal="55" workbookViewId="0">
      <selection activeCell="C27" sqref="C27"/>
    </sheetView>
  </sheetViews>
  <sheetFormatPr baseColWidth="8" defaultColWidth="9.140625" defaultRowHeight="15.75"/>
  <cols>
    <col width="9.140625" customWidth="1" style="186" min="1" max="2"/>
    <col width="51.7109375" customWidth="1" style="186" min="3" max="3"/>
    <col width="47" customWidth="1" style="186" min="4" max="4"/>
    <col width="37.42578125" customWidth="1" style="186" min="5" max="5"/>
    <col width="9.140625" customWidth="1" style="186" min="6" max="6"/>
  </cols>
  <sheetData>
    <row r="3">
      <c r="B3" s="214" t="inlineStr">
        <is>
          <t>Приложение № 1</t>
        </is>
      </c>
    </row>
    <row r="4">
      <c r="B4" s="215" t="inlineStr">
        <is>
          <t>Сравнительная таблица отбора объекта-представителя</t>
        </is>
      </c>
    </row>
    <row r="5" ht="84" customHeight="1" s="184">
      <c r="B5" s="2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4">
      <c r="B6" s="138" t="n"/>
      <c r="C6" s="138" t="n"/>
      <c r="D6" s="138" t="n"/>
    </row>
    <row r="7" ht="64.5" customHeight="1" s="184">
      <c r="B7" s="216" t="inlineStr">
        <is>
          <t>Наименование разрабатываемого показателя УНЦ - Система мониторинга ЩСН 0,4 кВ с количеством отходящих линий до 24 шт.</t>
        </is>
      </c>
    </row>
    <row r="8" ht="31.5" customHeight="1" s="184">
      <c r="B8" s="216" t="inlineStr">
        <is>
          <t>Сопоставимый уровень цен: 2 квартал 2019 г</t>
        </is>
      </c>
    </row>
    <row r="9" ht="15.75" customHeight="1" s="184">
      <c r="B9" s="216" t="inlineStr">
        <is>
          <t>Единица измерения  — 1 ед.</t>
        </is>
      </c>
    </row>
    <row r="10">
      <c r="B10" s="216" t="n"/>
    </row>
    <row r="11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>Объект-представитель</t>
        </is>
      </c>
      <c r="E11" s="139" t="n"/>
    </row>
    <row r="12" ht="96.75" customHeight="1" s="184">
      <c r="B12" s="221" t="n">
        <v>1</v>
      </c>
      <c r="C12" s="196" t="inlineStr">
        <is>
          <t>Наименование объекта-представителя</t>
        </is>
      </c>
      <c r="D12" s="221" t="inlineStr">
        <is>
          <t>Две ВЛ 220 кВ Призейская - Эльгауголь с ПС 220 кВ Эльгауголь, ПС 220 кВ А, ПС 220 кВ Б; расширение ОРУ 220 кВ ПС 220 кВ Призейская</t>
        </is>
      </c>
    </row>
    <row r="13">
      <c r="B13" s="221" t="n">
        <v>2</v>
      </c>
      <c r="C13" s="196" t="inlineStr">
        <is>
          <t>Наименование субъекта Российской Федерации</t>
        </is>
      </c>
      <c r="D13" s="221" t="inlineStr">
        <is>
          <t>Амурская область</t>
        </is>
      </c>
    </row>
    <row r="14">
      <c r="B14" s="221" t="n">
        <v>3</v>
      </c>
      <c r="C14" s="196" t="inlineStr">
        <is>
          <t>Климатический район и подрайон</t>
        </is>
      </c>
      <c r="D14" s="180" t="inlineStr">
        <is>
          <t>I</t>
        </is>
      </c>
    </row>
    <row r="15">
      <c r="B15" s="221" t="n">
        <v>4</v>
      </c>
      <c r="C15" s="196" t="inlineStr">
        <is>
          <t>Мощность объекта</t>
        </is>
      </c>
      <c r="D15" s="180" t="n">
        <v>1</v>
      </c>
    </row>
    <row r="16" ht="74.25" customHeight="1" s="184">
      <c r="B16" s="221" t="n">
        <v>5</v>
      </c>
      <c r="C16" s="14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Система мониторинга ЩСН 0,4 кВ с количеством отходящих линий до 24 шт.</t>
        </is>
      </c>
    </row>
    <row r="17" ht="79.5" customHeight="1" s="184">
      <c r="B17" s="221" t="n">
        <v>6</v>
      </c>
      <c r="C17" s="14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 t="n">
        <v>2420.2919831</v>
      </c>
      <c r="E17" s="142" t="n"/>
    </row>
    <row r="18">
      <c r="B18" s="143" t="inlineStr">
        <is>
          <t>6.1</t>
        </is>
      </c>
      <c r="C18" s="196" t="inlineStr">
        <is>
          <t>строительно-монтажные работы</t>
        </is>
      </c>
      <c r="D18" s="204" t="n">
        <v>113.8622696</v>
      </c>
    </row>
    <row r="19" ht="15.75" customHeight="1" s="184">
      <c r="B19" s="143" t="inlineStr">
        <is>
          <t>6.2</t>
        </is>
      </c>
      <c r="C19" s="196" t="inlineStr">
        <is>
          <t>оборудование и инвентарь</t>
        </is>
      </c>
      <c r="D19" s="204" t="n">
        <v>2306.4297135</v>
      </c>
    </row>
    <row r="20" ht="16.5" customHeight="1" s="184">
      <c r="B20" s="143" t="inlineStr">
        <is>
          <t>6.3</t>
        </is>
      </c>
      <c r="C20" s="196" t="inlineStr">
        <is>
          <t>пусконаладочные работы</t>
        </is>
      </c>
      <c r="D20" s="221" t="n"/>
    </row>
    <row r="21" ht="35.25" customHeight="1" s="184">
      <c r="B21" s="143" t="inlineStr">
        <is>
          <t>6.4</t>
        </is>
      </c>
      <c r="C21" s="144" t="inlineStr">
        <is>
          <t>прочие и лимитированные затраты</t>
        </is>
      </c>
      <c r="D21" s="221" t="n"/>
    </row>
    <row r="22">
      <c r="B22" s="221" t="n">
        <v>7</v>
      </c>
      <c r="C22" s="144" t="inlineStr">
        <is>
          <t>Сопоставимый уровень цен</t>
        </is>
      </c>
      <c r="D22" s="221" t="inlineStr">
        <is>
          <t>2 квартал 2019 г</t>
        </is>
      </c>
      <c r="E22" s="145" t="n"/>
    </row>
    <row r="23" ht="123" customHeight="1" s="184">
      <c r="B23" s="22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 t="n">
        <v>2420.2919831</v>
      </c>
      <c r="E23" s="142" t="n"/>
    </row>
    <row r="24" ht="60.75" customHeight="1" s="184">
      <c r="B24" s="221" t="n">
        <v>9</v>
      </c>
      <c r="C24" s="141" t="inlineStr">
        <is>
          <t>Приведенная сметная стоимость на единицу мощности, тыс. руб. (строка 8/строку 4)</t>
        </is>
      </c>
      <c r="D24" s="204" t="n">
        <v>2420.2919831</v>
      </c>
      <c r="E24" s="145" t="n"/>
    </row>
    <row r="25" ht="48" customHeight="1" s="184">
      <c r="B25" s="221" t="n">
        <v>10</v>
      </c>
      <c r="C25" s="196" t="inlineStr">
        <is>
          <t>Примечание</t>
        </is>
      </c>
      <c r="D25" s="221" t="n"/>
    </row>
    <row r="26">
      <c r="B26" s="147" t="n"/>
      <c r="C26" s="148" t="n"/>
      <c r="D26" s="148" t="n"/>
    </row>
    <row r="27" ht="37.5" customHeight="1" s="184">
      <c r="B27" s="114" t="n"/>
    </row>
    <row r="28">
      <c r="B28" s="186" t="inlineStr">
        <is>
          <t>Составил ______________________    Д.Ю. Нефедова</t>
        </is>
      </c>
    </row>
    <row r="29">
      <c r="B29" s="114" t="inlineStr">
        <is>
          <t xml:space="preserve">                         (подпись, инициалы, фамилия)</t>
        </is>
      </c>
    </row>
    <row r="31">
      <c r="B31" s="186" t="inlineStr">
        <is>
          <t>Проверил ______________________        А.В. Костянецкая</t>
        </is>
      </c>
    </row>
    <row r="32">
      <c r="B32" s="11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2"/>
  <sheetViews>
    <sheetView view="pageBreakPreview" zoomScale="115" zoomScaleNormal="70" zoomScaleSheetLayoutView="115" workbookViewId="0">
      <selection activeCell="C18" sqref="C18"/>
    </sheetView>
  </sheetViews>
  <sheetFormatPr baseColWidth="8" defaultColWidth="9.140625" defaultRowHeight="15.75"/>
  <cols>
    <col width="5.5703125" customWidth="1" style="186" min="1" max="1"/>
    <col width="9.140625" customWidth="1" style="186" min="2" max="2"/>
    <col width="35.28515625" customWidth="1" style="186" min="3" max="3"/>
    <col width="13.85546875" customWidth="1" style="186" min="4" max="4"/>
    <col width="24.85546875" customWidth="1" style="186" min="5" max="5"/>
    <col width="15.5703125" customWidth="1" style="186" min="6" max="6"/>
    <col width="14.85546875" customWidth="1" style="186" min="7" max="7"/>
    <col width="16.7109375" customWidth="1" style="186" min="8" max="8"/>
    <col width="13" customWidth="1" style="186" min="9" max="10"/>
    <col width="9.140625" customWidth="1" style="186" min="11" max="11"/>
  </cols>
  <sheetData>
    <row r="3">
      <c r="B3" s="214" t="inlineStr">
        <is>
          <t>Приложение № 2</t>
        </is>
      </c>
    </row>
    <row r="4">
      <c r="B4" s="215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4">
      <c r="B6" s="216">
        <f>'Прил.1 Сравнит табл'!B7:D7</f>
        <v/>
      </c>
    </row>
    <row r="7">
      <c r="B7" s="216">
        <f>'Прил.1 Сравнит табл'!B9:D9</f>
        <v/>
      </c>
    </row>
    <row r="8" ht="18.75" customHeight="1" s="184">
      <c r="B8" s="106" t="n"/>
    </row>
    <row r="9" ht="15.75" customHeight="1" s="184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 xml:space="preserve">Объект-представитель </t>
        </is>
      </c>
      <c r="E9" s="308" t="n"/>
      <c r="F9" s="308" t="n"/>
      <c r="G9" s="308" t="n"/>
      <c r="H9" s="308" t="n"/>
      <c r="I9" s="308" t="n"/>
      <c r="J9" s="309" t="n"/>
      <c r="L9" s="186" t="n"/>
    </row>
    <row r="10" ht="15.75" customHeight="1" s="184">
      <c r="B10" s="310" t="n"/>
      <c r="C10" s="310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2 кв. 2019 г., тыс. руб.</t>
        </is>
      </c>
      <c r="G10" s="308" t="n"/>
      <c r="H10" s="308" t="n"/>
      <c r="I10" s="308" t="n"/>
      <c r="J10" s="309" t="n"/>
      <c r="L10" s="186" t="n"/>
    </row>
    <row r="11" ht="83.25" customHeight="1" s="184">
      <c r="B11" s="311" t="n"/>
      <c r="C11" s="311" t="n"/>
      <c r="D11" s="311" t="n"/>
      <c r="E11" s="311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  <c r="L11" s="186" t="n"/>
    </row>
    <row r="12" ht="49.5" customHeight="1" s="184">
      <c r="B12" s="199" t="n">
        <v>1</v>
      </c>
      <c r="C12" s="151" t="inlineStr">
        <is>
          <t>Система мониторинга ЩСН 0,4 кВ с количеством отходящих линий до 24 шт.</t>
        </is>
      </c>
      <c r="D12" s="200" t="n"/>
      <c r="E12" s="196" t="n"/>
      <c r="F12" s="190" t="n">
        <v>113.8622696</v>
      </c>
      <c r="G12" s="309" t="n"/>
      <c r="H12" s="201" t="n">
        <v>2306.4297135</v>
      </c>
      <c r="I12" s="201" t="n"/>
      <c r="J12" s="202" t="n">
        <v>2420.2919831</v>
      </c>
      <c r="L12" s="186" t="n"/>
    </row>
    <row r="13" ht="15.75" customHeight="1" s="184">
      <c r="B13" s="218" t="inlineStr">
        <is>
          <t>Всего по объекту:</t>
        </is>
      </c>
      <c r="C13" s="308" t="n"/>
      <c r="D13" s="308" t="n"/>
      <c r="E13" s="309" t="n"/>
      <c r="F13" s="312" t="n">
        <v>113.8622696</v>
      </c>
      <c r="G13" s="309" t="n"/>
      <c r="H13" s="203" t="n">
        <v>2306.4297135</v>
      </c>
      <c r="I13" s="203" t="n"/>
      <c r="J13" s="203" t="n">
        <v>2420.2919831</v>
      </c>
      <c r="L13" s="186" t="n"/>
    </row>
    <row r="14" ht="28.5" customHeight="1" s="184">
      <c r="B14" s="218" t="inlineStr">
        <is>
          <t>Всего по объекту в сопоставимом уровне цен 2 кв. 2019 г:</t>
        </is>
      </c>
      <c r="C14" s="308" t="n"/>
      <c r="D14" s="308" t="n"/>
      <c r="E14" s="309" t="n"/>
      <c r="F14" s="312" t="n">
        <v>113.8622696</v>
      </c>
      <c r="G14" s="309" t="n"/>
      <c r="H14" s="203" t="n">
        <v>2306.4297135</v>
      </c>
      <c r="I14" s="203" t="n"/>
      <c r="J14" s="203" t="n">
        <v>2420.2919831</v>
      </c>
      <c r="L14" s="186" t="n"/>
    </row>
    <row r="15" ht="15" customHeight="1" s="184"/>
    <row r="16" ht="15" customHeight="1" s="184"/>
    <row r="17" ht="15" customHeight="1" s="184"/>
    <row r="18" ht="15" customHeight="1" s="184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4">
      <c r="C19" s="11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4">
      <c r="C20" s="4" t="n"/>
      <c r="D20" s="12" t="n"/>
      <c r="E20" s="12" t="n"/>
    </row>
    <row r="21" ht="15" customHeight="1" s="184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4">
      <c r="C22" s="11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4"/>
    <row r="24" ht="15" customHeight="1" s="184"/>
    <row r="25" ht="15" customHeight="1" s="184"/>
    <row r="26" ht="15" customHeight="1" s="184"/>
    <row r="27" ht="15" customHeight="1" s="184"/>
    <row r="28" ht="15" customHeight="1" s="184"/>
  </sheetData>
  <mergeCells count="15">
    <mergeCell ref="B7:J7"/>
    <mergeCell ref="F12:G12"/>
    <mergeCell ref="B3:J3"/>
    <mergeCell ref="D10:D11"/>
    <mergeCell ref="D9:J9"/>
    <mergeCell ref="B13:E13"/>
    <mergeCell ref="F10:J10"/>
    <mergeCell ref="B9:B11"/>
    <mergeCell ref="C9:C11"/>
    <mergeCell ref="F14:G14"/>
    <mergeCell ref="B4:J4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50"/>
  <sheetViews>
    <sheetView view="pageBreakPreview" topLeftCell="A28" zoomScale="70" workbookViewId="0">
      <selection activeCell="E67" sqref="E67"/>
    </sheetView>
  </sheetViews>
  <sheetFormatPr baseColWidth="8" defaultColWidth="9.140625" defaultRowHeight="15.75"/>
  <cols>
    <col width="9.140625" customWidth="1" style="186" min="1" max="1"/>
    <col width="12.5703125" customWidth="1" style="186" min="2" max="2"/>
    <col width="22.42578125" customWidth="1" style="186" min="3" max="3"/>
    <col width="49.7109375" customWidth="1" style="186" min="4" max="4"/>
    <col width="10.140625" customWidth="1" style="186" min="5" max="5"/>
    <col width="20.7109375" customWidth="1" style="186" min="6" max="6"/>
    <col width="20" customWidth="1" style="186" min="7" max="7"/>
    <col width="16.7109375" customWidth="1" style="186" min="8" max="8"/>
    <col width="9.140625" customWidth="1" style="186" min="9" max="9"/>
    <col width="13.140625" customWidth="1" style="186" min="10" max="10"/>
    <col width="15" customWidth="1" style="186" min="11" max="11"/>
    <col width="9.140625" customWidth="1" style="186" min="12" max="12"/>
  </cols>
  <sheetData>
    <row r="2">
      <c r="A2" s="214" t="inlineStr">
        <is>
          <t xml:space="preserve">Приложение № 3 </t>
        </is>
      </c>
    </row>
    <row r="3">
      <c r="A3" s="215" t="inlineStr">
        <is>
          <t>Объектная ресурсная ведомость</t>
        </is>
      </c>
    </row>
    <row r="4" ht="18.75" customHeight="1" s="184">
      <c r="A4" s="149" t="n"/>
      <c r="B4" s="149" t="n"/>
      <c r="C4" s="22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16" t="n"/>
    </row>
    <row r="6" s="184">
      <c r="A6" s="216" t="n"/>
      <c r="B6" s="186" t="n"/>
      <c r="C6" s="186" t="n"/>
      <c r="D6" s="186" t="n"/>
      <c r="E6" s="186" t="n"/>
      <c r="F6" s="186" t="n"/>
      <c r="G6" s="186" t="n"/>
      <c r="H6" s="186" t="n"/>
      <c r="I6" s="186" t="n"/>
      <c r="J6" s="186" t="n"/>
      <c r="K6" s="186" t="n"/>
      <c r="L6" s="186" t="n"/>
    </row>
    <row r="7" s="184">
      <c r="A7" s="216" t="n"/>
      <c r="B7" s="186" t="n"/>
      <c r="C7" s="186" t="n"/>
      <c r="D7" s="186" t="n"/>
      <c r="E7" s="186" t="n"/>
      <c r="F7" s="186" t="n"/>
      <c r="G7" s="186" t="n"/>
      <c r="H7" s="186" t="n"/>
      <c r="I7" s="186" t="n"/>
      <c r="J7" s="186" t="n"/>
      <c r="K7" s="186" t="n"/>
      <c r="L7" s="186" t="n"/>
    </row>
    <row r="8" ht="33.75" customHeight="1" s="184">
      <c r="A8" s="224" t="inlineStr">
        <is>
          <t>Наименование разрабатываемого показателя УНЦ -  Система мониторинга ЩСН 0,4 кВ с количеством отходящих линий до 24 шт.</t>
        </is>
      </c>
    </row>
    <row r="9">
      <c r="A9" s="150" t="n"/>
      <c r="B9" s="150" t="n"/>
      <c r="C9" s="150" t="n"/>
      <c r="D9" s="150" t="n"/>
      <c r="E9" s="150" t="n"/>
      <c r="F9" s="150" t="n"/>
      <c r="G9" s="150" t="n"/>
      <c r="H9" s="150" t="n"/>
    </row>
    <row r="10" ht="38.25" customHeight="1" s="184">
      <c r="A10" s="221" t="inlineStr">
        <is>
          <t>п/п</t>
        </is>
      </c>
      <c r="B10" s="221" t="inlineStr">
        <is>
          <t>№ЛСР</t>
        </is>
      </c>
      <c r="C10" s="221" t="inlineStr">
        <is>
          <t>Код ресурса</t>
        </is>
      </c>
      <c r="D10" s="221" t="inlineStr">
        <is>
          <t>Наименование ресурса</t>
        </is>
      </c>
      <c r="E10" s="221" t="inlineStr">
        <is>
          <t>Ед. изм.</t>
        </is>
      </c>
      <c r="F10" s="221" t="inlineStr">
        <is>
          <t>Кол-во единиц по данным объекта-представителя</t>
        </is>
      </c>
      <c r="G10" s="221" t="inlineStr">
        <is>
          <t>Сметная стоимость в ценах на 01.01.2000 (руб.)</t>
        </is>
      </c>
      <c r="H10" s="309" t="n"/>
    </row>
    <row r="11" ht="40.5" customHeight="1" s="184">
      <c r="A11" s="311" t="n"/>
      <c r="B11" s="311" t="n"/>
      <c r="C11" s="311" t="n"/>
      <c r="D11" s="311" t="n"/>
      <c r="E11" s="311" t="n"/>
      <c r="F11" s="311" t="n"/>
      <c r="G11" s="221" t="inlineStr">
        <is>
          <t>на ед.изм.</t>
        </is>
      </c>
      <c r="H11" s="221" t="inlineStr">
        <is>
          <t>общая</t>
        </is>
      </c>
    </row>
    <row r="12">
      <c r="A12" s="151" t="n">
        <v>1</v>
      </c>
      <c r="B12" s="151" t="n"/>
      <c r="C12" s="151" t="n">
        <v>2</v>
      </c>
      <c r="D12" s="151" t="inlineStr">
        <is>
          <t>З</t>
        </is>
      </c>
      <c r="E12" s="151" t="n">
        <v>4</v>
      </c>
      <c r="F12" s="151" t="n">
        <v>5</v>
      </c>
      <c r="G12" s="151" t="n">
        <v>6</v>
      </c>
      <c r="H12" s="151" t="n">
        <v>7</v>
      </c>
    </row>
    <row r="13" customFormat="1" s="152">
      <c r="A13" s="227" t="inlineStr">
        <is>
          <t>Затраты труда рабочих</t>
        </is>
      </c>
      <c r="B13" s="308" t="n"/>
      <c r="C13" s="308" t="n"/>
      <c r="D13" s="308" t="n"/>
      <c r="E13" s="309" t="n"/>
      <c r="F13" s="313" t="n">
        <v>201.96</v>
      </c>
      <c r="G13" s="10" t="n"/>
      <c r="H13" s="313">
        <f>SUM(H14:H16)</f>
        <v/>
      </c>
    </row>
    <row r="14">
      <c r="A14" s="256" t="n">
        <v>1</v>
      </c>
      <c r="B14" s="122" t="n"/>
      <c r="C14" s="127" t="inlineStr">
        <is>
          <t>1-4-0</t>
        </is>
      </c>
      <c r="D14" s="128" t="inlineStr">
        <is>
          <t>Затраты труда рабочих (ср 4)</t>
        </is>
      </c>
      <c r="E14" s="256" t="inlineStr">
        <is>
          <t>чел.-ч</t>
        </is>
      </c>
      <c r="F14" s="314" t="n">
        <v>129.5</v>
      </c>
      <c r="G14" s="123" t="n">
        <v>9.619999999999999</v>
      </c>
      <c r="H14" s="123">
        <f>ROUND(F14*G14,2)</f>
        <v/>
      </c>
      <c r="M14" s="315" t="n"/>
    </row>
    <row r="15">
      <c r="A15" s="256" t="n">
        <v>2</v>
      </c>
      <c r="B15" s="122" t="n"/>
      <c r="C15" s="127" t="inlineStr">
        <is>
          <t>1-3-8</t>
        </is>
      </c>
      <c r="D15" s="128" t="inlineStr">
        <is>
          <t>Затраты труда рабочих (ср 3,8)</t>
        </is>
      </c>
      <c r="E15" s="256" t="inlineStr">
        <is>
          <t>чел.-ч</t>
        </is>
      </c>
      <c r="F15" s="314" t="n">
        <v>70.40000000000001</v>
      </c>
      <c r="G15" s="123" t="n">
        <v>9.4</v>
      </c>
      <c r="H15" s="123">
        <f>ROUND(F15*G15,2)</f>
        <v/>
      </c>
      <c r="M15" s="315" t="n"/>
    </row>
    <row r="16">
      <c r="A16" s="256" t="n">
        <v>3</v>
      </c>
      <c r="B16" s="122" t="n"/>
      <c r="C16" s="127" t="inlineStr">
        <is>
          <t>1-4-2</t>
        </is>
      </c>
      <c r="D16" s="128" t="inlineStr">
        <is>
          <t>Затраты труда рабочих (ср 4,2)</t>
        </is>
      </c>
      <c r="E16" s="256" t="inlineStr">
        <is>
          <t>чел.-ч</t>
        </is>
      </c>
      <c r="F16" s="314" t="n">
        <v>2.06</v>
      </c>
      <c r="G16" s="123" t="n">
        <v>9.92</v>
      </c>
      <c r="H16" s="123">
        <f>ROUND(F16*G16,2)</f>
        <v/>
      </c>
      <c r="M16" s="315" t="n"/>
    </row>
    <row r="17">
      <c r="A17" s="226" t="inlineStr">
        <is>
          <t>Затраты труда машинистов</t>
        </is>
      </c>
      <c r="B17" s="308" t="n"/>
      <c r="C17" s="308" t="n"/>
      <c r="D17" s="308" t="n"/>
      <c r="E17" s="309" t="n"/>
      <c r="F17" s="227" t="n"/>
      <c r="G17" s="124" t="n"/>
      <c r="H17" s="313">
        <f>H18</f>
        <v/>
      </c>
    </row>
    <row r="18">
      <c r="A18" s="256" t="n">
        <v>4</v>
      </c>
      <c r="B18" s="228" t="n"/>
      <c r="C18" s="127" t="n">
        <v>2</v>
      </c>
      <c r="D18" s="128" t="inlineStr">
        <is>
          <t>Затраты труда машинистов</t>
        </is>
      </c>
      <c r="E18" s="256" t="inlineStr">
        <is>
          <t>чел.-ч</t>
        </is>
      </c>
      <c r="F18" s="314" t="n">
        <v>2.31</v>
      </c>
      <c r="G18" s="123" t="n"/>
      <c r="H18" s="316" t="n">
        <v>28.52</v>
      </c>
    </row>
    <row r="19" customFormat="1" s="152">
      <c r="A19" s="227" t="inlineStr">
        <is>
          <t>Машины и механизмы</t>
        </is>
      </c>
      <c r="B19" s="308" t="n"/>
      <c r="C19" s="308" t="n"/>
      <c r="D19" s="308" t="n"/>
      <c r="E19" s="309" t="n"/>
      <c r="F19" s="227" t="n"/>
      <c r="G19" s="124" t="n"/>
      <c r="H19" s="313">
        <f>SUM(H20:H26)</f>
        <v/>
      </c>
    </row>
    <row r="20" ht="25.5" customHeight="1" s="184">
      <c r="A20" s="256" t="n">
        <v>5</v>
      </c>
      <c r="B20" s="228" t="n"/>
      <c r="C20" s="127" t="inlineStr">
        <is>
          <t>91.05.05-015</t>
        </is>
      </c>
      <c r="D20" s="128" t="inlineStr">
        <is>
          <t>Краны на автомобильном ходу, грузоподъемность 16 т</t>
        </is>
      </c>
      <c r="E20" s="256" t="inlineStr">
        <is>
          <t>маш.час</t>
        </is>
      </c>
      <c r="F20" s="256" t="n">
        <v>1.06</v>
      </c>
      <c r="G20" s="156" t="n">
        <v>115.4</v>
      </c>
      <c r="H20" s="123">
        <f>ROUND(F20*G20,2)</f>
        <v/>
      </c>
      <c r="I20" s="134" t="n"/>
      <c r="J20" s="134" t="n"/>
      <c r="L20" s="134" t="n"/>
    </row>
    <row r="21">
      <c r="A21" s="256" t="n">
        <v>6</v>
      </c>
      <c r="B21" s="228" t="n"/>
      <c r="C21" s="127" t="inlineStr">
        <is>
          <t>91.14.02-001</t>
        </is>
      </c>
      <c r="D21" s="128" t="inlineStr">
        <is>
          <t>Автомобили бортовые, грузоподъемность до 5 т</t>
        </is>
      </c>
      <c r="E21" s="256" t="inlineStr">
        <is>
          <t>маш.час</t>
        </is>
      </c>
      <c r="F21" s="256" t="n">
        <v>1.06</v>
      </c>
      <c r="G21" s="156" t="n">
        <v>65.70999999999999</v>
      </c>
      <c r="H21" s="123">
        <f>ROUND(F21*G21,2)</f>
        <v/>
      </c>
      <c r="I21" s="134" t="n"/>
      <c r="J21" s="134" t="n"/>
      <c r="K21" s="134" t="n"/>
      <c r="L21" s="134" t="n"/>
    </row>
    <row r="22" ht="25.5" customHeight="1" s="184">
      <c r="A22" s="256" t="n">
        <v>7</v>
      </c>
      <c r="B22" s="228" t="n"/>
      <c r="C22" s="127" t="inlineStr">
        <is>
          <t>91.06.03-061</t>
        </is>
      </c>
      <c r="D22" s="128" t="inlineStr">
        <is>
          <t>Лебедки электрические тяговым усилием до 12,26 кН (1,25 т)</t>
        </is>
      </c>
      <c r="E22" s="256" t="inlineStr">
        <is>
          <t>маш.час</t>
        </is>
      </c>
      <c r="F22" s="256" t="n">
        <v>16.7</v>
      </c>
      <c r="G22" s="156" t="n">
        <v>3.28</v>
      </c>
      <c r="H22" s="123">
        <f>ROUND(F22*G22,2)</f>
        <v/>
      </c>
      <c r="I22" s="134" t="n"/>
      <c r="J22" s="134" t="n"/>
      <c r="K22" s="134" t="n"/>
      <c r="L22" s="134" t="n"/>
    </row>
    <row r="23" ht="38.25" customHeight="1" s="184">
      <c r="A23" s="256" t="n">
        <v>8</v>
      </c>
      <c r="B23" s="228" t="n"/>
      <c r="C23" s="127" t="inlineStr">
        <is>
          <t>91.18.01-007</t>
        </is>
      </c>
      <c r="D23" s="12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3" s="256" t="inlineStr">
        <is>
          <t>маш.час</t>
        </is>
      </c>
      <c r="F23" s="256" t="n">
        <v>0.19</v>
      </c>
      <c r="G23" s="156" t="n">
        <v>90</v>
      </c>
      <c r="H23" s="123">
        <f>ROUND(F23*G23,2)</f>
        <v/>
      </c>
      <c r="I23" s="134" t="n"/>
      <c r="J23" s="134" t="n"/>
      <c r="K23" s="134" t="n"/>
      <c r="L23" s="134" t="n"/>
    </row>
    <row r="24" ht="25.5" customHeight="1" s="184">
      <c r="A24" s="256" t="n">
        <v>9</v>
      </c>
      <c r="B24" s="228" t="n"/>
      <c r="C24" s="127" t="inlineStr">
        <is>
          <t>91.06.01-003</t>
        </is>
      </c>
      <c r="D24" s="128" t="inlineStr">
        <is>
          <t>Домкраты гидравлические, грузоподъемность 63-100 т</t>
        </is>
      </c>
      <c r="E24" s="256" t="inlineStr">
        <is>
          <t>маш.час</t>
        </is>
      </c>
      <c r="F24" s="256" t="n">
        <v>16.7</v>
      </c>
      <c r="G24" s="156" t="n">
        <v>0.9</v>
      </c>
      <c r="H24" s="123">
        <f>ROUND(F24*G24,2)</f>
        <v/>
      </c>
      <c r="I24" s="134" t="n"/>
      <c r="J24" s="134" t="n"/>
      <c r="K24" s="134" t="n"/>
      <c r="L24" s="134" t="n"/>
    </row>
    <row r="25" ht="25.5" customFormat="1" customHeight="1" s="152">
      <c r="A25" s="256" t="n">
        <v>10</v>
      </c>
      <c r="B25" s="228" t="n"/>
      <c r="C25" s="127" t="inlineStr">
        <is>
          <t>91.17.04-233</t>
        </is>
      </c>
      <c r="D25" s="128" t="inlineStr">
        <is>
          <t>Установки для сварки ручной дуговой (постоянного тока)</t>
        </is>
      </c>
      <c r="E25" s="256" t="inlineStr">
        <is>
          <t>маш.час</t>
        </is>
      </c>
      <c r="F25" s="256" t="n">
        <v>0.61</v>
      </c>
      <c r="G25" s="156" t="n">
        <v>8.1</v>
      </c>
      <c r="H25" s="123">
        <f>ROUND(F25*G25,2)</f>
        <v/>
      </c>
      <c r="I25" s="134" t="n"/>
      <c r="J25" s="134" t="n"/>
      <c r="K25" s="134" t="n"/>
      <c r="L25" s="134" t="n"/>
    </row>
    <row r="26" ht="25.5" customFormat="1" customHeight="1" s="152">
      <c r="A26" s="256" t="n">
        <v>11</v>
      </c>
      <c r="B26" s="228" t="n"/>
      <c r="C26" s="127" t="inlineStr">
        <is>
          <t>91.04.01-041</t>
        </is>
      </c>
      <c r="D26" s="128" t="inlineStr">
        <is>
          <t>Молотки бурильные легкие при работе от передвижных компрессорных станций</t>
        </is>
      </c>
      <c r="E26" s="256" t="inlineStr">
        <is>
          <t>маш.час</t>
        </is>
      </c>
      <c r="F26" s="256" t="n">
        <v>0.19</v>
      </c>
      <c r="G26" s="156" t="n">
        <v>2.99</v>
      </c>
      <c r="H26" s="123">
        <f>ROUND(F26*G26,2)</f>
        <v/>
      </c>
      <c r="I26" s="134" t="n"/>
      <c r="J26" s="134" t="n"/>
      <c r="L26" s="134" t="n"/>
    </row>
    <row r="27" ht="15" customHeight="1" s="184">
      <c r="A27" s="227" t="inlineStr">
        <is>
          <t>Оборудование</t>
        </is>
      </c>
      <c r="B27" s="308" t="n"/>
      <c r="C27" s="308" t="n"/>
      <c r="D27" s="308" t="n"/>
      <c r="E27" s="309" t="n"/>
      <c r="F27" s="10" t="n"/>
      <c r="G27" s="10" t="n"/>
      <c r="H27" s="313">
        <f>H28</f>
        <v/>
      </c>
    </row>
    <row r="28" ht="178.5" customHeight="1" s="184">
      <c r="A28" s="157" t="n">
        <v>12</v>
      </c>
      <c r="B28" s="228" t="n"/>
      <c r="C28" s="127" t="inlineStr">
        <is>
          <t>Прайс из СД ОП</t>
        </is>
      </c>
      <c r="D28" s="128" t="inlineStr">
        <is>
          <t xml:space="preserve">Система мониторинга ЩСН в составе:
промышленный свободно программируемый контроллер с ОС Linux "MOXA" - 1шт; программируемый логический контроллер TWIDO - 1шт; модули дискретного ввода "ICP DAS", "Advantech", "MOXA" - 1шт; модули дискретного вывода "ICP DAS", "Advantech", "MOXA" - 1шт; цифровые электроизмерительные приборы "Электроприбор" - 1шт; модули осциллографирования дискретных и аналоговых величин "Beckhoff" - 1шт;  модули осциллографирования дискретных и аналоговых величин "Beckhoff" - 1шт; уcтройство защиты от импульсных перенапряжений и помех интерфейса RS­485 - 1шт </t>
        </is>
      </c>
      <c r="E28" s="256" t="inlineStr">
        <is>
          <t>1 шт.</t>
        </is>
      </c>
      <c r="F28" s="256" t="n">
        <v>1</v>
      </c>
      <c r="G28" s="123" t="n">
        <v>496006.39</v>
      </c>
      <c r="H28" s="123">
        <f>ROUND(F28*G28,2)</f>
        <v/>
      </c>
      <c r="I28" s="135" t="n"/>
      <c r="J28" s="134" t="n"/>
      <c r="K28" s="134" t="n"/>
    </row>
    <row r="29">
      <c r="A29" s="227" t="inlineStr">
        <is>
          <t>Материалы</t>
        </is>
      </c>
      <c r="B29" s="308" t="n"/>
      <c r="C29" s="308" t="n"/>
      <c r="D29" s="308" t="n"/>
      <c r="E29" s="309" t="n"/>
      <c r="F29" s="227" t="n"/>
      <c r="G29" s="124" t="n"/>
      <c r="H29" s="313">
        <f>SUM(H30:H43)</f>
        <v/>
      </c>
    </row>
    <row r="30">
      <c r="A30" s="157" t="n">
        <v>13</v>
      </c>
      <c r="B30" s="228" t="n"/>
      <c r="C30" s="238" t="inlineStr">
        <is>
          <t>21.1.08.03-0518</t>
        </is>
      </c>
      <c r="D30" s="237" t="inlineStr">
        <is>
          <t>Кабель контрольный КВВГнг(A)-LS 5х2,5</t>
        </is>
      </c>
      <c r="E30" s="238" t="inlineStr">
        <is>
          <t>1000 м</t>
        </is>
      </c>
      <c r="F30" s="317" t="n">
        <v>0.51</v>
      </c>
      <c r="G30" s="240" t="n">
        <v>14597.92</v>
      </c>
      <c r="H30" s="123">
        <f>ROUND(F30*G30,2)</f>
        <v/>
      </c>
      <c r="I30" s="135" t="n"/>
      <c r="J30" s="134" t="n"/>
      <c r="K30" s="134" t="n"/>
    </row>
    <row r="31" ht="25.5" customHeight="1" s="184">
      <c r="A31" s="157" t="n">
        <v>14</v>
      </c>
      <c r="B31" s="228" t="n"/>
      <c r="C31" s="127" t="inlineStr">
        <is>
          <t>20.2.10.03-0002</t>
        </is>
      </c>
      <c r="D31" s="128" t="inlineStr">
        <is>
          <t>Наконечники кабельные медные для электротехнических установок</t>
        </is>
      </c>
      <c r="E31" s="256" t="inlineStr">
        <is>
          <t>100 шт</t>
        </is>
      </c>
      <c r="F31" s="256" t="n">
        <v>0.77</v>
      </c>
      <c r="G31" s="123" t="n">
        <v>3986</v>
      </c>
      <c r="H31" s="123">
        <f>ROUND(F31*G31,2)</f>
        <v/>
      </c>
      <c r="I31" s="135" t="n"/>
      <c r="J31" s="134" t="n"/>
      <c r="K31" s="134" t="n"/>
    </row>
    <row r="32" ht="25.5" customHeight="1" s="184">
      <c r="A32" s="157" t="n">
        <v>15</v>
      </c>
      <c r="B32" s="228" t="n"/>
      <c r="C32" s="127" t="inlineStr">
        <is>
          <t>10.3.02.03-0011</t>
        </is>
      </c>
      <c r="D32" s="128" t="inlineStr">
        <is>
          <t>Припои оловянно-свинцовые бессурьмянистые, марка ПОС30</t>
        </is>
      </c>
      <c r="E32" s="256" t="inlineStr">
        <is>
          <t>т</t>
        </is>
      </c>
      <c r="F32" s="256" t="n">
        <v>0.00202</v>
      </c>
      <c r="G32" s="123" t="n">
        <v>68050</v>
      </c>
      <c r="H32" s="123">
        <f>ROUND(F32*G32,2)</f>
        <v/>
      </c>
      <c r="I32" s="135" t="n"/>
      <c r="J32" s="134" t="n"/>
    </row>
    <row r="33">
      <c r="A33" s="157" t="n">
        <v>16</v>
      </c>
      <c r="B33" s="228" t="n"/>
      <c r="C33" s="127" t="inlineStr">
        <is>
          <t>14.4.04.04-0007</t>
        </is>
      </c>
      <c r="D33" s="128" t="inlineStr">
        <is>
          <t>Эмаль кремнийорганическая КО-811, черная</t>
        </is>
      </c>
      <c r="E33" s="256" t="inlineStr">
        <is>
          <t>т</t>
        </is>
      </c>
      <c r="F33" s="256" t="n">
        <v>0.00175</v>
      </c>
      <c r="G33" s="123" t="n">
        <v>74841.67</v>
      </c>
      <c r="H33" s="123">
        <f>ROUND(F33*G33,2)</f>
        <v/>
      </c>
      <c r="I33" s="135" t="n"/>
      <c r="J33" s="134" t="n"/>
      <c r="K33" s="134" t="n"/>
    </row>
    <row r="34" ht="25.5" customHeight="1" s="184">
      <c r="A34" s="157" t="n">
        <v>17</v>
      </c>
      <c r="B34" s="228" t="n"/>
      <c r="C34" s="127" t="inlineStr">
        <is>
          <t>999-9950</t>
        </is>
      </c>
      <c r="D34" s="128" t="inlineStr">
        <is>
          <t>Вспомогательные ненормируемые ресурсы (2% от Оплаты труда рабочих)</t>
        </is>
      </c>
      <c r="E34" s="256" t="inlineStr">
        <is>
          <t>руб</t>
        </is>
      </c>
      <c r="F34" s="256" t="n">
        <v>38.58</v>
      </c>
      <c r="G34" s="123" t="n">
        <v>1</v>
      </c>
      <c r="H34" s="123">
        <f>ROUND(F34*G34,2)</f>
        <v/>
      </c>
      <c r="I34" s="135" t="n"/>
      <c r="J34" s="134" t="n"/>
      <c r="K34" s="134" t="n"/>
    </row>
    <row r="35">
      <c r="A35" s="157" t="n">
        <v>18</v>
      </c>
      <c r="B35" s="228" t="n"/>
      <c r="C35" s="127" t="inlineStr">
        <is>
          <t>01.7.15.14-0165</t>
        </is>
      </c>
      <c r="D35" s="128" t="inlineStr">
        <is>
          <t>Шурупы с полукруглой головкой 4х40 мм</t>
        </is>
      </c>
      <c r="E35" s="256" t="inlineStr">
        <is>
          <t>т</t>
        </is>
      </c>
      <c r="F35" s="256" t="n">
        <v>0.0031</v>
      </c>
      <c r="G35" s="123" t="n">
        <v>12430</v>
      </c>
      <c r="H35" s="123">
        <f>ROUND(F35*G35,2)</f>
        <v/>
      </c>
      <c r="I35" s="135" t="n"/>
      <c r="J35" s="134" t="n"/>
      <c r="K35" s="134" t="n"/>
    </row>
    <row r="36">
      <c r="A36" s="157" t="n">
        <v>19</v>
      </c>
      <c r="B36" s="228" t="n"/>
      <c r="C36" s="127" t="inlineStr">
        <is>
          <t>14.4.03.03-0002</t>
        </is>
      </c>
      <c r="D36" s="128" t="inlineStr">
        <is>
          <t>Лак битумный БТ-123</t>
        </is>
      </c>
      <c r="E36" s="256" t="inlineStr">
        <is>
          <t>т</t>
        </is>
      </c>
      <c r="F36" s="256" t="n">
        <v>0.00465</v>
      </c>
      <c r="G36" s="123" t="n">
        <v>7826.9</v>
      </c>
      <c r="H36" s="123">
        <f>ROUND(F36*G36,2)</f>
        <v/>
      </c>
      <c r="I36" s="135" t="n"/>
      <c r="J36" s="134" t="n"/>
      <c r="K36" s="134" t="n"/>
    </row>
    <row r="37">
      <c r="A37" s="157" t="n">
        <v>20</v>
      </c>
      <c r="B37" s="228" t="n"/>
      <c r="C37" s="127" t="inlineStr">
        <is>
          <t>20.1.02.23-0082</t>
        </is>
      </c>
      <c r="D37" s="128" t="inlineStr">
        <is>
          <t>Перемычки гибкие, тип ПГС-50</t>
        </is>
      </c>
      <c r="E37" s="256" t="inlineStr">
        <is>
          <t>10 шт</t>
        </is>
      </c>
      <c r="F37" s="256" t="n">
        <v>0.7</v>
      </c>
      <c r="G37" s="123" t="n">
        <v>39</v>
      </c>
      <c r="H37" s="123">
        <f>ROUND(F37*G37,2)</f>
        <v/>
      </c>
      <c r="I37" s="135" t="n"/>
      <c r="J37" s="134" t="n"/>
      <c r="K37" s="134" t="n"/>
    </row>
    <row r="38">
      <c r="A38" s="157" t="n">
        <v>21</v>
      </c>
      <c r="B38" s="228" t="n"/>
      <c r="C38" s="127" t="inlineStr">
        <is>
          <t>01.7.06.07-0002</t>
        </is>
      </c>
      <c r="D38" s="128" t="inlineStr">
        <is>
          <t>Лента монтажная, тип ЛМ-5</t>
        </is>
      </c>
      <c r="E38" s="256" t="inlineStr">
        <is>
          <t>10 м</t>
        </is>
      </c>
      <c r="F38" s="256" t="n">
        <v>3.073</v>
      </c>
      <c r="G38" s="123" t="n">
        <v>6.9</v>
      </c>
      <c r="H38" s="123">
        <f>ROUND(F38*G38,2)</f>
        <v/>
      </c>
      <c r="I38" s="135" t="n"/>
      <c r="J38" s="134" t="n"/>
      <c r="K38" s="134" t="n"/>
    </row>
    <row r="39">
      <c r="A39" s="157" t="n">
        <v>22</v>
      </c>
      <c r="B39" s="228" t="n"/>
      <c r="C39" s="127" t="inlineStr">
        <is>
          <t>24.3.01.01-0001</t>
        </is>
      </c>
      <c r="D39" s="128" t="inlineStr">
        <is>
          <t>Трубка ХВТ</t>
        </is>
      </c>
      <c r="E39" s="256" t="inlineStr">
        <is>
          <t>кг</t>
        </is>
      </c>
      <c r="F39" s="256" t="n">
        <v>0.49</v>
      </c>
      <c r="G39" s="123" t="n">
        <v>41.7</v>
      </c>
      <c r="H39" s="123">
        <f>ROUND(F39*G39,2)</f>
        <v/>
      </c>
      <c r="I39" s="135" t="n"/>
      <c r="J39" s="134" t="n"/>
      <c r="K39" s="134" t="n"/>
    </row>
    <row r="40">
      <c r="A40" s="157" t="n">
        <v>23</v>
      </c>
      <c r="B40" s="228" t="n"/>
      <c r="C40" s="127" t="inlineStr">
        <is>
          <t>01.7.11.07-0034</t>
        </is>
      </c>
      <c r="D40" s="128" t="inlineStr">
        <is>
          <t>Электроды сварочные Э42А, диаметр 4 мм</t>
        </is>
      </c>
      <c r="E40" s="256" t="inlineStr">
        <is>
          <t>кг</t>
        </is>
      </c>
      <c r="F40" s="256" t="n">
        <v>0.1</v>
      </c>
      <c r="G40" s="123" t="n">
        <v>10.57</v>
      </c>
      <c r="H40" s="123">
        <f>ROUND(F40*G40,2)</f>
        <v/>
      </c>
      <c r="I40" s="135" t="n"/>
      <c r="J40" s="134" t="n"/>
      <c r="K40" s="134" t="n"/>
    </row>
    <row r="41">
      <c r="A41" s="157" t="n">
        <v>24</v>
      </c>
      <c r="B41" s="228" t="n"/>
      <c r="C41" s="127" t="inlineStr">
        <is>
          <t>01.7.15.03-0042</t>
        </is>
      </c>
      <c r="D41" s="128" t="inlineStr">
        <is>
          <t>Болты с гайками и шайбами строительные</t>
        </is>
      </c>
      <c r="E41" s="256" t="inlineStr">
        <is>
          <t>кг</t>
        </is>
      </c>
      <c r="F41" s="256" t="n">
        <v>0.1</v>
      </c>
      <c r="G41" s="123" t="n">
        <v>9.039999999999999</v>
      </c>
      <c r="H41" s="123">
        <f>ROUND(F41*G41,2)</f>
        <v/>
      </c>
      <c r="I41" s="135" t="n"/>
      <c r="J41" s="134" t="n"/>
      <c r="K41" s="134" t="n"/>
    </row>
    <row r="42">
      <c r="A42" s="157" t="n">
        <v>25</v>
      </c>
      <c r="B42" s="228" t="n"/>
      <c r="C42" s="127" t="inlineStr">
        <is>
          <t>01.7.11.06-0006</t>
        </is>
      </c>
      <c r="D42" s="128" t="inlineStr">
        <is>
          <t>Флюс ВАМИ</t>
        </is>
      </c>
      <c r="E42" s="256" t="inlineStr">
        <is>
          <t>кг</t>
        </is>
      </c>
      <c r="F42" s="256" t="n">
        <v>0.049</v>
      </c>
      <c r="G42" s="123" t="n">
        <v>12.6</v>
      </c>
      <c r="H42" s="123">
        <f>ROUND(F42*G42,2)</f>
        <v/>
      </c>
      <c r="I42" s="135" t="n"/>
      <c r="J42" s="134" t="n"/>
      <c r="K42" s="134" t="n"/>
    </row>
    <row r="43">
      <c r="A43" s="157" t="n">
        <v>26</v>
      </c>
      <c r="B43" s="228" t="n"/>
      <c r="C43" s="127" t="inlineStr">
        <is>
          <t>14.4.02.09-0001</t>
        </is>
      </c>
      <c r="D43" s="128" t="inlineStr">
        <is>
          <t>Краска</t>
        </is>
      </c>
      <c r="E43" s="256" t="inlineStr">
        <is>
          <t>кг</t>
        </is>
      </c>
      <c r="F43" s="256" t="n">
        <v>0.02</v>
      </c>
      <c r="G43" s="123" t="n">
        <v>28.6</v>
      </c>
      <c r="H43" s="123">
        <f>ROUND(F43*G43,2)</f>
        <v/>
      </c>
      <c r="I43" s="135" t="n"/>
      <c r="J43" s="134" t="n"/>
      <c r="K43" s="134" t="n"/>
    </row>
    <row r="46">
      <c r="B46" s="186" t="inlineStr">
        <is>
          <t>Составил ______________________     Д.Ю. Нефедова</t>
        </is>
      </c>
    </row>
    <row r="47">
      <c r="B47" s="114" t="inlineStr">
        <is>
          <t xml:space="preserve">                         (подпись, инициалы, фамилия)</t>
        </is>
      </c>
    </row>
    <row r="49">
      <c r="B49" s="186" t="inlineStr">
        <is>
          <t>Проверил ______________________        А.В. Костянецкая</t>
        </is>
      </c>
    </row>
    <row r="50">
      <c r="B50" s="114" t="inlineStr">
        <is>
          <t xml:space="preserve">                        (подпись, инициалы, фамилия)</t>
        </is>
      </c>
    </row>
  </sheetData>
  <mergeCells count="16">
    <mergeCell ref="A3:H3"/>
    <mergeCell ref="A29:E29"/>
    <mergeCell ref="D10:D11"/>
    <mergeCell ref="E10:E11"/>
    <mergeCell ref="A17:E17"/>
    <mergeCell ref="A2:H2"/>
    <mergeCell ref="G10:H10"/>
    <mergeCell ref="A19:E19"/>
    <mergeCell ref="A10:A11"/>
    <mergeCell ref="C4:H4"/>
    <mergeCell ref="A13:E13"/>
    <mergeCell ref="C10:C11"/>
    <mergeCell ref="B10:B11"/>
    <mergeCell ref="F10:F11"/>
    <mergeCell ref="A8:H8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5" sqref="B45"/>
    </sheetView>
  </sheetViews>
  <sheetFormatPr baseColWidth="8" defaultRowHeight="15"/>
  <cols>
    <col width="4.140625" customWidth="1" style="184" min="1" max="1"/>
    <col width="36.28515625" customWidth="1" style="184" min="2" max="2"/>
    <col width="18.85546875" customWidth="1" style="184" min="3" max="3"/>
    <col width="18.28515625" customWidth="1" style="184" min="4" max="4"/>
    <col width="18.85546875" customWidth="1" style="184" min="5" max="5"/>
    <col width="11.42578125" customWidth="1" style="184" min="6" max="6"/>
    <col width="14.42578125" customWidth="1" style="184" min="7" max="7"/>
    <col width="9.140625" customWidth="1" style="184" min="8" max="11"/>
    <col width="13.5703125" customWidth="1" style="184" min="12" max="12"/>
    <col width="9.140625" customWidth="1" style="184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7" t="inlineStr">
        <is>
          <t>Ресурсная модель</t>
        </is>
      </c>
    </row>
    <row r="6">
      <c r="B6" s="158" t="n"/>
      <c r="C6" s="4" t="n"/>
      <c r="D6" s="4" t="n"/>
      <c r="E6" s="4" t="n"/>
    </row>
    <row r="7" ht="38.25" customHeight="1" s="184">
      <c r="B7" s="230" t="inlineStr">
        <is>
          <t>Наименование разрабатываемого показателя УНЦ — Система мониторинга ЩСН 0,4 кВ с количеством отходящих линий до 24 шт.</t>
        </is>
      </c>
    </row>
    <row r="8">
      <c r="B8" s="231" t="inlineStr">
        <is>
          <t>Единица измерения  — 1 ед.</t>
        </is>
      </c>
    </row>
    <row r="9">
      <c r="B9" s="158" t="n"/>
      <c r="C9" s="4" t="n"/>
      <c r="D9" s="4" t="n"/>
      <c r="E9" s="4" t="n"/>
    </row>
    <row r="10" ht="51" customHeight="1" s="184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116" t="inlineStr">
        <is>
          <t>Оплата труда рабочих</t>
        </is>
      </c>
      <c r="C11" s="159">
        <f>'Прил.5 Расчет СМР и ОБ'!J14</f>
        <v/>
      </c>
      <c r="D11" s="160">
        <f>C11/$C$24</f>
        <v/>
      </c>
      <c r="E11" s="160">
        <f>C11/$C$40</f>
        <v/>
      </c>
    </row>
    <row r="12">
      <c r="B12" s="116" t="inlineStr">
        <is>
          <t>Эксплуатация машин основных</t>
        </is>
      </c>
      <c r="C12" s="159">
        <f>'Прил.5 Расчет СМР и ОБ'!J22</f>
        <v/>
      </c>
      <c r="D12" s="160">
        <f>C12/$C$24</f>
        <v/>
      </c>
      <c r="E12" s="160">
        <f>C12/$C$40</f>
        <v/>
      </c>
    </row>
    <row r="13">
      <c r="B13" s="116" t="inlineStr">
        <is>
          <t>Эксплуатация машин прочих</t>
        </is>
      </c>
      <c r="C13" s="159">
        <f>'Прил.5 Расчет СМР и ОБ'!J27</f>
        <v/>
      </c>
      <c r="D13" s="160">
        <f>C13/$C$24</f>
        <v/>
      </c>
      <c r="E13" s="160">
        <f>C13/$C$40</f>
        <v/>
      </c>
    </row>
    <row r="14">
      <c r="B14" s="116" t="inlineStr">
        <is>
          <t>ЭКСПЛУАТАЦИЯ МАШИН, ВСЕГО:</t>
        </is>
      </c>
      <c r="C14" s="159">
        <f>C13+C12</f>
        <v/>
      </c>
      <c r="D14" s="160">
        <f>C14/$C$24</f>
        <v/>
      </c>
      <c r="E14" s="160">
        <f>C14/$C$40</f>
        <v/>
      </c>
    </row>
    <row r="15">
      <c r="B15" s="116" t="inlineStr">
        <is>
          <t>в том числе зарплата машинистов</t>
        </is>
      </c>
      <c r="C15" s="159">
        <f>'Прил.5 Расчет СМР и ОБ'!J16</f>
        <v/>
      </c>
      <c r="D15" s="160">
        <f>C15/$C$24</f>
        <v/>
      </c>
      <c r="E15" s="160">
        <f>C15/$C$40</f>
        <v/>
      </c>
    </row>
    <row r="16">
      <c r="B16" s="116" t="inlineStr">
        <is>
          <t>Материалы основные</t>
        </is>
      </c>
      <c r="C16" s="159">
        <f>'Прил.5 Расчет СМР и ОБ'!J40</f>
        <v/>
      </c>
      <c r="D16" s="160">
        <f>C16/$C$24</f>
        <v/>
      </c>
      <c r="E16" s="160">
        <f>C16/$C$40</f>
        <v/>
      </c>
    </row>
    <row r="17">
      <c r="B17" s="116" t="inlineStr">
        <is>
          <t>Материалы прочие</t>
        </is>
      </c>
      <c r="C17" s="159">
        <f>'Прил.5 Расчет СМР и ОБ'!J53</f>
        <v/>
      </c>
      <c r="D17" s="160">
        <f>C17/$C$24</f>
        <v/>
      </c>
      <c r="E17" s="160">
        <f>C17/$C$40</f>
        <v/>
      </c>
      <c r="G17" s="318" t="n"/>
    </row>
    <row r="18">
      <c r="B18" s="116" t="inlineStr">
        <is>
          <t>МАТЕРИАЛЫ, ВСЕГО:</t>
        </is>
      </c>
      <c r="C18" s="159">
        <f>C17+C16</f>
        <v/>
      </c>
      <c r="D18" s="160">
        <f>C18/$C$24</f>
        <v/>
      </c>
      <c r="E18" s="160">
        <f>C18/$C$40</f>
        <v/>
      </c>
    </row>
    <row r="19">
      <c r="B19" s="116" t="inlineStr">
        <is>
          <t>ИТОГО</t>
        </is>
      </c>
      <c r="C19" s="159">
        <f>C18+C14+C11</f>
        <v/>
      </c>
      <c r="D19" s="160" t="n"/>
      <c r="E19" s="116" t="n"/>
    </row>
    <row r="20">
      <c r="B20" s="116" t="inlineStr">
        <is>
          <t>Сметная прибыль, руб.</t>
        </is>
      </c>
      <c r="C20" s="159">
        <f>ROUND(C21*(C11+C15),2)</f>
        <v/>
      </c>
      <c r="D20" s="160">
        <f>C20/$C$24</f>
        <v/>
      </c>
      <c r="E20" s="160">
        <f>C20/$C$40</f>
        <v/>
      </c>
    </row>
    <row r="21">
      <c r="B21" s="116" t="inlineStr">
        <is>
          <t>Сметная прибыль, %</t>
        </is>
      </c>
      <c r="C21" s="162">
        <f>'Прил.5 Расчет СМР и ОБ'!D57</f>
        <v/>
      </c>
      <c r="D21" s="160" t="n"/>
      <c r="E21" s="116" t="n"/>
    </row>
    <row r="22">
      <c r="B22" s="116" t="inlineStr">
        <is>
          <t>Накладные расходы, руб.</t>
        </is>
      </c>
      <c r="C22" s="159">
        <f>ROUND(C23*(C11+C15),2)</f>
        <v/>
      </c>
      <c r="D22" s="160">
        <f>C22/$C$24</f>
        <v/>
      </c>
      <c r="E22" s="160">
        <f>C22/$C$40</f>
        <v/>
      </c>
    </row>
    <row r="23">
      <c r="B23" s="116" t="inlineStr">
        <is>
          <t>Накладные расходы, %</t>
        </is>
      </c>
      <c r="C23" s="162">
        <f>'Прил.5 Расчет СМР и ОБ'!D56</f>
        <v/>
      </c>
      <c r="D23" s="160" t="n"/>
      <c r="E23" s="116" t="n"/>
    </row>
    <row r="24">
      <c r="B24" s="116" t="inlineStr">
        <is>
          <t>ВСЕГО СМР с НР и СП</t>
        </is>
      </c>
      <c r="C24" s="159">
        <f>C19+C20+C22</f>
        <v/>
      </c>
      <c r="D24" s="160">
        <f>C24/$C$24</f>
        <v/>
      </c>
      <c r="E24" s="160">
        <f>C24/$C$40</f>
        <v/>
      </c>
    </row>
    <row r="25" ht="25.5" customHeight="1" s="184">
      <c r="B25" s="116" t="inlineStr">
        <is>
          <t>ВСЕГО стоимость оборудования, в том числе</t>
        </is>
      </c>
      <c r="C25" s="159">
        <f>'Прил.5 Расчет СМР и ОБ'!J34</f>
        <v/>
      </c>
      <c r="D25" s="160" t="n"/>
      <c r="E25" s="160">
        <f>C25/$C$40</f>
        <v/>
      </c>
    </row>
    <row r="26" ht="25.5" customHeight="1" s="184">
      <c r="B26" s="116" t="inlineStr">
        <is>
          <t>стоимость оборудования технологического</t>
        </is>
      </c>
      <c r="C26" s="159">
        <f>'Прил.5 Расчет СМР и ОБ'!J35</f>
        <v/>
      </c>
      <c r="D26" s="160" t="n"/>
      <c r="E26" s="160">
        <f>C26/$C$40</f>
        <v/>
      </c>
    </row>
    <row r="27">
      <c r="B27" s="116" t="inlineStr">
        <is>
          <t>ИТОГО (СМР + ОБОРУДОВАНИЕ)</t>
        </is>
      </c>
      <c r="C27" s="110">
        <f>C24+C25</f>
        <v/>
      </c>
      <c r="D27" s="160" t="n"/>
      <c r="E27" s="160">
        <f>C27/$C$40</f>
        <v/>
      </c>
    </row>
    <row r="28" ht="33" customHeight="1" s="184">
      <c r="B28" s="116" t="inlineStr">
        <is>
          <t>ПРОЧ. ЗАТР., УЧТЕННЫЕ ПОКАЗАТЕЛЕМ,  в том числе</t>
        </is>
      </c>
      <c r="C28" s="116" t="n"/>
      <c r="D28" s="116" t="n"/>
      <c r="E28" s="116" t="n"/>
      <c r="F28" s="163" t="n"/>
    </row>
    <row r="29" ht="25.5" customHeight="1" s="184">
      <c r="B29" s="116" t="inlineStr">
        <is>
          <t>Временные здания и сооружения - 2,5%</t>
        </is>
      </c>
      <c r="C29" s="110">
        <f>ROUND(C24*2.5%,2)</f>
        <v/>
      </c>
      <c r="D29" s="116" t="n"/>
      <c r="E29" s="160">
        <f>C29/$C$40</f>
        <v/>
      </c>
    </row>
    <row r="30" ht="38.25" customHeight="1" s="184">
      <c r="B30" s="116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6" t="n"/>
      <c r="E30" s="160">
        <f>C30/$C$40</f>
        <v/>
      </c>
      <c r="F30" s="163" t="n"/>
    </row>
    <row r="31">
      <c r="B31" s="116" t="inlineStr">
        <is>
          <t>Пусконаладочные работы</t>
        </is>
      </c>
      <c r="C31" s="110" t="n">
        <v>105140</v>
      </c>
      <c r="D31" s="116" t="n"/>
      <c r="E31" s="160">
        <f>C31/$C$40</f>
        <v/>
      </c>
    </row>
    <row r="32" ht="25.5" customHeight="1" s="184">
      <c r="B32" s="116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6" t="n"/>
      <c r="E32" s="160">
        <f>C32/$C$40</f>
        <v/>
      </c>
    </row>
    <row r="33" ht="25.5" customHeight="1" s="184">
      <c r="B33" s="116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6" t="n"/>
      <c r="E33" s="160">
        <f>C33/$C$40</f>
        <v/>
      </c>
    </row>
    <row r="34" ht="51" customHeight="1" s="184">
      <c r="B34" s="1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6" t="n"/>
      <c r="E34" s="160">
        <f>C34/$C$40</f>
        <v/>
      </c>
      <c r="H34" s="135" t="n"/>
    </row>
    <row r="35" ht="76.5" customHeight="1" s="184">
      <c r="B35" s="1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6" t="n"/>
      <c r="E35" s="160">
        <f>C35/$C$40</f>
        <v/>
      </c>
    </row>
    <row r="36" ht="25.5" customHeight="1" s="184">
      <c r="B36" s="116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6" t="n"/>
      <c r="E36" s="160">
        <f>C36/$C$40</f>
        <v/>
      </c>
      <c r="L36" s="163" t="n"/>
    </row>
    <row r="37">
      <c r="B37" s="116" t="inlineStr">
        <is>
          <t>Авторский надзор - 0,2%</t>
        </is>
      </c>
      <c r="C37" s="110">
        <f>ROUND((C27+C32+C33+C34+C35+C29+C31+C30)*0.2%,2)</f>
        <v/>
      </c>
      <c r="D37" s="116" t="n"/>
      <c r="E37" s="160">
        <f>C37/$C$40</f>
        <v/>
      </c>
      <c r="L37" s="163" t="n"/>
    </row>
    <row r="38" ht="38.25" customHeight="1" s="184">
      <c r="B38" s="116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116" t="n"/>
      <c r="E38" s="160">
        <f>C38/$C$40</f>
        <v/>
      </c>
    </row>
    <row r="39" ht="13.5" customHeight="1" s="184">
      <c r="B39" s="116" t="inlineStr">
        <is>
          <t>Непредвиденные расходы</t>
        </is>
      </c>
      <c r="C39" s="159">
        <f>ROUND(C38*3%,2)</f>
        <v/>
      </c>
      <c r="D39" s="116" t="n"/>
      <c r="E39" s="160">
        <f>C39/$C$38</f>
        <v/>
      </c>
    </row>
    <row r="40">
      <c r="B40" s="116" t="inlineStr">
        <is>
          <t>ВСЕГО:</t>
        </is>
      </c>
      <c r="C40" s="159">
        <f>C39+C38</f>
        <v/>
      </c>
      <c r="D40" s="116" t="n"/>
      <c r="E40" s="160">
        <f>C40/$C$40</f>
        <v/>
      </c>
    </row>
    <row r="41">
      <c r="B41" s="116" t="inlineStr">
        <is>
          <t>ИТОГО ПОКАЗАТЕЛЬ НА ЕД. ИЗМ.</t>
        </is>
      </c>
      <c r="C41" s="159">
        <f>C40/'Прил.5 Расчет СМР и ОБ'!E60</f>
        <v/>
      </c>
      <c r="D41" s="116" t="n"/>
      <c r="E41" s="116" t="n"/>
    </row>
    <row r="42">
      <c r="B42" s="115" t="n"/>
      <c r="C42" s="4" t="n"/>
      <c r="D42" s="4" t="n"/>
      <c r="E42" s="4" t="n"/>
    </row>
    <row r="43">
      <c r="B43" s="115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5" t="n"/>
      <c r="C45" s="4" t="n"/>
      <c r="D45" s="4" t="n"/>
      <c r="E45" s="4" t="n"/>
    </row>
    <row r="46">
      <c r="B46" s="11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6"/>
  <sheetViews>
    <sheetView view="pageBreakPreview" topLeftCell="A34" zoomScale="70" workbookViewId="0">
      <selection activeCell="J99" sqref="J9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  <col width="21.42578125" customWidth="1" style="184" min="13" max="13"/>
  </cols>
  <sheetData>
    <row r="1">
      <c r="M1" s="12" t="n"/>
      <c r="N1" s="12" t="n"/>
    </row>
    <row r="2" ht="15.75" customHeight="1" s="184">
      <c r="H2" s="24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7" t="inlineStr">
        <is>
          <t>Расчет стоимости СМР и оборудования</t>
        </is>
      </c>
    </row>
    <row r="5" ht="12.75" customFormat="1" customHeight="1" s="4">
      <c r="A5" s="207" t="n"/>
      <c r="B5" s="207" t="n"/>
      <c r="C5" s="259" t="n"/>
      <c r="D5" s="207" t="n"/>
      <c r="E5" s="207" t="n"/>
      <c r="F5" s="207" t="n"/>
      <c r="G5" s="207" t="n"/>
      <c r="H5" s="207" t="n"/>
      <c r="I5" s="207" t="n"/>
      <c r="J5" s="207" t="n"/>
    </row>
    <row r="6" ht="27.75" customFormat="1" customHeight="1" s="4">
      <c r="A6" s="164" t="inlineStr">
        <is>
          <t>Наименование разрабатываемого показателя УНЦ</t>
        </is>
      </c>
      <c r="B6" s="165" t="n"/>
      <c r="C6" s="165" t="n"/>
      <c r="D6" s="250" t="inlineStr">
        <is>
          <t>Система мониторинга ЩСН 0,4 кВ с количеством отходящих линий до 24 шт.</t>
        </is>
      </c>
    </row>
    <row r="7" ht="12.75" customFormat="1" customHeight="1" s="4">
      <c r="A7" s="210" t="inlineStr">
        <is>
          <t>Единица измерения  — 1 ед.</t>
        </is>
      </c>
      <c r="I7" s="230" t="n"/>
      <c r="J7" s="230" t="n"/>
    </row>
    <row r="8" ht="13.5" customFormat="1" customHeight="1" s="4">
      <c r="A8" s="210" t="n"/>
    </row>
    <row r="9" ht="27" customHeight="1" s="184">
      <c r="A9" s="238" t="inlineStr">
        <is>
          <t>№ пп.</t>
        </is>
      </c>
      <c r="B9" s="238" t="inlineStr">
        <is>
          <t>Код ресурса</t>
        </is>
      </c>
      <c r="C9" s="238" t="inlineStr">
        <is>
          <t>Наименование</t>
        </is>
      </c>
      <c r="D9" s="238" t="inlineStr">
        <is>
          <t>Ед. изм.</t>
        </is>
      </c>
      <c r="E9" s="238" t="inlineStr">
        <is>
          <t>Кол-во единиц по проектным данным</t>
        </is>
      </c>
      <c r="F9" s="238" t="inlineStr">
        <is>
          <t>Сметная стоимость в ценах на 01.01.2000 (руб.)</t>
        </is>
      </c>
      <c r="G9" s="309" t="n"/>
      <c r="H9" s="238" t="inlineStr">
        <is>
          <t>Удельный вес, %</t>
        </is>
      </c>
      <c r="I9" s="238" t="inlineStr">
        <is>
          <t>Сметная стоимость в ценах на 01.01.2023 (руб.)</t>
        </is>
      </c>
      <c r="J9" s="309" t="n"/>
      <c r="M9" s="12" t="n"/>
      <c r="N9" s="12" t="n"/>
    </row>
    <row r="10" ht="28.5" customHeight="1" s="184">
      <c r="A10" s="311" t="n"/>
      <c r="B10" s="311" t="n"/>
      <c r="C10" s="311" t="n"/>
      <c r="D10" s="311" t="n"/>
      <c r="E10" s="311" t="n"/>
      <c r="F10" s="238" t="inlineStr">
        <is>
          <t>на ед. изм.</t>
        </is>
      </c>
      <c r="G10" s="238" t="inlineStr">
        <is>
          <t>общая</t>
        </is>
      </c>
      <c r="H10" s="311" t="n"/>
      <c r="I10" s="238" t="inlineStr">
        <is>
          <t>на ед. изм.</t>
        </is>
      </c>
      <c r="J10" s="238" t="inlineStr">
        <is>
          <t>общая</t>
        </is>
      </c>
      <c r="M10" s="12" t="n"/>
      <c r="N10" s="12" t="n"/>
    </row>
    <row r="11">
      <c r="A11" s="238" t="n">
        <v>1</v>
      </c>
      <c r="B11" s="238" t="n">
        <v>2</v>
      </c>
      <c r="C11" s="238" t="n">
        <v>3</v>
      </c>
      <c r="D11" s="238" t="n">
        <v>4</v>
      </c>
      <c r="E11" s="238" t="n">
        <v>5</v>
      </c>
      <c r="F11" s="238" t="n">
        <v>6</v>
      </c>
      <c r="G11" s="238" t="n">
        <v>7</v>
      </c>
      <c r="H11" s="238" t="n">
        <v>8</v>
      </c>
      <c r="I11" s="233" t="n">
        <v>9</v>
      </c>
      <c r="J11" s="233" t="n">
        <v>10</v>
      </c>
      <c r="M11" s="12" t="n"/>
      <c r="N11" s="12" t="n"/>
    </row>
    <row r="12">
      <c r="A12" s="238" t="n"/>
      <c r="B12" s="226" t="inlineStr">
        <is>
          <t>Затраты труда рабочих-строителей</t>
        </is>
      </c>
      <c r="C12" s="308" t="n"/>
      <c r="D12" s="308" t="n"/>
      <c r="E12" s="308" t="n"/>
      <c r="F12" s="308" t="n"/>
      <c r="G12" s="308" t="n"/>
      <c r="H12" s="309" t="n"/>
      <c r="I12" s="131" t="n"/>
      <c r="J12" s="131" t="n"/>
    </row>
    <row r="13" ht="25.5" customHeight="1" s="184">
      <c r="A13" s="238" t="n">
        <v>1</v>
      </c>
      <c r="B13" s="136" t="inlineStr">
        <is>
          <t>1-3-9</t>
        </is>
      </c>
      <c r="C13" s="237" t="inlineStr">
        <is>
          <t>Затраты труда рабочих-строителей среднего разряда (3,9)</t>
        </is>
      </c>
      <c r="D13" s="238" t="inlineStr">
        <is>
          <t>чел.-ч.</t>
        </is>
      </c>
      <c r="E13" s="319">
        <f>G13/F13</f>
        <v/>
      </c>
      <c r="F13" s="26" t="n">
        <v>9.51</v>
      </c>
      <c r="G13" s="26">
        <f>'Прил. 3'!H13</f>
        <v/>
      </c>
      <c r="H13" s="166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2">
      <c r="A14" s="238" t="n"/>
      <c r="B14" s="238" t="n"/>
      <c r="C14" s="226" t="inlineStr">
        <is>
          <t>Итого по разделу "Затраты труда рабочих-строителей"</t>
        </is>
      </c>
      <c r="D14" s="238" t="inlineStr">
        <is>
          <t>чел.-ч.</t>
        </is>
      </c>
      <c r="E14" s="319">
        <f>SUM(E13)</f>
        <v/>
      </c>
      <c r="F14" s="26" t="n"/>
      <c r="G14" s="26">
        <f>SUM(G13:G13)</f>
        <v/>
      </c>
      <c r="H14" s="241" t="n">
        <v>1</v>
      </c>
      <c r="I14" s="131" t="n"/>
      <c r="J14" s="26">
        <f>SUM(J13:J13)</f>
        <v/>
      </c>
    </row>
    <row r="15" ht="14.25" customFormat="1" customHeight="1" s="12">
      <c r="A15" s="238" t="n"/>
      <c r="B15" s="237" t="inlineStr">
        <is>
          <t>Затраты труда машинистов</t>
        </is>
      </c>
      <c r="C15" s="308" t="n"/>
      <c r="D15" s="308" t="n"/>
      <c r="E15" s="308" t="n"/>
      <c r="F15" s="308" t="n"/>
      <c r="G15" s="308" t="n"/>
      <c r="H15" s="309" t="n"/>
      <c r="I15" s="131" t="n"/>
      <c r="J15" s="131" t="n"/>
    </row>
    <row r="16" ht="14.25" customFormat="1" customHeight="1" s="12">
      <c r="A16" s="238" t="n">
        <v>2</v>
      </c>
      <c r="B16" s="238" t="n">
        <v>2</v>
      </c>
      <c r="C16" s="237" t="inlineStr">
        <is>
          <t>Затраты труда машинистов</t>
        </is>
      </c>
      <c r="D16" s="238" t="inlineStr">
        <is>
          <t>чел.-ч.</t>
        </is>
      </c>
      <c r="E16" s="319">
        <f>'Прил. 3'!F18</f>
        <v/>
      </c>
      <c r="F16" s="26">
        <f>G16/E16</f>
        <v/>
      </c>
      <c r="G16" s="26">
        <f>'Прил. 3'!H17</f>
        <v/>
      </c>
      <c r="H16" s="241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38" t="n"/>
      <c r="B17" s="226" t="inlineStr">
        <is>
          <t>Машины и механизмы</t>
        </is>
      </c>
      <c r="C17" s="308" t="n"/>
      <c r="D17" s="308" t="n"/>
      <c r="E17" s="308" t="n"/>
      <c r="F17" s="308" t="n"/>
      <c r="G17" s="308" t="n"/>
      <c r="H17" s="309" t="n"/>
      <c r="I17" s="131" t="n"/>
      <c r="J17" s="131" t="n"/>
    </row>
    <row r="18" ht="14.25" customFormat="1" customHeight="1" s="12">
      <c r="A18" s="238" t="n"/>
      <c r="B18" s="237" t="inlineStr">
        <is>
          <t>Основные 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1" t="n"/>
      <c r="J18" s="131" t="n"/>
    </row>
    <row r="19" ht="25.5" customFormat="1" customHeight="1" s="12">
      <c r="A19" s="238" t="n">
        <v>3</v>
      </c>
      <c r="B19" s="136" t="inlineStr">
        <is>
          <t>91.05.05-015</t>
        </is>
      </c>
      <c r="C19" s="237" t="inlineStr">
        <is>
          <t>Краны на автомобильном ходу, грузоподъемность 16 т</t>
        </is>
      </c>
      <c r="D19" s="238" t="inlineStr">
        <is>
          <t>маш.час</t>
        </is>
      </c>
      <c r="E19" s="319" t="n">
        <v>1.06</v>
      </c>
      <c r="F19" s="240" t="n">
        <v>115.4</v>
      </c>
      <c r="G19" s="26">
        <f>ROUND(E19*F19,2)</f>
        <v/>
      </c>
      <c r="H19" s="166">
        <f>G19/$G$28</f>
        <v/>
      </c>
      <c r="I19" s="26">
        <f>ROUND(F19*'Прил. 10'!$D$12,2)</f>
        <v/>
      </c>
      <c r="J19" s="26">
        <f>ROUND(I19*E19,2)</f>
        <v/>
      </c>
    </row>
    <row r="20" ht="25.5" customFormat="1" customHeight="1" s="12">
      <c r="A20" s="238" t="n">
        <v>4</v>
      </c>
      <c r="B20" s="136" t="inlineStr">
        <is>
          <t>91.14.02-001</t>
        </is>
      </c>
      <c r="C20" s="237" t="inlineStr">
        <is>
          <t>Автомобили бортовые, грузоподъемность до 5 т</t>
        </is>
      </c>
      <c r="D20" s="238" t="inlineStr">
        <is>
          <t>маш.час</t>
        </is>
      </c>
      <c r="E20" s="319" t="n">
        <v>1.06</v>
      </c>
      <c r="F20" s="240" t="n">
        <v>65.70999999999999</v>
      </c>
      <c r="G20" s="26">
        <f>ROUND(E20*F20,2)</f>
        <v/>
      </c>
      <c r="H20" s="166">
        <f>G20/$G$28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12">
      <c r="A21" s="238" t="n">
        <v>5</v>
      </c>
      <c r="B21" s="136" t="inlineStr">
        <is>
          <t>91.06.03-061</t>
        </is>
      </c>
      <c r="C21" s="237" t="inlineStr">
        <is>
          <t>Лебедки электрические тяговым усилием до 12,26 кН (1,25 т)</t>
        </is>
      </c>
      <c r="D21" s="238" t="inlineStr">
        <is>
          <t>маш.час</t>
        </is>
      </c>
      <c r="E21" s="319" t="n">
        <v>16.7</v>
      </c>
      <c r="F21" s="240" t="n">
        <v>3.28</v>
      </c>
      <c r="G21" s="26">
        <f>ROUND(E21*F21,2)</f>
        <v/>
      </c>
      <c r="H21" s="166">
        <f>G21/$G$28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12">
      <c r="A22" s="238" t="n"/>
      <c r="B22" s="238" t="n"/>
      <c r="C22" s="237" t="inlineStr">
        <is>
          <t>Итого основные машины и механизмы</t>
        </is>
      </c>
      <c r="D22" s="238" t="n"/>
      <c r="E22" s="319" t="n"/>
      <c r="F22" s="26" t="n"/>
      <c r="G22" s="26">
        <f>SUM(G19:G21)</f>
        <v/>
      </c>
      <c r="H22" s="241">
        <f>G22/G28</f>
        <v/>
      </c>
      <c r="I22" s="133" t="n"/>
      <c r="J22" s="26">
        <f>SUM(J19:J21)</f>
        <v/>
      </c>
    </row>
    <row r="23" outlineLevel="1" ht="51" customFormat="1" customHeight="1" s="12">
      <c r="A23" s="238" t="n">
        <v>6</v>
      </c>
      <c r="B23" s="136" t="inlineStr">
        <is>
          <t>91.18.01-007</t>
        </is>
      </c>
      <c r="C23" s="23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38" t="inlineStr">
        <is>
          <t>маш.час</t>
        </is>
      </c>
      <c r="E23" s="319" t="n">
        <v>0.19</v>
      </c>
      <c r="F23" s="240" t="n">
        <v>90</v>
      </c>
      <c r="G23" s="26">
        <f>ROUND(E23*F23,2)</f>
        <v/>
      </c>
      <c r="H23" s="166">
        <f>G23/$G$28</f>
        <v/>
      </c>
      <c r="I23" s="26">
        <f>ROUND(F23*'Прил. 10'!$D$12,2)</f>
        <v/>
      </c>
      <c r="J23" s="26">
        <f>ROUND(I23*E23,2)</f>
        <v/>
      </c>
    </row>
    <row r="24" outlineLevel="1" ht="25.5" customFormat="1" customHeight="1" s="12">
      <c r="A24" s="238" t="n">
        <v>7</v>
      </c>
      <c r="B24" s="136" t="inlineStr">
        <is>
          <t>91.06.01-003</t>
        </is>
      </c>
      <c r="C24" s="237" t="inlineStr">
        <is>
          <t>Домкраты гидравлические, грузоподъемность 63-100 т</t>
        </is>
      </c>
      <c r="D24" s="238" t="inlineStr">
        <is>
          <t>маш.час</t>
        </is>
      </c>
      <c r="E24" s="319" t="n">
        <v>16.7</v>
      </c>
      <c r="F24" s="240" t="n">
        <v>0.9</v>
      </c>
      <c r="G24" s="26">
        <f>ROUND(E24*F24,2)</f>
        <v/>
      </c>
      <c r="H24" s="166">
        <f>G24/$G$28</f>
        <v/>
      </c>
      <c r="I24" s="26">
        <f>ROUND(F24*'Прил. 10'!$D$12,2)</f>
        <v/>
      </c>
      <c r="J24" s="26">
        <f>ROUND(I24*E24,2)</f>
        <v/>
      </c>
    </row>
    <row r="25" outlineLevel="1" ht="25.5" customFormat="1" customHeight="1" s="12">
      <c r="A25" s="238" t="n">
        <v>8</v>
      </c>
      <c r="B25" s="136" t="inlineStr">
        <is>
          <t>91.17.04-233</t>
        </is>
      </c>
      <c r="C25" s="237" t="inlineStr">
        <is>
          <t>Установки для сварки ручной дуговой (постоянного тока)</t>
        </is>
      </c>
      <c r="D25" s="238" t="inlineStr">
        <is>
          <t>маш.час</t>
        </is>
      </c>
      <c r="E25" s="319" t="n">
        <v>0.61</v>
      </c>
      <c r="F25" s="240" t="n">
        <v>8.1</v>
      </c>
      <c r="G25" s="26">
        <f>ROUND(E25*F25,2)</f>
        <v/>
      </c>
      <c r="H25" s="166">
        <f>G25/$G$28</f>
        <v/>
      </c>
      <c r="I25" s="26">
        <f>ROUND(F25*'Прил. 10'!$D$12,2)</f>
        <v/>
      </c>
      <c r="J25" s="26">
        <f>ROUND(I25*E25,2)</f>
        <v/>
      </c>
    </row>
    <row r="26" outlineLevel="1" ht="25.5" customFormat="1" customHeight="1" s="12">
      <c r="A26" s="238" t="n">
        <v>9</v>
      </c>
      <c r="B26" s="136" t="inlineStr">
        <is>
          <t>91.04.01-041</t>
        </is>
      </c>
      <c r="C26" s="237" t="inlineStr">
        <is>
          <t>Молотки бурильные легкие при работе от передвижных компрессорных станций</t>
        </is>
      </c>
      <c r="D26" s="238" t="inlineStr">
        <is>
          <t>маш.час</t>
        </is>
      </c>
      <c r="E26" s="319" t="n">
        <v>0.19</v>
      </c>
      <c r="F26" s="240" t="n">
        <v>2.99</v>
      </c>
      <c r="G26" s="26">
        <f>ROUND(E26*F26,2)</f>
        <v/>
      </c>
      <c r="H26" s="166">
        <f>G26/$G$28</f>
        <v/>
      </c>
      <c r="I26" s="26">
        <f>ROUND(F26*'Прил. 10'!$D$12,2)</f>
        <v/>
      </c>
      <c r="J26" s="26">
        <f>ROUND(I26*E26,2)</f>
        <v/>
      </c>
    </row>
    <row r="27" ht="14.25" customFormat="1" customHeight="1" s="12">
      <c r="A27" s="238" t="n"/>
      <c r="B27" s="238" t="n"/>
      <c r="C27" s="237" t="inlineStr">
        <is>
          <t>Итого прочие машины и механизмы</t>
        </is>
      </c>
      <c r="D27" s="238" t="n"/>
      <c r="E27" s="239" t="n"/>
      <c r="F27" s="26" t="n"/>
      <c r="G27" s="133">
        <f>SUM(G23:G26)</f>
        <v/>
      </c>
      <c r="H27" s="166">
        <f>G27/G28</f>
        <v/>
      </c>
      <c r="I27" s="26" t="n"/>
      <c r="J27" s="133">
        <f>SUM(J23:J26)</f>
        <v/>
      </c>
    </row>
    <row r="28" ht="25.5" customFormat="1" customHeight="1" s="12">
      <c r="A28" s="238" t="n"/>
      <c r="B28" s="238" t="n"/>
      <c r="C28" s="226" t="inlineStr">
        <is>
          <t>Итого по разделу «Машины и механизмы»</t>
        </is>
      </c>
      <c r="D28" s="238" t="n"/>
      <c r="E28" s="239" t="n"/>
      <c r="F28" s="26" t="n"/>
      <c r="G28" s="26">
        <f>G22+G27</f>
        <v/>
      </c>
      <c r="H28" s="166">
        <f>H22+H27</f>
        <v/>
      </c>
      <c r="I28" s="130" t="n"/>
      <c r="J28" s="26">
        <f>J22+J27</f>
        <v/>
      </c>
    </row>
    <row r="29" ht="14.25" customFormat="1" customHeight="1" s="12">
      <c r="A29" s="238" t="n"/>
      <c r="B29" s="226" t="inlineStr">
        <is>
          <t>Оборудование</t>
        </is>
      </c>
      <c r="C29" s="308" t="n"/>
      <c r="D29" s="308" t="n"/>
      <c r="E29" s="308" t="n"/>
      <c r="F29" s="308" t="n"/>
      <c r="G29" s="308" t="n"/>
      <c r="H29" s="309" t="n"/>
      <c r="I29" s="131" t="n"/>
      <c r="J29" s="131" t="n"/>
    </row>
    <row r="30">
      <c r="A30" s="238" t="n"/>
      <c r="B30" s="237" t="inlineStr">
        <is>
          <t>Основное оборудование</t>
        </is>
      </c>
      <c r="C30" s="308" t="n"/>
      <c r="D30" s="308" t="n"/>
      <c r="E30" s="308" t="n"/>
      <c r="F30" s="308" t="n"/>
      <c r="G30" s="308" t="n"/>
      <c r="H30" s="309" t="n"/>
      <c r="I30" s="131" t="n"/>
      <c r="J30" s="131" t="n"/>
    </row>
    <row r="31" ht="229.5" customFormat="1" customHeight="1" s="12">
      <c r="A31" s="238" t="n">
        <v>10</v>
      </c>
      <c r="B31" s="238" t="inlineStr">
        <is>
          <t>БЦ.46.16</t>
        </is>
      </c>
      <c r="C31" s="237" t="inlineStr">
        <is>
          <t xml:space="preserve">Система мониторинга ЩСН в составе:
промышленный свободно программируемый контроллер с ОС Linux "MOXA" - 1шт; программируемый логический контроллер TWIDO - 1шт; модули дискретного ввода "ICP DAS", "Advantech", "MOXA" - 1шт; модули дискретного вывода "ICP DAS", "Advantech", "MOXA" - 1шт; цифровые электроизмерительные приборы "Электроприбор" - 1шт; модули осциллографирования дискретных и аналоговых величин "Beckhoff" - 1шт;  модули осциллографирования дискретных и аналоговых величин "Beckhoff" - 1шт; уcтройство защиты от импульсных перенапряжений и помех интерфейса RS­485 - 1шт </t>
        </is>
      </c>
      <c r="D31" s="238" t="inlineStr">
        <is>
          <t>1 шт.</t>
        </is>
      </c>
      <c r="E31" s="317" t="n">
        <v>1</v>
      </c>
      <c r="F31" s="240">
        <f>I31/'Прил. 10'!D14</f>
        <v/>
      </c>
      <c r="G31" s="26">
        <f>ROUND(E31*F31,2)</f>
        <v/>
      </c>
      <c r="H31" s="166">
        <f>G31/$G$34</f>
        <v/>
      </c>
      <c r="I31" s="26" t="n">
        <v>3450000</v>
      </c>
      <c r="J31" s="26">
        <f>ROUND(I31*E31,2)</f>
        <v/>
      </c>
    </row>
    <row r="32">
      <c r="A32" s="238" t="n"/>
      <c r="B32" s="238" t="n"/>
      <c r="C32" s="237" t="inlineStr">
        <is>
          <t>Итого основное оборудование</t>
        </is>
      </c>
      <c r="D32" s="238" t="n"/>
      <c r="E32" s="317" t="n"/>
      <c r="F32" s="240" t="n"/>
      <c r="G32" s="26">
        <f>SUM(G31:G31)</f>
        <v/>
      </c>
      <c r="H32" s="166">
        <f>G32/$G$34</f>
        <v/>
      </c>
      <c r="I32" s="133" t="n"/>
      <c r="J32" s="26">
        <f>SUM(J31:J31)</f>
        <v/>
      </c>
    </row>
    <row r="33">
      <c r="A33" s="238" t="n"/>
      <c r="B33" s="238" t="n"/>
      <c r="C33" s="237" t="inlineStr">
        <is>
          <t>Итого прочее оборудование</t>
        </is>
      </c>
      <c r="D33" s="238" t="n"/>
      <c r="E33" s="319" t="n"/>
      <c r="F33" s="240" t="n"/>
      <c r="G33" s="26" t="n">
        <v>0</v>
      </c>
      <c r="H33" s="166" t="n">
        <v>0</v>
      </c>
      <c r="I33" s="133" t="n"/>
      <c r="J33" s="26" t="n">
        <v>0</v>
      </c>
    </row>
    <row r="34">
      <c r="A34" s="238" t="n"/>
      <c r="B34" s="238" t="n"/>
      <c r="C34" s="226" t="inlineStr">
        <is>
          <t>Итого по разделу «Оборудование»</t>
        </is>
      </c>
      <c r="D34" s="238" t="n"/>
      <c r="E34" s="239" t="n"/>
      <c r="F34" s="240" t="n"/>
      <c r="G34" s="26">
        <f>G32+G33</f>
        <v/>
      </c>
      <c r="H34" s="166">
        <f>H32+H33</f>
        <v/>
      </c>
      <c r="I34" s="133" t="n"/>
      <c r="J34" s="26">
        <f>J33+J32</f>
        <v/>
      </c>
    </row>
    <row r="35" ht="25.5" customHeight="1" s="184">
      <c r="A35" s="238" t="n"/>
      <c r="B35" s="238" t="n"/>
      <c r="C35" s="237" t="inlineStr">
        <is>
          <t>в том числе технологическое оборудование</t>
        </is>
      </c>
      <c r="D35" s="238" t="n"/>
      <c r="E35" s="317" t="n"/>
      <c r="F35" s="240" t="n"/>
      <c r="G35" s="26">
        <f>G34</f>
        <v/>
      </c>
      <c r="H35" s="241" t="n"/>
      <c r="I35" s="133" t="n"/>
      <c r="J35" s="26">
        <f>J34</f>
        <v/>
      </c>
    </row>
    <row r="36" ht="14.25" customFormat="1" customHeight="1" s="12">
      <c r="A36" s="238" t="n"/>
      <c r="B36" s="226" t="inlineStr">
        <is>
          <t>Материалы</t>
        </is>
      </c>
      <c r="C36" s="308" t="n"/>
      <c r="D36" s="308" t="n"/>
      <c r="E36" s="308" t="n"/>
      <c r="F36" s="308" t="n"/>
      <c r="G36" s="308" t="n"/>
      <c r="H36" s="309" t="n"/>
      <c r="I36" s="131" t="n"/>
      <c r="J36" s="131" t="n"/>
    </row>
    <row r="37" ht="14.25" customFormat="1" customHeight="1" s="12">
      <c r="A37" s="233" t="n"/>
      <c r="B37" s="232" t="inlineStr">
        <is>
          <t>Основные материалы</t>
        </is>
      </c>
      <c r="C37" s="320" t="n"/>
      <c r="D37" s="320" t="n"/>
      <c r="E37" s="320" t="n"/>
      <c r="F37" s="320" t="n"/>
      <c r="G37" s="320" t="n"/>
      <c r="H37" s="321" t="n"/>
      <c r="I37" s="167" t="n"/>
      <c r="J37" s="167" t="n"/>
    </row>
    <row r="38" ht="14.25" customFormat="1" customHeight="1" s="12">
      <c r="A38" s="238" t="n">
        <v>11</v>
      </c>
      <c r="B38" s="238" t="inlineStr">
        <is>
          <t>21.1.08.03-0518</t>
        </is>
      </c>
      <c r="C38" s="237" t="inlineStr">
        <is>
          <t>Кабель контрольный КВВГнг(A)-LS 5х2,5</t>
        </is>
      </c>
      <c r="D38" s="238" t="inlineStr">
        <is>
          <t>1000 м</t>
        </is>
      </c>
      <c r="E38" s="317" t="n">
        <v>0.51</v>
      </c>
      <c r="F38" s="240" t="n">
        <v>14597.92</v>
      </c>
      <c r="G38" s="26">
        <f>ROUND(E38*F38,2)</f>
        <v/>
      </c>
      <c r="H38" s="166">
        <f>G38/$G$54</f>
        <v/>
      </c>
      <c r="I38" s="26">
        <f>ROUND(F38*'Прил. 10'!$D$13,2)</f>
        <v/>
      </c>
      <c r="J38" s="26">
        <f>ROUND(I38*E38,2)</f>
        <v/>
      </c>
    </row>
    <row r="39" ht="25.5" customFormat="1" customHeight="1" s="12">
      <c r="A39" s="238" t="n">
        <v>12</v>
      </c>
      <c r="B39" s="238" t="inlineStr">
        <is>
          <t>20.2.10.03-0002</t>
        </is>
      </c>
      <c r="C39" s="237" t="inlineStr">
        <is>
          <t>Наконечники кабельные медные для электротехнических установок</t>
        </is>
      </c>
      <c r="D39" s="238" t="inlineStr">
        <is>
          <t>100 шт</t>
        </is>
      </c>
      <c r="E39" s="317" t="n">
        <v>0.77</v>
      </c>
      <c r="F39" s="240" t="n">
        <v>3986</v>
      </c>
      <c r="G39" s="26">
        <f>ROUND(E39*F39,2)</f>
        <v/>
      </c>
      <c r="H39" s="166">
        <f>G39/$G$54</f>
        <v/>
      </c>
      <c r="I39" s="26">
        <f>ROUND(F39*'Прил. 10'!$D$13,2)</f>
        <v/>
      </c>
      <c r="J39" s="26">
        <f>ROUND(I39*E39,2)</f>
        <v/>
      </c>
    </row>
    <row r="40" ht="14.25" customFormat="1" customHeight="1" s="12">
      <c r="A40" s="238" t="n">
        <v>13</v>
      </c>
      <c r="B40" s="168" t="n"/>
      <c r="C40" s="169" t="inlineStr">
        <is>
          <t>Итого основные материалы</t>
        </is>
      </c>
      <c r="D40" s="249" t="n"/>
      <c r="E40" s="322" t="n"/>
      <c r="F40" s="172" t="n"/>
      <c r="G40" s="172">
        <f>SUM(G38:G39)</f>
        <v/>
      </c>
      <c r="H40" s="166">
        <f>G40/$G$54</f>
        <v/>
      </c>
      <c r="I40" s="26" t="n"/>
      <c r="J40" s="172">
        <f>SUM(J38:J39)</f>
        <v/>
      </c>
    </row>
    <row r="41" hidden="1" outlineLevel="1" ht="25.5" customFormat="1" customHeight="1" s="12">
      <c r="A41" s="238" t="n">
        <v>14</v>
      </c>
      <c r="B41" s="238" t="inlineStr">
        <is>
          <t>10.3.02.03-0011</t>
        </is>
      </c>
      <c r="C41" s="237" t="inlineStr">
        <is>
          <t>Припои оловянно-свинцовые бессурьмянистые, марка ПОС30</t>
        </is>
      </c>
      <c r="D41" s="238" t="inlineStr">
        <is>
          <t>т</t>
        </is>
      </c>
      <c r="E41" s="317" t="n">
        <v>0.00202</v>
      </c>
      <c r="F41" s="240" t="n">
        <v>68050</v>
      </c>
      <c r="G41" s="26">
        <f>ROUND(E41*F41,2)</f>
        <v/>
      </c>
      <c r="H41" s="166">
        <f>G41/$G$54</f>
        <v/>
      </c>
      <c r="I41" s="26">
        <f>ROUND(F41*'Прил. 10'!$D$13,2)</f>
        <v/>
      </c>
      <c r="J41" s="26">
        <f>ROUND(I41*E41,2)</f>
        <v/>
      </c>
    </row>
    <row r="42" hidden="1" outlineLevel="1" ht="25.5" customFormat="1" customHeight="1" s="12">
      <c r="A42" s="238" t="n">
        <v>15</v>
      </c>
      <c r="B42" s="238" t="inlineStr">
        <is>
          <t>14.4.04.04-0007</t>
        </is>
      </c>
      <c r="C42" s="237" t="inlineStr">
        <is>
          <t>Эмаль кремнийорганическая КО-811, черная</t>
        </is>
      </c>
      <c r="D42" s="238" t="inlineStr">
        <is>
          <t>т</t>
        </is>
      </c>
      <c r="E42" s="317" t="n">
        <v>0.00175</v>
      </c>
      <c r="F42" s="240" t="n">
        <v>74841.67</v>
      </c>
      <c r="G42" s="26">
        <f>ROUND(E42*F42,2)</f>
        <v/>
      </c>
      <c r="H42" s="166">
        <f>G42/$G$54</f>
        <v/>
      </c>
      <c r="I42" s="26">
        <f>ROUND(F42*'Прил. 10'!$D$13,2)</f>
        <v/>
      </c>
      <c r="J42" s="26">
        <f>ROUND(I42*E42,2)</f>
        <v/>
      </c>
    </row>
    <row r="43" hidden="1" outlineLevel="1" ht="25.5" customFormat="1" customHeight="1" s="12">
      <c r="A43" s="238" t="n">
        <v>16</v>
      </c>
      <c r="B43" s="238" t="inlineStr">
        <is>
          <t>999-9950</t>
        </is>
      </c>
      <c r="C43" s="237" t="inlineStr">
        <is>
          <t>Вспомогательные ненормируемые ресурсы (2% от Оплаты труда рабочих)</t>
        </is>
      </c>
      <c r="D43" s="238" t="inlineStr">
        <is>
          <t>руб</t>
        </is>
      </c>
      <c r="E43" s="317" t="n">
        <v>38.58</v>
      </c>
      <c r="F43" s="240" t="n">
        <v>1</v>
      </c>
      <c r="G43" s="26">
        <f>ROUND(E43*F43,2)</f>
        <v/>
      </c>
      <c r="H43" s="166">
        <f>G43/$G$54</f>
        <v/>
      </c>
      <c r="I43" s="26">
        <f>ROUND(F43*'Прил. 10'!$D$13,2)</f>
        <v/>
      </c>
      <c r="J43" s="26">
        <f>ROUND(I43*E43,2)</f>
        <v/>
      </c>
    </row>
    <row r="44" hidden="1" outlineLevel="1" ht="14.25" customFormat="1" customHeight="1" s="12">
      <c r="A44" s="238" t="n">
        <v>17</v>
      </c>
      <c r="B44" s="238" t="inlineStr">
        <is>
          <t>01.7.15.14-0165</t>
        </is>
      </c>
      <c r="C44" s="237" t="inlineStr">
        <is>
          <t>Шурупы с полукруглой головкой 4х40 мм</t>
        </is>
      </c>
      <c r="D44" s="238" t="inlineStr">
        <is>
          <t>т</t>
        </is>
      </c>
      <c r="E44" s="317" t="n">
        <v>0.0031</v>
      </c>
      <c r="F44" s="240" t="n">
        <v>12430</v>
      </c>
      <c r="G44" s="26">
        <f>ROUND(E44*F44,2)</f>
        <v/>
      </c>
      <c r="H44" s="166">
        <f>G44/$G$54</f>
        <v/>
      </c>
      <c r="I44" s="26">
        <f>ROUND(F44*'Прил. 10'!$D$13,2)</f>
        <v/>
      </c>
      <c r="J44" s="26">
        <f>ROUND(I44*E44,2)</f>
        <v/>
      </c>
    </row>
    <row r="45" hidden="1" outlineLevel="1" ht="14.25" customFormat="1" customHeight="1" s="12">
      <c r="A45" s="238" t="n">
        <v>18</v>
      </c>
      <c r="B45" s="238" t="inlineStr">
        <is>
          <t>14.4.03.03-0002</t>
        </is>
      </c>
      <c r="C45" s="237" t="inlineStr">
        <is>
          <t>Лак битумный БТ-123</t>
        </is>
      </c>
      <c r="D45" s="238" t="inlineStr">
        <is>
          <t>т</t>
        </is>
      </c>
      <c r="E45" s="317" t="n">
        <v>0.00465</v>
      </c>
      <c r="F45" s="240" t="n">
        <v>7826.9</v>
      </c>
      <c r="G45" s="26">
        <f>ROUND(E45*F45,2)</f>
        <v/>
      </c>
      <c r="H45" s="166">
        <f>G45/$G$54</f>
        <v/>
      </c>
      <c r="I45" s="26">
        <f>ROUND(F45*'Прил. 10'!$D$13,2)</f>
        <v/>
      </c>
      <c r="J45" s="26">
        <f>ROUND(I45*E45,2)</f>
        <v/>
      </c>
    </row>
    <row r="46" hidden="1" outlineLevel="1" ht="14.25" customFormat="1" customHeight="1" s="12">
      <c r="A46" s="238" t="n">
        <v>19</v>
      </c>
      <c r="B46" s="238" t="inlineStr">
        <is>
          <t>20.1.02.23-0082</t>
        </is>
      </c>
      <c r="C46" s="237" t="inlineStr">
        <is>
          <t>Перемычки гибкие, тип ПГС-50</t>
        </is>
      </c>
      <c r="D46" s="238" t="inlineStr">
        <is>
          <t>10 шт</t>
        </is>
      </c>
      <c r="E46" s="317" t="n">
        <v>0.7</v>
      </c>
      <c r="F46" s="240" t="n">
        <v>39</v>
      </c>
      <c r="G46" s="26">
        <f>ROUND(E46*F46,2)</f>
        <v/>
      </c>
      <c r="H46" s="166">
        <f>G46/$G$54</f>
        <v/>
      </c>
      <c r="I46" s="26">
        <f>ROUND(F46*'Прил. 10'!$D$13,2)</f>
        <v/>
      </c>
      <c r="J46" s="26">
        <f>ROUND(I46*E46,2)</f>
        <v/>
      </c>
    </row>
    <row r="47" hidden="1" outlineLevel="1" ht="14.25" customFormat="1" customHeight="1" s="12">
      <c r="A47" s="238" t="n">
        <v>20</v>
      </c>
      <c r="B47" s="238" t="inlineStr">
        <is>
          <t>01.7.06.07-0002</t>
        </is>
      </c>
      <c r="C47" s="237" t="inlineStr">
        <is>
          <t>Лента монтажная, тип ЛМ-5</t>
        </is>
      </c>
      <c r="D47" s="238" t="inlineStr">
        <is>
          <t>10 м</t>
        </is>
      </c>
      <c r="E47" s="317" t="n">
        <v>3.073</v>
      </c>
      <c r="F47" s="240" t="n">
        <v>6.9</v>
      </c>
      <c r="G47" s="26">
        <f>ROUND(E47*F47,2)</f>
        <v/>
      </c>
      <c r="H47" s="166">
        <f>G47/$G$54</f>
        <v/>
      </c>
      <c r="I47" s="26">
        <f>ROUND(F47*'Прил. 10'!$D$13,2)</f>
        <v/>
      </c>
      <c r="J47" s="26">
        <f>ROUND(I47*E47,2)</f>
        <v/>
      </c>
    </row>
    <row r="48" hidden="1" outlineLevel="1" ht="14.25" customFormat="1" customHeight="1" s="12">
      <c r="A48" s="238" t="n">
        <v>21</v>
      </c>
      <c r="B48" s="238" t="inlineStr">
        <is>
          <t>24.3.01.01-0001</t>
        </is>
      </c>
      <c r="C48" s="237" t="inlineStr">
        <is>
          <t>Трубка ХВТ</t>
        </is>
      </c>
      <c r="D48" s="238" t="inlineStr">
        <is>
          <t>кг</t>
        </is>
      </c>
      <c r="E48" s="317" t="n">
        <v>0.49</v>
      </c>
      <c r="F48" s="240" t="n">
        <v>41.7</v>
      </c>
      <c r="G48" s="26">
        <f>ROUND(E48*F48,2)</f>
        <v/>
      </c>
      <c r="H48" s="166">
        <f>G48/$G$54</f>
        <v/>
      </c>
      <c r="I48" s="26">
        <f>ROUND(F48*'Прил. 10'!$D$13,2)</f>
        <v/>
      </c>
      <c r="J48" s="26">
        <f>ROUND(I48*E48,2)</f>
        <v/>
      </c>
    </row>
    <row r="49" hidden="1" outlineLevel="1" ht="25.5" customFormat="1" customHeight="1" s="12">
      <c r="A49" s="238" t="n">
        <v>22</v>
      </c>
      <c r="B49" s="238" t="inlineStr">
        <is>
          <t>01.7.11.07-0034</t>
        </is>
      </c>
      <c r="C49" s="237" t="inlineStr">
        <is>
          <t>Электроды сварочные Э42А, диаметр 4 мм</t>
        </is>
      </c>
      <c r="D49" s="238" t="inlineStr">
        <is>
          <t>кг</t>
        </is>
      </c>
      <c r="E49" s="317" t="n">
        <v>0.1</v>
      </c>
      <c r="F49" s="240" t="n">
        <v>10.57</v>
      </c>
      <c r="G49" s="26">
        <f>ROUND(E49*F49,2)</f>
        <v/>
      </c>
      <c r="H49" s="166">
        <f>G49/$G$54</f>
        <v/>
      </c>
      <c r="I49" s="26">
        <f>ROUND(F49*'Прил. 10'!$D$13,2)</f>
        <v/>
      </c>
      <c r="J49" s="26">
        <f>ROUND(I49*E49,2)</f>
        <v/>
      </c>
    </row>
    <row r="50" hidden="1" outlineLevel="1" ht="14.25" customFormat="1" customHeight="1" s="12">
      <c r="A50" s="238" t="n">
        <v>23</v>
      </c>
      <c r="B50" s="238" t="inlineStr">
        <is>
          <t>01.7.15.03-0042</t>
        </is>
      </c>
      <c r="C50" s="237" t="inlineStr">
        <is>
          <t>Болты с гайками и шайбами строительные</t>
        </is>
      </c>
      <c r="D50" s="238" t="inlineStr">
        <is>
          <t>кг</t>
        </is>
      </c>
      <c r="E50" s="317" t="n">
        <v>0.1</v>
      </c>
      <c r="F50" s="240" t="n">
        <v>9.039999999999999</v>
      </c>
      <c r="G50" s="26">
        <f>ROUND(E50*F50,2)</f>
        <v/>
      </c>
      <c r="H50" s="166">
        <f>G50/$G$54</f>
        <v/>
      </c>
      <c r="I50" s="26">
        <f>ROUND(F50*'Прил. 10'!$D$13,2)</f>
        <v/>
      </c>
      <c r="J50" s="26">
        <f>ROUND(I50*E50,2)</f>
        <v/>
      </c>
    </row>
    <row r="51" hidden="1" outlineLevel="1" ht="14.25" customFormat="1" customHeight="1" s="12">
      <c r="A51" s="238" t="n">
        <v>24</v>
      </c>
      <c r="B51" s="238" t="inlineStr">
        <is>
          <t>01.7.11.06-0006</t>
        </is>
      </c>
      <c r="C51" s="237" t="inlineStr">
        <is>
          <t>Флюс ВАМИ</t>
        </is>
      </c>
      <c r="D51" s="238" t="inlineStr">
        <is>
          <t>кг</t>
        </is>
      </c>
      <c r="E51" s="317" t="n">
        <v>0.049</v>
      </c>
      <c r="F51" s="240" t="n">
        <v>12.6</v>
      </c>
      <c r="G51" s="26">
        <f>ROUND(E51*F51,2)</f>
        <v/>
      </c>
      <c r="H51" s="166">
        <f>G51/$G$54</f>
        <v/>
      </c>
      <c r="I51" s="26">
        <f>ROUND(F51*'Прил. 10'!$D$13,2)</f>
        <v/>
      </c>
      <c r="J51" s="26">
        <f>ROUND(I51*E51,2)</f>
        <v/>
      </c>
    </row>
    <row r="52" hidden="1" outlineLevel="1" ht="14.25" customFormat="1" customHeight="1" s="12">
      <c r="A52" s="238" t="n">
        <v>25</v>
      </c>
      <c r="B52" s="238" t="inlineStr">
        <is>
          <t>14.4.02.09-0001</t>
        </is>
      </c>
      <c r="C52" s="237" t="inlineStr">
        <is>
          <t>Краска</t>
        </is>
      </c>
      <c r="D52" s="238" t="inlineStr">
        <is>
          <t>кг</t>
        </is>
      </c>
      <c r="E52" s="317" t="n">
        <v>0.02</v>
      </c>
      <c r="F52" s="240" t="n">
        <v>28.6</v>
      </c>
      <c r="G52" s="26">
        <f>ROUND(E52*F52,2)</f>
        <v/>
      </c>
      <c r="H52" s="166">
        <f>G52/$G$54</f>
        <v/>
      </c>
      <c r="I52" s="26">
        <f>ROUND(F52*'Прил. 10'!$D$13,2)</f>
        <v/>
      </c>
      <c r="J52" s="26">
        <f>ROUND(I52*E52,2)</f>
        <v/>
      </c>
    </row>
    <row r="53" collapsed="1" ht="14.25" customFormat="1" customHeight="1" s="12">
      <c r="A53" s="238" t="n"/>
      <c r="B53" s="238" t="n"/>
      <c r="C53" s="237" t="inlineStr">
        <is>
          <t>Итого прочие материалы</t>
        </is>
      </c>
      <c r="D53" s="238" t="n"/>
      <c r="E53" s="239" t="n"/>
      <c r="F53" s="240" t="n"/>
      <c r="G53" s="26">
        <f>SUM(G41:G52)</f>
        <v/>
      </c>
      <c r="H53" s="166">
        <f>G53/$G$54</f>
        <v/>
      </c>
      <c r="I53" s="26" t="n"/>
      <c r="J53" s="26">
        <f>SUM(J41:J52)</f>
        <v/>
      </c>
    </row>
    <row r="54" ht="14.25" customFormat="1" customHeight="1" s="12">
      <c r="A54" s="238" t="n"/>
      <c r="B54" s="238" t="n"/>
      <c r="C54" s="226" t="inlineStr">
        <is>
          <t>Итого по разделу «Материалы»</t>
        </is>
      </c>
      <c r="D54" s="238" t="n"/>
      <c r="E54" s="239" t="n"/>
      <c r="F54" s="240" t="n"/>
      <c r="G54" s="26">
        <f>G40+G53</f>
        <v/>
      </c>
      <c r="H54" s="241">
        <f>G54/$G$54</f>
        <v/>
      </c>
      <c r="I54" s="26" t="n"/>
      <c r="J54" s="26">
        <f>J40+J53</f>
        <v/>
      </c>
    </row>
    <row r="55" ht="14.25" customFormat="1" customHeight="1" s="12">
      <c r="A55" s="238" t="n"/>
      <c r="B55" s="238" t="n"/>
      <c r="C55" s="237" t="inlineStr">
        <is>
          <t>ИТОГО ПО РМ</t>
        </is>
      </c>
      <c r="D55" s="238" t="n"/>
      <c r="E55" s="239" t="n"/>
      <c r="F55" s="240" t="n"/>
      <c r="G55" s="26">
        <f>G14+G28+G54</f>
        <v/>
      </c>
      <c r="H55" s="241" t="n"/>
      <c r="I55" s="26" t="n"/>
      <c r="J55" s="26">
        <f>J14+J28+J54</f>
        <v/>
      </c>
    </row>
    <row r="56" ht="14.25" customFormat="1" customHeight="1" s="12">
      <c r="A56" s="238" t="n"/>
      <c r="B56" s="238" t="n"/>
      <c r="C56" s="237" t="inlineStr">
        <is>
          <t>Накладные расходы</t>
        </is>
      </c>
      <c r="D56" s="120">
        <f>ROUND(G56/(G$16+$G$14),2)</f>
        <v/>
      </c>
      <c r="E56" s="239" t="n"/>
      <c r="F56" s="240" t="n"/>
      <c r="G56" s="26" t="n">
        <v>1897.81</v>
      </c>
      <c r="H56" s="241" t="n"/>
      <c r="I56" s="26" t="n"/>
      <c r="J56" s="26">
        <f>ROUND(D56*(J14+J16),2)</f>
        <v/>
      </c>
    </row>
    <row r="57" ht="14.25" customFormat="1" customHeight="1" s="12">
      <c r="A57" s="238" t="n"/>
      <c r="B57" s="238" t="n"/>
      <c r="C57" s="237" t="inlineStr">
        <is>
          <t>Сметная прибыль</t>
        </is>
      </c>
      <c r="D57" s="120">
        <f>ROUND(G57/(G$14+G$16),2)</f>
        <v/>
      </c>
      <c r="E57" s="239" t="n"/>
      <c r="F57" s="240" t="n"/>
      <c r="G57" s="26" t="n">
        <v>997.8200000000001</v>
      </c>
      <c r="H57" s="241" t="n"/>
      <c r="I57" s="26" t="n"/>
      <c r="J57" s="26">
        <f>ROUND(D57*(J14+J16),2)</f>
        <v/>
      </c>
    </row>
    <row r="58" ht="14.25" customFormat="1" customHeight="1" s="12">
      <c r="A58" s="238" t="n"/>
      <c r="B58" s="238" t="n"/>
      <c r="C58" s="237" t="inlineStr">
        <is>
          <t>Итого СМР (с НР и СП)</t>
        </is>
      </c>
      <c r="D58" s="238" t="n"/>
      <c r="E58" s="239" t="n"/>
      <c r="F58" s="240" t="n"/>
      <c r="G58" s="26">
        <f>G14+G28+G54+G56+G57</f>
        <v/>
      </c>
      <c r="H58" s="241" t="n"/>
      <c r="I58" s="26" t="n"/>
      <c r="J58" s="26">
        <f>J14+J28+J54+J56+J57</f>
        <v/>
      </c>
    </row>
    <row r="59" ht="14.25" customFormat="1" customHeight="1" s="12">
      <c r="A59" s="238" t="n"/>
      <c r="B59" s="238" t="n"/>
      <c r="C59" s="237" t="inlineStr">
        <is>
          <t>ВСЕГО СМР + ОБОРУДОВАНИЕ</t>
        </is>
      </c>
      <c r="D59" s="238" t="n"/>
      <c r="E59" s="239" t="n"/>
      <c r="F59" s="240" t="n"/>
      <c r="G59" s="26">
        <f>G58+G34</f>
        <v/>
      </c>
      <c r="H59" s="241" t="n"/>
      <c r="I59" s="26" t="n"/>
      <c r="J59" s="26">
        <f>J58+J34</f>
        <v/>
      </c>
    </row>
    <row r="60" ht="34.5" customFormat="1" customHeight="1" s="12">
      <c r="A60" s="238" t="n"/>
      <c r="B60" s="238" t="n"/>
      <c r="C60" s="237" t="inlineStr">
        <is>
          <t>ИТОГО ПОКАЗАТЕЛЬ НА ЕД. ИЗМ.</t>
        </is>
      </c>
      <c r="D60" s="238" t="inlineStr">
        <is>
          <t>ед.</t>
        </is>
      </c>
      <c r="E60" s="323" t="n">
        <v>1</v>
      </c>
      <c r="F60" s="240" t="n"/>
      <c r="G60" s="26">
        <f>G59/E60</f>
        <v/>
      </c>
      <c r="H60" s="241" t="n"/>
      <c r="I60" s="26" t="n"/>
      <c r="J60" s="26">
        <f>J59/E60</f>
        <v/>
      </c>
    </row>
    <row r="62" ht="14.25" customFormat="1" customHeight="1" s="12">
      <c r="A62" s="4" t="inlineStr">
        <is>
          <t>Составил ______________________    Д.Ю. Нефедова</t>
        </is>
      </c>
    </row>
    <row r="63" ht="14.25" customFormat="1" customHeight="1" s="12">
      <c r="A63" s="113" t="inlineStr">
        <is>
          <t xml:space="preserve">                         (подпись, инициалы, фамилия)</t>
        </is>
      </c>
    </row>
    <row r="64" ht="14.25" customFormat="1" customHeight="1" s="12">
      <c r="A64" s="4" t="n"/>
    </row>
    <row r="65" ht="14.25" customFormat="1" customHeight="1" s="12">
      <c r="A65" s="4" t="inlineStr">
        <is>
          <t>Проверил ______________________        А.В. Костянецкая</t>
        </is>
      </c>
    </row>
    <row r="66" ht="14.25" customFormat="1" customHeight="1" s="12">
      <c r="A66" s="113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B36:H36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184" min="1" max="1"/>
    <col width="17.5703125" customWidth="1" style="184" min="2" max="2"/>
    <col width="39.140625" customWidth="1" style="184" min="3" max="3"/>
    <col width="10.7109375" customWidth="1" style="184" min="4" max="4"/>
    <col width="13.85546875" customWidth="1" style="184" min="5" max="5"/>
    <col width="13.28515625" customWidth="1" style="184" min="6" max="6"/>
    <col width="14.140625" customWidth="1" style="184" min="7" max="7"/>
  </cols>
  <sheetData>
    <row r="1">
      <c r="A1" s="251" t="inlineStr">
        <is>
          <t>Приложение №6</t>
        </is>
      </c>
    </row>
    <row r="2" ht="21.75" customHeight="1" s="184">
      <c r="A2" s="251" t="n"/>
      <c r="B2" s="251" t="n"/>
      <c r="C2" s="251" t="n"/>
      <c r="D2" s="251" t="n"/>
      <c r="E2" s="251" t="n"/>
      <c r="F2" s="251" t="n"/>
      <c r="G2" s="251" t="n"/>
    </row>
    <row r="3">
      <c r="A3" s="207" t="inlineStr">
        <is>
          <t>Расчет стоимости оборудования</t>
        </is>
      </c>
    </row>
    <row r="4" ht="27" customHeight="1" s="184">
      <c r="A4" s="210" t="inlineStr">
        <is>
          <t>Наименование разрабатываемого показателя УНЦ — Система мониторинга ЩСН 0,4 кВ с количеством отходящих линий до 24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84">
      <c r="A6" s="256" t="inlineStr">
        <is>
          <t>№ пп.</t>
        </is>
      </c>
      <c r="B6" s="256" t="inlineStr">
        <is>
          <t>Код ресурса</t>
        </is>
      </c>
      <c r="C6" s="256" t="inlineStr">
        <is>
          <t>Наименование</t>
        </is>
      </c>
      <c r="D6" s="256" t="inlineStr">
        <is>
          <t>Ед. изм.</t>
        </is>
      </c>
      <c r="E6" s="238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 s="184">
      <c r="A9" s="116" t="n"/>
      <c r="B9" s="237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 s="184">
      <c r="A10" s="238" t="n"/>
      <c r="B10" s="226" t="n"/>
      <c r="C10" s="237" t="inlineStr">
        <is>
          <t>ИТОГО ИНЖЕНЕРНОЕ ОБОРУДОВАНИЕ</t>
        </is>
      </c>
      <c r="D10" s="226" t="n"/>
      <c r="E10" s="118" t="n"/>
      <c r="F10" s="240" t="n"/>
      <c r="G10" s="240" t="n">
        <v>0</v>
      </c>
    </row>
    <row r="11">
      <c r="A11" s="238" t="n"/>
      <c r="B11" s="237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29.5" customHeight="1" s="184">
      <c r="A12" s="238" t="n">
        <v>1</v>
      </c>
      <c r="B12" s="237" t="inlineStr">
        <is>
          <t>БЦ.46.16</t>
        </is>
      </c>
      <c r="C12" s="237" t="inlineStr">
        <is>
          <t xml:space="preserve">Система мониторинга ЩСН в составе:
промышленный свободно программируемый контроллер с ОС Linux "MOXA" - 1шт; программируемый логический контроллер TWIDO - 1шт; модули дискретного ввода "ICP DAS", "Advantech", "MOXA" - 1шт; модули дискретного вывода "ICP DAS", "Advantech", "MOXA" - 1шт; цифровые электроизмерительные приборы "Электроприбор" - 1шт; модули осциллографирования дискретных и аналоговых величин "Beckhoff" - 1шт;  модули осциллографирования дискретных и аналоговых величин "Beckhoff" - 1шт; уcтройство защиты от импульсных перенапряжений и помех интерфейса RS­485 - 1шт </t>
        </is>
      </c>
      <c r="D12" s="238" t="inlineStr">
        <is>
          <t>1 шт.</t>
        </is>
      </c>
      <c r="E12" s="238" t="n">
        <v>1</v>
      </c>
      <c r="F12" s="238" t="n">
        <v>551118.21086262</v>
      </c>
      <c r="G12" s="240" t="n">
        <v>551118.21</v>
      </c>
    </row>
    <row r="13" ht="25.5" customHeight="1" s="184">
      <c r="A13" s="238" t="n"/>
      <c r="B13" s="237" t="n"/>
      <c r="C13" s="237" t="inlineStr">
        <is>
          <t>ИТОГО ТЕХНОЛОГИЧЕСКОЕ ОБОРУДОВАНИЕ</t>
        </is>
      </c>
      <c r="D13" s="237" t="n"/>
      <c r="E13" s="255" t="n"/>
      <c r="F13" s="240" t="n"/>
      <c r="G13" s="26">
        <f>SUM(G12:G12)</f>
        <v/>
      </c>
    </row>
    <row r="14" ht="19.5" customHeight="1" s="184">
      <c r="A14" s="238" t="n"/>
      <c r="B14" s="237" t="n"/>
      <c r="C14" s="237" t="inlineStr">
        <is>
          <t>Всего по разделу «Оборудование»</t>
        </is>
      </c>
      <c r="D14" s="237" t="n"/>
      <c r="E14" s="255" t="n"/>
      <c r="F14" s="240" t="n"/>
      <c r="G14" s="26">
        <f>G10+G13</f>
        <v/>
      </c>
    </row>
    <row r="15">
      <c r="A15" s="24" t="n"/>
      <c r="B15" s="119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4" t="n"/>
      <c r="E16" s="24" t="n"/>
      <c r="F16" s="24" t="n"/>
      <c r="G16" s="24" t="n"/>
    </row>
    <row r="17">
      <c r="A17" s="113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113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84" min="1" max="1"/>
    <col width="16.42578125" customWidth="1" style="184" min="2" max="2"/>
    <col width="37.140625" customWidth="1" style="184" min="3" max="3"/>
    <col width="49" customWidth="1" style="184" min="4" max="4"/>
    <col width="9.140625" customWidth="1" style="184" min="5" max="5"/>
  </cols>
  <sheetData>
    <row r="1" ht="15.75" customHeight="1" s="184">
      <c r="A1" s="186" t="n"/>
      <c r="B1" s="186" t="n"/>
      <c r="C1" s="186" t="n"/>
      <c r="D1" s="186" t="inlineStr">
        <is>
          <t>Приложение №7</t>
        </is>
      </c>
    </row>
    <row r="2" ht="15.75" customHeight="1" s="184">
      <c r="A2" s="186" t="n"/>
      <c r="B2" s="186" t="n"/>
      <c r="C2" s="186" t="n"/>
      <c r="D2" s="186" t="n"/>
    </row>
    <row r="3" ht="15.75" customHeight="1" s="184">
      <c r="A3" s="186" t="n"/>
      <c r="B3" s="152" t="inlineStr">
        <is>
          <t>Расчет показателя УНЦ</t>
        </is>
      </c>
      <c r="C3" s="186" t="n"/>
      <c r="D3" s="186" t="n"/>
    </row>
    <row r="4" ht="15.75" customHeight="1" s="184">
      <c r="A4" s="186" t="n"/>
      <c r="B4" s="186" t="n"/>
      <c r="C4" s="186" t="n"/>
      <c r="D4" s="186" t="n"/>
    </row>
    <row r="5" ht="31.5" customHeight="1" s="184">
      <c r="A5" s="257" t="inlineStr">
        <is>
          <t xml:space="preserve">Наименование разрабатываемого показателя УНЦ - </t>
        </is>
      </c>
      <c r="D5" s="257">
        <f>'Прил.5 Расчет СМР и ОБ'!D6:J6</f>
        <v/>
      </c>
    </row>
    <row r="6" ht="15.75" customHeight="1" s="184">
      <c r="A6" s="186" t="inlineStr">
        <is>
          <t>Единица измерения  — 1 ед</t>
        </is>
      </c>
      <c r="B6" s="186" t="n"/>
      <c r="C6" s="186" t="n"/>
      <c r="D6" s="186" t="n"/>
    </row>
    <row r="7" ht="15.75" customHeight="1" s="184">
      <c r="A7" s="186" t="n"/>
      <c r="B7" s="186" t="n"/>
      <c r="C7" s="186" t="n"/>
      <c r="D7" s="186" t="n"/>
    </row>
    <row r="8">
      <c r="A8" s="221" t="inlineStr">
        <is>
          <t>Код показателя</t>
        </is>
      </c>
      <c r="B8" s="221" t="inlineStr">
        <is>
          <t>Наименование показателя</t>
        </is>
      </c>
      <c r="C8" s="221" t="inlineStr">
        <is>
          <t>Наименование РМ, входящих в состав показателя</t>
        </is>
      </c>
      <c r="D8" s="221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 s="184">
      <c r="A10" s="221" t="n">
        <v>1</v>
      </c>
      <c r="B10" s="221" t="n">
        <v>2</v>
      </c>
      <c r="C10" s="221" t="n">
        <v>3</v>
      </c>
      <c r="D10" s="221" t="n">
        <v>4</v>
      </c>
    </row>
    <row r="11" ht="94.5" customHeight="1" s="184">
      <c r="A11" s="221" t="inlineStr">
        <is>
          <t>И13-13</t>
        </is>
      </c>
      <c r="B11" s="221" t="inlineStr">
        <is>
          <t xml:space="preserve">УНЦ системы оперативного постоянного тока и собственных нужд ПС </t>
        </is>
      </c>
      <c r="C11" s="182">
        <f>D5</f>
        <v/>
      </c>
      <c r="D11" s="190">
        <f>'Прил.4 РМ'!C41/1000</f>
        <v/>
      </c>
    </row>
    <row r="13">
      <c r="A13" s="4" t="inlineStr">
        <is>
          <t>Составил ______________________    Д.Ю. Нефедова</t>
        </is>
      </c>
      <c r="B13" s="12" t="n"/>
      <c r="C13" s="12" t="n"/>
      <c r="D13" s="24" t="n"/>
    </row>
    <row r="14">
      <c r="A14" s="113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3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:B27"/>
    </sheetView>
  </sheetViews>
  <sheetFormatPr baseColWidth="8" defaultRowHeight="15"/>
  <cols>
    <col width="9.140625" customWidth="1" style="184" min="1" max="1"/>
    <col width="40.7109375" customWidth="1" style="184" min="2" max="2"/>
    <col width="37.5703125" customWidth="1" style="184" min="3" max="3"/>
    <col width="32" customWidth="1" style="184" min="4" max="4"/>
    <col width="9.140625" customWidth="1" style="184" min="5" max="5"/>
  </cols>
  <sheetData>
    <row r="4" ht="15.75" customHeight="1" s="184">
      <c r="B4" s="214" t="inlineStr">
        <is>
          <t>Приложение № 10</t>
        </is>
      </c>
    </row>
    <row r="5" ht="18.75" customHeight="1" s="184">
      <c r="B5" s="105" t="n"/>
    </row>
    <row r="6" ht="15.75" customHeight="1" s="184">
      <c r="B6" s="215" t="inlineStr">
        <is>
          <t>Используемые индексы изменений сметной стоимости и нормы сопутствующих затрат</t>
        </is>
      </c>
    </row>
    <row r="7">
      <c r="B7" s="258" t="n"/>
    </row>
    <row r="8">
      <c r="B8" s="258" t="n"/>
      <c r="C8" s="258" t="n"/>
      <c r="D8" s="258" t="n"/>
      <c r="E8" s="258" t="n"/>
    </row>
    <row r="9" ht="47.25" customHeight="1" s="184">
      <c r="B9" s="221" t="inlineStr">
        <is>
          <t>Наименование индекса / норм сопутствующих затрат</t>
        </is>
      </c>
      <c r="C9" s="221" t="inlineStr">
        <is>
          <t>Дата применения и обоснование индекса / норм сопутствующих затрат</t>
        </is>
      </c>
      <c r="D9" s="221" t="inlineStr">
        <is>
          <t>Размер индекса / норма сопутствующих затрат</t>
        </is>
      </c>
    </row>
    <row r="10" ht="15.75" customHeight="1" s="184">
      <c r="B10" s="221" t="n">
        <v>1</v>
      </c>
      <c r="C10" s="221" t="n">
        <v>2</v>
      </c>
      <c r="D10" s="221" t="n">
        <v>3</v>
      </c>
    </row>
    <row r="11" ht="45" customHeight="1" s="184">
      <c r="B11" s="221" t="inlineStr">
        <is>
          <t xml:space="preserve">Индекс изменения сметной стоимости на 1 квартал 2023 года. ОЗП </t>
        </is>
      </c>
      <c r="C11" s="221" t="inlineStr">
        <is>
          <t>Письмо Минстроя России от 30.03.2023г. №17106-ИФ/09  прил.1</t>
        </is>
      </c>
      <c r="D11" s="221" t="n">
        <v>44.29</v>
      </c>
    </row>
    <row r="12" ht="29.25" customHeight="1" s="184">
      <c r="B12" s="221" t="inlineStr">
        <is>
          <t>Индекс изменения сметной стоимости на 1 квартал 2023 года. ЭМ</t>
        </is>
      </c>
      <c r="C12" s="221" t="inlineStr">
        <is>
          <t>Письмо Минстроя России от 30.03.2023г. №17106-ИФ/09  прил.1</t>
        </is>
      </c>
      <c r="D12" s="221" t="n">
        <v>13.47</v>
      </c>
    </row>
    <row r="13" ht="29.25" customHeight="1" s="184">
      <c r="B13" s="221" t="inlineStr">
        <is>
          <t>Индекс изменения сметной стоимости на 1 квартал 2023 года. МАТ</t>
        </is>
      </c>
      <c r="C13" s="221" t="inlineStr">
        <is>
          <t>Письмо Минстроя России от 30.03.2023г. №17106-ИФ/09  прил.1</t>
        </is>
      </c>
      <c r="D13" s="221" t="n">
        <v>8.039999999999999</v>
      </c>
    </row>
    <row r="14" ht="30.75" customHeight="1" s="184">
      <c r="B14" s="221" t="inlineStr">
        <is>
          <t>Индекс изменения сметной стоимости на 1 квартал 2023 года. ОБ</t>
        </is>
      </c>
      <c r="C14" s="141" t="inlineStr">
        <is>
          <t>Письмо Минстроя России от 23.02.2023г. №9791-ИФ/09 прил.6</t>
        </is>
      </c>
      <c r="D14" s="221" t="n">
        <v>6.26</v>
      </c>
    </row>
    <row r="15" ht="89.25" customHeight="1" s="184">
      <c r="B15" s="221" t="inlineStr">
        <is>
          <t>Временные здания и сооружения</t>
        </is>
      </c>
      <c r="C15" s="221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0.025</v>
      </c>
    </row>
    <row r="16" ht="78.75" customHeight="1" s="184">
      <c r="B16" s="221" t="inlineStr">
        <is>
          <t>Дополнительные затраты при производстве строительно-монтажных работ в зимнее время</t>
        </is>
      </c>
      <c r="C16" s="22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5" customHeight="1" s="184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108" t="n">
        <v>0.0214</v>
      </c>
    </row>
    <row r="18" ht="31.5" customHeight="1" s="184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108" t="n">
        <v>0.002</v>
      </c>
    </row>
    <row r="19" ht="24" customHeight="1" s="184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108" t="n">
        <v>0.03</v>
      </c>
    </row>
    <row r="20" ht="18.75" customHeight="1" s="184">
      <c r="B20" s="106" t="n"/>
    </row>
    <row r="21" ht="18.75" customHeight="1" s="184">
      <c r="B21" s="106" t="n"/>
    </row>
    <row r="22" ht="18.75" customHeight="1" s="184">
      <c r="B22" s="106" t="n"/>
    </row>
    <row r="23" ht="18.75" customHeight="1" s="184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5:F13"/>
    </sheetView>
  </sheetViews>
  <sheetFormatPr baseColWidth="8" defaultColWidth="9.140625" defaultRowHeight="15"/>
  <cols>
    <col width="44.85546875" customWidth="1" style="184" min="2" max="2"/>
    <col width="13" customWidth="1" style="184" min="3" max="3"/>
    <col width="22.85546875" customWidth="1" style="184" min="4" max="4"/>
    <col width="21.5703125" customWidth="1" style="184" min="5" max="5"/>
    <col width="43.85546875" customWidth="1" style="184" min="6" max="6"/>
  </cols>
  <sheetData>
    <row r="1" s="184"/>
    <row r="2" ht="17.25" customHeight="1" s="184">
      <c r="A2" s="215" t="inlineStr">
        <is>
          <t>Расчет размера средств на оплату труда рабочих-строителей в текущем уровне цен (ФОТр.тек.)</t>
        </is>
      </c>
    </row>
    <row r="3" s="184"/>
    <row r="4" ht="18" customHeight="1" s="184">
      <c r="A4" s="185" t="inlineStr">
        <is>
          <t>Составлен в уровне цен на 01.01.2023 г.</t>
        </is>
      </c>
      <c r="B4" s="186" t="n"/>
      <c r="C4" s="186" t="n"/>
      <c r="D4" s="186" t="n"/>
      <c r="E4" s="186" t="n"/>
      <c r="F4" s="186" t="n"/>
      <c r="G4" s="186" t="n"/>
    </row>
    <row r="5" ht="15.75" customHeight="1" s="184">
      <c r="A5" s="187" t="inlineStr">
        <is>
          <t>№ пп.</t>
        </is>
      </c>
      <c r="B5" s="187" t="inlineStr">
        <is>
          <t>Наименование элемента</t>
        </is>
      </c>
      <c r="C5" s="187" t="inlineStr">
        <is>
          <t>Обозначение</t>
        </is>
      </c>
      <c r="D5" s="187" t="inlineStr">
        <is>
          <t>Формула</t>
        </is>
      </c>
      <c r="E5" s="187" t="inlineStr">
        <is>
          <t>Величина элемента</t>
        </is>
      </c>
      <c r="F5" s="187" t="inlineStr">
        <is>
          <t>Наименования обосновывающих документов</t>
        </is>
      </c>
      <c r="G5" s="186" t="n"/>
    </row>
    <row r="6" ht="15.75" customHeight="1" s="184">
      <c r="A6" s="187" t="n">
        <v>1</v>
      </c>
      <c r="B6" s="187" t="n">
        <v>2</v>
      </c>
      <c r="C6" s="187" t="n">
        <v>3</v>
      </c>
      <c r="D6" s="187" t="n">
        <v>4</v>
      </c>
      <c r="E6" s="187" t="n">
        <v>5</v>
      </c>
      <c r="F6" s="187" t="n">
        <v>6</v>
      </c>
      <c r="G6" s="186" t="n"/>
    </row>
    <row r="7" ht="110.25" customHeight="1" s="184">
      <c r="A7" s="188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1" t="inlineStr">
        <is>
          <t>С1ср</t>
        </is>
      </c>
      <c r="D7" s="221" t="inlineStr">
        <is>
          <t>-</t>
        </is>
      </c>
      <c r="E7" s="189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6" t="n"/>
    </row>
    <row r="8" ht="31.5" customHeight="1" s="184">
      <c r="A8" s="188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21" t="inlineStr">
        <is>
          <t>tср</t>
        </is>
      </c>
      <c r="D8" s="221" t="inlineStr">
        <is>
          <t>1973ч/12мес.</t>
        </is>
      </c>
      <c r="E8" s="190">
        <f>1973/12</f>
        <v/>
      </c>
      <c r="F8" s="191" t="inlineStr">
        <is>
          <t>Производственный календарь 2023 год
(40-часов.неделя)</t>
        </is>
      </c>
      <c r="G8" s="193" t="n"/>
    </row>
    <row r="9" ht="15.75" customHeight="1" s="184">
      <c r="A9" s="188" t="inlineStr">
        <is>
          <t>1.3</t>
        </is>
      </c>
      <c r="B9" s="191" t="inlineStr">
        <is>
          <t>Коэффициент увеличения</t>
        </is>
      </c>
      <c r="C9" s="221" t="inlineStr">
        <is>
          <t>Кув</t>
        </is>
      </c>
      <c r="D9" s="221" t="inlineStr">
        <is>
          <t>-</t>
        </is>
      </c>
      <c r="E9" s="190" t="n">
        <v>1</v>
      </c>
      <c r="F9" s="191" t="n"/>
      <c r="G9" s="193" t="n"/>
    </row>
    <row r="10" ht="15.75" customHeight="1" s="184">
      <c r="A10" s="188" t="inlineStr">
        <is>
          <t>1.4</t>
        </is>
      </c>
      <c r="B10" s="191" t="inlineStr">
        <is>
          <t>Средний разряд работ</t>
        </is>
      </c>
      <c r="C10" s="221" t="n"/>
      <c r="D10" s="221" t="n"/>
      <c r="E10" s="324" t="n">
        <v>3.9</v>
      </c>
      <c r="F10" s="191" t="inlineStr">
        <is>
          <t>РТМ</t>
        </is>
      </c>
      <c r="G10" s="193" t="n"/>
    </row>
    <row r="11" ht="78.75" customHeight="1" s="184">
      <c r="A11" s="188" t="inlineStr">
        <is>
          <t>1.5</t>
        </is>
      </c>
      <c r="B11" s="191" t="inlineStr">
        <is>
          <t>Тарифный коэффициент среднего разряда работ</t>
        </is>
      </c>
      <c r="C11" s="221" t="inlineStr">
        <is>
          <t>КТ</t>
        </is>
      </c>
      <c r="D11" s="221" t="inlineStr">
        <is>
          <t>-</t>
        </is>
      </c>
      <c r="E11" s="325" t="n">
        <v>1.324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6" t="n"/>
    </row>
    <row r="12" ht="78.75" customHeight="1" s="184">
      <c r="A12" s="188" t="inlineStr">
        <is>
          <t>1.6</t>
        </is>
      </c>
      <c r="B12" s="196" t="inlineStr">
        <is>
          <t>Коэффициент инфляции, определяемый поквартально</t>
        </is>
      </c>
      <c r="C12" s="221" t="inlineStr">
        <is>
          <t>Кинф</t>
        </is>
      </c>
      <c r="D12" s="221" t="inlineStr">
        <is>
          <t>-</t>
        </is>
      </c>
      <c r="E12" s="326" t="n">
        <v>1.139</v>
      </c>
      <c r="F12" s="19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3" t="n"/>
    </row>
    <row r="13" ht="63" customHeight="1" s="184">
      <c r="A13" s="303" t="inlineStr">
        <is>
          <t>1.7</t>
        </is>
      </c>
      <c r="B13" s="304" t="inlineStr">
        <is>
          <t>Размер средств на оплату труда рабочих-строителей в текущем уровне цен (ФОТр.тек.), руб/чел.-ч</t>
        </is>
      </c>
      <c r="C13" s="305" t="inlineStr">
        <is>
          <t>ФОТр.тек.</t>
        </is>
      </c>
      <c r="D13" s="305" t="inlineStr">
        <is>
          <t>(С1ср/tср*КТ*Т*Кув)*Кинф</t>
        </is>
      </c>
      <c r="E13" s="306">
        <f>((E7*E9/E8)*E11)*E12</f>
        <v/>
      </c>
      <c r="F13" s="3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2025-01-24T12:01:47Z</dcterms:modified>
  <cp:lastModifiedBy>Nikolay Ivanov</cp:lastModifiedBy>
  <cp:lastPrinted>2023-11-30T12:48:23Z</cp:lastPrinted>
</cp:coreProperties>
</file>