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_xlnm.Print_Area" localSheetId="5">'Прил.6 Расчет ОБ'!$A$1:$G$23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'Прил.10'!$A$1:$D$31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0"/>
    <numFmt numFmtId="166" formatCode="0.0000"/>
    <numFmt numFmtId="167" formatCode="#,##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10" fontId="16" fillId="0" borderId="0" pivotButton="0" quotePrefix="0" xfId="0"/>
    <xf numFmtId="0" fontId="20" fillId="0" borderId="0" pivotButton="0" quotePrefix="0" xfId="0"/>
    <xf numFmtId="166" fontId="16" fillId="0" borderId="0" pivotButton="0" quotePrefix="0" xfId="0"/>
    <xf numFmtId="4" fontId="19" fillId="0" borderId="0" pivotButton="0" quotePrefix="0" xfId="0"/>
    <xf numFmtId="43" fontId="1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3" fontId="1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9" fillId="0" borderId="0" pivotButton="0" quotePrefix="0" xfId="0"/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8" fillId="0" borderId="0" pivotButton="0" quotePrefix="0" xfId="0"/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13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99" min="1" max="2"/>
    <col width="36.85546875" customWidth="1" style="299" min="3" max="3"/>
    <col width="73.140625" customWidth="1" style="299" min="4" max="4"/>
    <col hidden="1" width="36.5703125" customWidth="1" style="299" min="5" max="6"/>
    <col width="9.140625" customWidth="1" style="299" min="7" max="11"/>
    <col width="14.7109375" customWidth="1" style="299" min="12" max="12"/>
    <col width="17.7109375" customWidth="1" style="299" min="13" max="13"/>
    <col width="9.140625" customWidth="1" style="299" min="14" max="14"/>
  </cols>
  <sheetData>
    <row r="3">
      <c r="B3" s="324" t="inlineStr">
        <is>
          <t>Приложение № 1</t>
        </is>
      </c>
    </row>
    <row r="4">
      <c r="B4" s="325" t="inlineStr">
        <is>
          <t>Сравнительная таблица отбора объекта-представителя</t>
        </is>
      </c>
    </row>
    <row r="5">
      <c r="B5" s="166" t="n"/>
      <c r="C5" s="166" t="n"/>
      <c r="D5" s="166" t="n"/>
      <c r="E5" s="166" t="n"/>
      <c r="F5" s="166" t="n"/>
    </row>
    <row r="6">
      <c r="B6" s="166" t="n"/>
      <c r="C6" s="166" t="n"/>
      <c r="D6" s="166" t="n"/>
      <c r="E6" s="166" t="n"/>
      <c r="F6" s="166" t="n"/>
    </row>
    <row r="7" ht="48.75" customHeight="1" s="297">
      <c r="B7" s="326" t="inlineStr">
        <is>
          <t>Наименование разрабатываемого показателя УНЦ — Сети связи. УПАТС для ПС 220-750 кВ</t>
        </is>
      </c>
    </row>
    <row r="8" ht="31.5" customHeight="1" s="297">
      <c r="B8" s="326" t="inlineStr">
        <is>
          <t>Сопоставимый уровень цен: 2 кв 2019</t>
        </is>
      </c>
    </row>
    <row r="9">
      <c r="B9" s="326" t="inlineStr">
        <is>
          <t>Единица измерения  — 1 компл.</t>
        </is>
      </c>
    </row>
    <row r="10">
      <c r="B10" s="326" t="n"/>
    </row>
    <row r="11">
      <c r="B11" s="329" t="inlineStr">
        <is>
          <t>№ п/п</t>
        </is>
      </c>
      <c r="C11" s="329" t="inlineStr">
        <is>
          <t>Параметр</t>
        </is>
      </c>
      <c r="D11" s="311" t="inlineStr">
        <is>
          <t>Объект-представитель 1</t>
        </is>
      </c>
      <c r="E11" s="311" t="n"/>
      <c r="F11" s="311" t="n"/>
    </row>
    <row r="12" ht="47.25" customHeight="1" s="297">
      <c r="B12" s="329" t="n">
        <v>1</v>
      </c>
      <c r="C12" s="311" t="inlineStr">
        <is>
          <t>Наименование объекта-представителя</t>
        </is>
      </c>
      <c r="D12" s="329" t="inlineStr">
        <is>
          <t>"ВЛ 220 кВ Пеледуй - Сухой Лог, ВЛ 220 кВ Мамакан - Сухой Лог с ПС 220 кВ Сухой Лог". 3 этап. Строительство ВЛ 220 кВ Мамакан - Сухой Лог I и II цепь</t>
        </is>
      </c>
      <c r="E12" s="311" t="n"/>
      <c r="F12" s="311" t="n"/>
    </row>
    <row r="13" ht="31.5" customHeight="1" s="297">
      <c r="B13" s="329" t="n">
        <v>2</v>
      </c>
      <c r="C13" s="311" t="inlineStr">
        <is>
          <t>Наименование субъекта Российской Федерации</t>
        </is>
      </c>
      <c r="D13" s="329" t="inlineStr">
        <is>
          <t>Иркутская область</t>
        </is>
      </c>
      <c r="E13" s="311" t="n"/>
      <c r="F13" s="311" t="n"/>
    </row>
    <row r="14">
      <c r="B14" s="329" t="n">
        <v>3</v>
      </c>
      <c r="C14" s="311" t="inlineStr">
        <is>
          <t>Климатический район и подрайон</t>
        </is>
      </c>
      <c r="D14" s="329" t="inlineStr">
        <is>
          <t>IД</t>
        </is>
      </c>
      <c r="E14" s="311" t="n"/>
      <c r="F14" s="311" t="n"/>
    </row>
    <row r="15">
      <c r="B15" s="329" t="n">
        <v>4</v>
      </c>
      <c r="C15" s="311" t="inlineStr">
        <is>
          <t>Мощность объекта</t>
        </is>
      </c>
      <c r="D15" s="329" t="n">
        <v>1</v>
      </c>
      <c r="E15" s="306" t="n"/>
      <c r="F15" s="306" t="n"/>
    </row>
    <row r="16" ht="409.5" customHeight="1" s="297">
      <c r="B16" s="329" t="n">
        <v>5</v>
      </c>
      <c r="C16" s="16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9" t="inlineStr">
        <is>
      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      </is>
      </c>
      <c r="E16" s="311" t="n"/>
      <c r="F16" s="311" t="n"/>
    </row>
    <row r="17" ht="78.75" customHeight="1" s="297">
      <c r="B17" s="329" t="n">
        <v>6</v>
      </c>
      <c r="C17" s="16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SUM(D18:D21)</f>
        <v/>
      </c>
      <c r="E17" s="170" t="n"/>
      <c r="F17" s="170" t="n"/>
    </row>
    <row r="18">
      <c r="B18" s="171" t="inlineStr">
        <is>
          <t>6.1</t>
        </is>
      </c>
      <c r="C18" s="311" t="inlineStr">
        <is>
          <t>строительно-монтажные работы</t>
        </is>
      </c>
      <c r="D18" s="170" t="n">
        <v>82.51057</v>
      </c>
      <c r="E18" s="170" t="n"/>
      <c r="F18" s="170" t="n"/>
    </row>
    <row r="19" ht="15.75" customHeight="1" s="297">
      <c r="B19" s="171" t="inlineStr">
        <is>
          <t>6.2</t>
        </is>
      </c>
      <c r="C19" s="311" t="inlineStr">
        <is>
          <t>оборудование и инвентарь</t>
        </is>
      </c>
      <c r="D19" s="170" t="n">
        <v>8690.294400000001</v>
      </c>
      <c r="E19" s="170" t="n"/>
      <c r="F19" s="170" t="n"/>
    </row>
    <row r="20" ht="16.5" customHeight="1" s="297">
      <c r="B20" s="171" t="inlineStr">
        <is>
          <t>6.3</t>
        </is>
      </c>
      <c r="C20" s="311" t="inlineStr">
        <is>
          <t>пусконаладочные работы</t>
        </is>
      </c>
      <c r="D20" s="170" t="n">
        <v>0</v>
      </c>
      <c r="E20" s="170" t="n"/>
      <c r="F20" s="170" t="n"/>
      <c r="L20" s="408" t="n"/>
    </row>
    <row r="21" ht="35.25" customHeight="1" s="297">
      <c r="B21" s="171" t="inlineStr">
        <is>
          <t>6.4</t>
        </is>
      </c>
      <c r="C21" s="172" t="inlineStr">
        <is>
          <t>прочие и лимитированные затраты</t>
        </is>
      </c>
      <c r="D21" s="170">
        <f>D18*3.9%+(D18+D18*3.9%)*7%*0.9</f>
        <v/>
      </c>
      <c r="E21" s="170" t="n"/>
      <c r="F21" s="170" t="n"/>
    </row>
    <row r="22">
      <c r="B22" s="329" t="n">
        <v>7</v>
      </c>
      <c r="C22" s="172" t="inlineStr">
        <is>
          <t>Сопоставимый уровень цен</t>
        </is>
      </c>
      <c r="D22" s="329" t="inlineStr">
        <is>
          <t>2 кв 2019</t>
        </is>
      </c>
      <c r="E22" s="329" t="n"/>
      <c r="F22" s="170" t="n"/>
      <c r="G22" s="231" t="n"/>
    </row>
    <row r="23" ht="123" customHeight="1" s="297">
      <c r="B23" s="329" t="n">
        <v>8</v>
      </c>
      <c r="C23" s="17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70" t="n"/>
      <c r="F23" s="409" t="n"/>
    </row>
    <row r="24" ht="60.75" customHeight="1" s="297">
      <c r="B24" s="329" t="n">
        <v>9</v>
      </c>
      <c r="C24" s="169" t="inlineStr">
        <is>
          <t>Приведенная сметная стоимость на единицу мощности, тыс. руб. (строка 8/строку 4)</t>
        </is>
      </c>
      <c r="D24" s="170">
        <f>D23/D15</f>
        <v/>
      </c>
      <c r="E24" s="170" t="n"/>
      <c r="F24" s="170" t="n"/>
    </row>
    <row r="25" ht="71.25" customHeight="1" s="297">
      <c r="B25" s="329" t="n">
        <v>10</v>
      </c>
      <c r="C25" s="311" t="inlineStr">
        <is>
          <t>Примечание</t>
        </is>
      </c>
      <c r="D25" s="311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компл.</t>
        </is>
      </c>
      <c r="E25" s="311" t="n"/>
      <c r="F25" s="311" t="n"/>
    </row>
    <row r="26">
      <c r="B26" s="175" t="n"/>
      <c r="C26" s="176" t="n"/>
      <c r="D26" s="176" t="n"/>
      <c r="E26" s="176" t="n"/>
      <c r="F26" s="176" t="n"/>
    </row>
    <row r="27" ht="37.5" customHeight="1" s="297">
      <c r="B27" s="177" t="n"/>
    </row>
    <row r="28">
      <c r="B28" s="299" t="inlineStr">
        <is>
          <t>Составил ______________________        Д.Ю. Нефедова</t>
        </is>
      </c>
    </row>
    <row r="29">
      <c r="B29" s="177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177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J41"/>
  <sheetViews>
    <sheetView view="pageBreakPreview" topLeftCell="A9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299" min="1" max="1"/>
    <col width="9.140625" customWidth="1" style="299" min="2" max="2"/>
    <col width="74.140625" customWidth="1" style="299" min="3" max="3"/>
    <col width="13.85546875" customWidth="1" style="299" min="4" max="4"/>
    <col width="24.85546875" customWidth="1" style="299" min="5" max="5"/>
    <col width="15.5703125" customWidth="1" style="299" min="6" max="6"/>
    <col width="14.85546875" customWidth="1" style="299" min="7" max="7"/>
    <col width="16.7109375" customWidth="1" style="299" min="8" max="8"/>
    <col width="13" customWidth="1" style="299" min="9" max="10"/>
    <col width="9.140625" customWidth="1" style="299" min="11" max="11"/>
  </cols>
  <sheetData>
    <row r="3">
      <c r="B3" s="324" t="inlineStr">
        <is>
          <t>Приложение № 2</t>
        </is>
      </c>
    </row>
    <row r="4">
      <c r="B4" s="325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30" customHeight="1" s="297">
      <c r="B6" s="328" t="inlineStr">
        <is>
          <t>Наименование разрабатываемого показателя УНЦ — Сети связи. УПАТС для ПС 220-750 кВ</t>
        </is>
      </c>
    </row>
    <row r="7">
      <c r="B7" s="326" t="inlineStr">
        <is>
          <t>Единица измерения  — 1 компл.</t>
        </is>
      </c>
    </row>
    <row r="8">
      <c r="B8" s="326" t="n"/>
    </row>
    <row r="9" ht="15.75" customHeight="1" s="297">
      <c r="B9" s="329" t="inlineStr">
        <is>
          <t>№ п/п</t>
        </is>
      </c>
      <c r="C9" s="3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9" t="inlineStr">
        <is>
          <t>Объект-представитель 1</t>
        </is>
      </c>
      <c r="E9" s="410" t="n"/>
      <c r="F9" s="410" t="n"/>
      <c r="G9" s="410" t="n"/>
      <c r="H9" s="410" t="n"/>
      <c r="I9" s="410" t="n"/>
      <c r="J9" s="411" t="n"/>
    </row>
    <row r="10" ht="15.75" customHeight="1" s="297">
      <c r="B10" s="412" t="n"/>
      <c r="C10" s="412" t="n"/>
      <c r="D10" s="329" t="inlineStr">
        <is>
          <t>Номер сметы</t>
        </is>
      </c>
      <c r="E10" s="329" t="inlineStr">
        <is>
          <t>Наименование сметы</t>
        </is>
      </c>
      <c r="F10" s="329" t="inlineStr">
        <is>
          <t>Сметная стоимость в уровне цен 2 кв. 2019 г., тыс. руб.</t>
        </is>
      </c>
      <c r="G10" s="410" t="n"/>
      <c r="H10" s="410" t="n"/>
      <c r="I10" s="410" t="n"/>
      <c r="J10" s="411" t="n"/>
    </row>
    <row r="11" ht="31.5" customHeight="1" s="297">
      <c r="B11" s="413" t="n"/>
      <c r="C11" s="413" t="n"/>
      <c r="D11" s="413" t="n"/>
      <c r="E11" s="413" t="n"/>
      <c r="F11" s="329" t="inlineStr">
        <is>
          <t>Строительные работы</t>
        </is>
      </c>
      <c r="G11" s="329" t="inlineStr">
        <is>
          <t>Монтажные работы</t>
        </is>
      </c>
      <c r="H11" s="329" t="inlineStr">
        <is>
          <t>Оборудование</t>
        </is>
      </c>
      <c r="I11" s="329" t="inlineStr">
        <is>
          <t>Прочее</t>
        </is>
      </c>
      <c r="J11" s="329" t="inlineStr">
        <is>
          <t>Всего</t>
        </is>
      </c>
    </row>
    <row r="12" ht="409.5" customHeight="1" s="297">
      <c r="B12" s="178" t="n">
        <v>1</v>
      </c>
      <c r="C12" s="272" t="inlineStr">
        <is>
      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      </is>
      </c>
      <c r="D12" s="273" t="inlineStr">
        <is>
          <t>05-04-08</t>
        </is>
      </c>
      <c r="E12" s="311" t="inlineStr">
        <is>
          <t>Оборудование УПАТС. Внутриобъектная связь</t>
        </is>
      </c>
      <c r="F12" s="275" t="n"/>
      <c r="G12" s="275" t="n">
        <v>82.51057</v>
      </c>
      <c r="H12" s="275" t="n">
        <v>8690.294400000001</v>
      </c>
      <c r="I12" s="276" t="n"/>
      <c r="J12" s="277">
        <f>SUM(F12:I12)</f>
        <v/>
      </c>
    </row>
    <row r="13" ht="15.75" customHeight="1" s="297">
      <c r="B13" s="327" t="inlineStr">
        <is>
          <t>Всего по объекту:</t>
        </is>
      </c>
      <c r="C13" s="410" t="n"/>
      <c r="D13" s="410" t="n"/>
      <c r="E13" s="411" t="n"/>
      <c r="F13" s="278">
        <f>SUM(F12:F12)</f>
        <v/>
      </c>
      <c r="G13" s="278">
        <f>SUM(G12:G12)</f>
        <v/>
      </c>
      <c r="H13" s="278">
        <f>SUM(H12:H12)</f>
        <v/>
      </c>
      <c r="I13" s="315" t="n"/>
      <c r="J13" s="280">
        <f>SUM(F13:I13)</f>
        <v/>
      </c>
    </row>
    <row r="14" ht="28.5" customHeight="1" s="297">
      <c r="B14" s="327" t="inlineStr">
        <is>
          <t>Всего по объекту в сопоставимом уровне цен 2 кв. 2019 г:</t>
        </is>
      </c>
      <c r="C14" s="410" t="n"/>
      <c r="D14" s="410" t="n"/>
      <c r="E14" s="411" t="n"/>
      <c r="F14" s="278">
        <f>F13</f>
        <v/>
      </c>
      <c r="G14" s="278">
        <f>G13</f>
        <v/>
      </c>
      <c r="H14" s="278">
        <f>H13</f>
        <v/>
      </c>
      <c r="I14" s="315" t="n"/>
      <c r="J14" s="280">
        <f>SUM(F14:I14)</f>
        <v/>
      </c>
    </row>
    <row r="15">
      <c r="B15" s="326" t="n"/>
    </row>
    <row r="18">
      <c r="B18" s="335" t="inlineStr">
        <is>
          <t>*</t>
        </is>
      </c>
      <c r="C18" s="299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99" t="inlineStr">
        <is>
          <t>Составил ______________________        Д.Ю. Нефедова</t>
        </is>
      </c>
    </row>
    <row r="23">
      <c r="B23" s="177" t="inlineStr">
        <is>
          <t xml:space="preserve">                         (подпись, инициалы, фамилия)</t>
        </is>
      </c>
    </row>
    <row r="25">
      <c r="B25" s="299" t="inlineStr">
        <is>
          <t>Проверил ______________________        А.В. Костянецкая</t>
        </is>
      </c>
    </row>
    <row r="26">
      <c r="B26" s="177" t="inlineStr">
        <is>
          <t xml:space="preserve">                        (подпись, инициалы, фамилия)</t>
        </is>
      </c>
    </row>
    <row r="28">
      <c r="G28" s="408" t="n"/>
      <c r="H28" s="408" t="n"/>
      <c r="I28" s="408" t="n"/>
      <c r="J28" s="414" t="n"/>
    </row>
    <row r="41">
      <c r="I41" s="41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4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3"/>
  <sheetViews>
    <sheetView view="pageBreakPreview" topLeftCell="A49" zoomScale="85" workbookViewId="0">
      <selection activeCell="C59" sqref="C59"/>
    </sheetView>
  </sheetViews>
  <sheetFormatPr baseColWidth="8" defaultColWidth="9.140625" defaultRowHeight="15.75"/>
  <cols>
    <col width="9.140625" customWidth="1" style="299" min="1" max="1"/>
    <col width="12.5703125" customWidth="1" style="299" min="2" max="2"/>
    <col width="22.42578125" customWidth="1" style="299" min="3" max="3"/>
    <col width="49.7109375" customWidth="1" style="299" min="4" max="4"/>
    <col width="10.140625" customWidth="1" style="220" min="5" max="5"/>
    <col width="20.7109375" customWidth="1" style="299" min="6" max="6"/>
    <col width="16.140625" customWidth="1" style="299" min="7" max="7"/>
    <col width="16.7109375" customWidth="1" style="299" min="8" max="8"/>
    <col width="9.140625" customWidth="1" style="299" min="9" max="9"/>
    <col width="10.140625" customWidth="1" style="299" min="10" max="10"/>
    <col width="14" customWidth="1" style="299" min="11" max="11"/>
    <col width="9.140625" customWidth="1" style="299" min="12" max="12"/>
  </cols>
  <sheetData>
    <row r="2">
      <c r="A2" s="324" t="inlineStr">
        <is>
          <t xml:space="preserve">Приложение № 3 </t>
        </is>
      </c>
    </row>
    <row r="3">
      <c r="A3" s="325" t="inlineStr">
        <is>
          <t>Объектная ресурсная ведомость</t>
        </is>
      </c>
    </row>
    <row r="4">
      <c r="A4" s="326" t="n"/>
    </row>
    <row r="5" ht="41.25" customHeight="1" s="297">
      <c r="A5" s="328" t="inlineStr">
        <is>
          <t>Наименование разрабатываемого показателя УНЦ - Сети связи. УПАТС для ПС 220-750 кВ</t>
        </is>
      </c>
    </row>
    <row r="6" s="297">
      <c r="A6" s="221" t="n"/>
      <c r="B6" s="221" t="n"/>
      <c r="C6" s="221" t="n"/>
      <c r="D6" s="221" t="n"/>
      <c r="E6" s="166" t="n"/>
      <c r="F6" s="221" t="n"/>
      <c r="G6" s="221" t="n"/>
      <c r="H6" s="221" t="n"/>
      <c r="I6" s="299" t="n"/>
      <c r="J6" s="299" t="n"/>
      <c r="K6" s="299" t="n"/>
      <c r="L6" s="299" t="n"/>
    </row>
    <row r="7" s="297">
      <c r="A7" s="221" t="n"/>
      <c r="B7" s="221" t="n"/>
      <c r="C7" s="221" t="n"/>
      <c r="D7" s="221" t="n"/>
      <c r="E7" s="166" t="n"/>
      <c r="F7" s="221" t="n"/>
      <c r="G7" s="221" t="n"/>
      <c r="H7" s="221" t="n"/>
      <c r="I7" s="299" t="n"/>
      <c r="J7" s="299" t="n"/>
      <c r="K7" s="299" t="n"/>
      <c r="L7" s="299" t="n"/>
    </row>
    <row r="8">
      <c r="A8" s="221" t="n"/>
      <c r="B8" s="221" t="n"/>
      <c r="C8" s="221" t="n"/>
      <c r="D8" s="221" t="n"/>
      <c r="E8" s="166" t="n"/>
      <c r="F8" s="221" t="n"/>
      <c r="G8" s="221" t="n"/>
      <c r="H8" s="221" t="n"/>
    </row>
    <row r="9" ht="38.25" customHeight="1" s="297">
      <c r="A9" s="329" t="inlineStr">
        <is>
          <t>п/п</t>
        </is>
      </c>
      <c r="B9" s="329" t="inlineStr">
        <is>
          <t>№ЛСР</t>
        </is>
      </c>
      <c r="C9" s="329" t="inlineStr">
        <is>
          <t>Код ресурса</t>
        </is>
      </c>
      <c r="D9" s="329" t="inlineStr">
        <is>
          <t>Наименование ресурса</t>
        </is>
      </c>
      <c r="E9" s="329" t="inlineStr">
        <is>
          <t>Ед. изм.</t>
        </is>
      </c>
      <c r="F9" s="329" t="inlineStr">
        <is>
          <t>Кол-во единиц по данным объекта-представителя</t>
        </is>
      </c>
      <c r="G9" s="329" t="inlineStr">
        <is>
          <t>Сметная стоимость в ценах на 01.01.2000 (руб.)</t>
        </is>
      </c>
      <c r="H9" s="411" t="n"/>
    </row>
    <row r="10" ht="40.5" customHeight="1" s="297">
      <c r="A10" s="413" t="n"/>
      <c r="B10" s="413" t="n"/>
      <c r="C10" s="413" t="n"/>
      <c r="D10" s="413" t="n"/>
      <c r="E10" s="413" t="n"/>
      <c r="F10" s="413" t="n"/>
      <c r="G10" s="329" t="inlineStr">
        <is>
          <t>на ед.изм.</t>
        </is>
      </c>
      <c r="H10" s="329" t="inlineStr">
        <is>
          <t>общая</t>
        </is>
      </c>
    </row>
    <row r="11">
      <c r="A11" s="272" t="n">
        <v>1</v>
      </c>
      <c r="B11" s="272" t="n"/>
      <c r="C11" s="272" t="n">
        <v>2</v>
      </c>
      <c r="D11" s="272" t="inlineStr">
        <is>
          <t>З</t>
        </is>
      </c>
      <c r="E11" s="272" t="n">
        <v>4</v>
      </c>
      <c r="F11" s="272" t="n">
        <v>5</v>
      </c>
      <c r="G11" s="272" t="n">
        <v>6</v>
      </c>
      <c r="H11" s="272" t="n">
        <v>7</v>
      </c>
    </row>
    <row r="12" customFormat="1" s="288">
      <c r="A12" s="330" t="inlineStr">
        <is>
          <t>Затраты труда рабочих</t>
        </is>
      </c>
      <c r="B12" s="410" t="n"/>
      <c r="C12" s="410" t="n"/>
      <c r="D12" s="410" t="n"/>
      <c r="E12" s="411" t="n"/>
      <c r="F12" s="223" t="n">
        <v>405.828</v>
      </c>
      <c r="G12" s="223" t="n"/>
      <c r="H12" s="223">
        <f>SUM(H13:H18)</f>
        <v/>
      </c>
      <c r="I12" s="299" t="n"/>
      <c r="J12" s="299" t="n"/>
      <c r="K12" s="299" t="n"/>
    </row>
    <row r="13">
      <c r="A13" s="331" t="n">
        <v>1</v>
      </c>
      <c r="B13" s="226" t="inlineStr">
        <is>
          <t> </t>
        </is>
      </c>
      <c r="C13" s="227" t="inlineStr">
        <is>
          <t>1-5-0</t>
        </is>
      </c>
      <c r="D13" s="332" t="inlineStr">
        <is>
          <t>Затраты труда рабочих (ср 5)</t>
        </is>
      </c>
      <c r="E13" s="229" t="inlineStr">
        <is>
          <t>чел.-ч</t>
        </is>
      </c>
      <c r="F13" s="331" t="n">
        <v>203</v>
      </c>
      <c r="G13" s="179" t="n">
        <v>11.09</v>
      </c>
      <c r="H13" s="179">
        <f>ROUND(F13*G13,2)</f>
        <v/>
      </c>
      <c r="L13" s="233" t="n"/>
    </row>
    <row r="14">
      <c r="A14" s="331" t="n">
        <v>2</v>
      </c>
      <c r="B14" s="226" t="inlineStr">
        <is>
          <t> </t>
        </is>
      </c>
      <c r="C14" s="227" t="inlineStr">
        <is>
          <t>1-3-0</t>
        </is>
      </c>
      <c r="D14" s="332" t="inlineStr">
        <is>
          <t>Затраты труда рабочих (ср 3)</t>
        </is>
      </c>
      <c r="E14" s="229" t="inlineStr">
        <is>
          <t>чел.-ч</t>
        </is>
      </c>
      <c r="F14" s="331" t="n">
        <v>155.26</v>
      </c>
      <c r="G14" s="179" t="n">
        <v>8.529999999999999</v>
      </c>
      <c r="H14" s="179">
        <f>ROUND(F14*G14,2)</f>
        <v/>
      </c>
      <c r="L14" s="233" t="n"/>
    </row>
    <row r="15">
      <c r="A15" s="331" t="n">
        <v>3</v>
      </c>
      <c r="B15" s="226" t="inlineStr">
        <is>
          <t> </t>
        </is>
      </c>
      <c r="C15" s="227" t="inlineStr">
        <is>
          <t>1-4-0</t>
        </is>
      </c>
      <c r="D15" s="332" t="inlineStr">
        <is>
          <t>Затраты труда рабочих (ср 4)</t>
        </is>
      </c>
      <c r="E15" s="229" t="inlineStr">
        <is>
          <t>чел.-ч</t>
        </is>
      </c>
      <c r="F15" s="331" t="n">
        <v>34.56</v>
      </c>
      <c r="G15" s="179" t="n">
        <v>9.619999999999999</v>
      </c>
      <c r="H15" s="179">
        <f>ROUND(F15*G15,2)</f>
        <v/>
      </c>
      <c r="L15" s="233" t="n"/>
    </row>
    <row r="16">
      <c r="A16" s="331" t="n">
        <v>4</v>
      </c>
      <c r="B16" s="226" t="inlineStr">
        <is>
          <t> </t>
        </is>
      </c>
      <c r="C16" s="227" t="inlineStr">
        <is>
          <t>1-3-8</t>
        </is>
      </c>
      <c r="D16" s="332" t="inlineStr">
        <is>
          <t>Затраты труда рабочих (ср 3,8)</t>
        </is>
      </c>
      <c r="E16" s="229" t="inlineStr">
        <is>
          <t>чел.-ч</t>
        </is>
      </c>
      <c r="F16" s="331" t="n">
        <v>11.858</v>
      </c>
      <c r="G16" s="179" t="n">
        <v>9.4</v>
      </c>
      <c r="H16" s="179">
        <f>ROUND(F16*G16,2)</f>
        <v/>
      </c>
      <c r="L16" s="233" t="n"/>
    </row>
    <row r="17">
      <c r="A17" s="331" t="n">
        <v>5</v>
      </c>
      <c r="B17" s="226" t="inlineStr">
        <is>
          <t> </t>
        </is>
      </c>
      <c r="C17" s="227" t="inlineStr">
        <is>
          <t>1-3-1</t>
        </is>
      </c>
      <c r="D17" s="332" t="inlineStr">
        <is>
          <t>Затраты труда рабочих (ср 3,1)</t>
        </is>
      </c>
      <c r="E17" s="229" t="inlineStr">
        <is>
          <t>чел.-ч</t>
        </is>
      </c>
      <c r="F17" s="331" t="n">
        <v>1.03</v>
      </c>
      <c r="G17" s="179" t="n">
        <v>8.640000000000001</v>
      </c>
      <c r="H17" s="179">
        <f>ROUND(F17*G17,2)</f>
        <v/>
      </c>
      <c r="L17" s="233" t="n"/>
    </row>
    <row r="18">
      <c r="A18" s="331" t="n">
        <v>6</v>
      </c>
      <c r="B18" s="226" t="inlineStr">
        <is>
          <t> </t>
        </is>
      </c>
      <c r="C18" s="227" t="inlineStr">
        <is>
          <t>1-3-5</t>
        </is>
      </c>
      <c r="D18" s="332" t="inlineStr">
        <is>
          <t>Затраты труда рабочих (ср 3,5)</t>
        </is>
      </c>
      <c r="E18" s="229" t="inlineStr">
        <is>
          <t>чел.-ч</t>
        </is>
      </c>
      <c r="F18" s="331" t="n">
        <v>0.12</v>
      </c>
      <c r="G18" s="179" t="n">
        <v>9.07</v>
      </c>
      <c r="H18" s="179">
        <f>ROUND(F18*G18,2)</f>
        <v/>
      </c>
      <c r="L18" s="233" t="n"/>
    </row>
    <row r="19">
      <c r="A19" s="330" t="inlineStr">
        <is>
          <t>Затраты труда машинистов</t>
        </is>
      </c>
      <c r="B19" s="410" t="n"/>
      <c r="C19" s="410" t="n"/>
      <c r="D19" s="410" t="n"/>
      <c r="E19" s="411" t="n"/>
      <c r="F19" s="330" t="n">
        <v>5.818</v>
      </c>
      <c r="G19" s="223" t="n"/>
      <c r="H19" s="223">
        <f>H20</f>
        <v/>
      </c>
    </row>
    <row r="20">
      <c r="A20" s="331" t="n">
        <v>7</v>
      </c>
      <c r="B20" s="331" t="inlineStr">
        <is>
          <t> </t>
        </is>
      </c>
      <c r="C20" s="332" t="n">
        <v>2</v>
      </c>
      <c r="D20" s="332" t="inlineStr">
        <is>
          <t>Затраты труда машинистов</t>
        </is>
      </c>
      <c r="E20" s="229" t="inlineStr">
        <is>
          <t>чел.-ч</t>
        </is>
      </c>
      <c r="F20" s="331" t="n">
        <v>5.818</v>
      </c>
      <c r="G20" s="179" t="n"/>
      <c r="H20" s="179" t="n">
        <v>59.25</v>
      </c>
    </row>
    <row r="21" customFormat="1" s="288">
      <c r="A21" s="330" t="inlineStr">
        <is>
          <t>Машины и механизмы</t>
        </is>
      </c>
      <c r="B21" s="410" t="n"/>
      <c r="C21" s="410" t="n"/>
      <c r="D21" s="410" t="n"/>
      <c r="E21" s="411" t="n"/>
      <c r="F21" s="330" t="n"/>
      <c r="G21" s="223" t="n"/>
      <c r="H21" s="223">
        <f>SUM(H22:H25)</f>
        <v/>
      </c>
      <c r="I21" s="299" t="n"/>
      <c r="J21" s="299" t="n"/>
      <c r="K21" s="299" t="n"/>
    </row>
    <row r="22">
      <c r="A22" s="331" t="n">
        <v>8</v>
      </c>
      <c r="B22" s="331" t="inlineStr">
        <is>
          <t> </t>
        </is>
      </c>
      <c r="C22" s="332" t="inlineStr">
        <is>
          <t>91.06.05-011</t>
        </is>
      </c>
      <c r="D22" s="332" t="inlineStr">
        <is>
          <t>Погрузчики, грузоподъемность 5 т</t>
        </is>
      </c>
      <c r="E22" s="229" t="inlineStr">
        <is>
          <t>маш.час</t>
        </is>
      </c>
      <c r="F22" s="331" t="n">
        <v>5.4</v>
      </c>
      <c r="G22" s="179" t="n">
        <v>89.98999999999999</v>
      </c>
      <c r="H22" s="179">
        <f>ROUND(F22*G22,2)</f>
        <v/>
      </c>
    </row>
    <row r="23">
      <c r="A23" s="331" t="n">
        <v>9</v>
      </c>
      <c r="B23" s="331" t="inlineStr">
        <is>
          <t> </t>
        </is>
      </c>
      <c r="C23" s="332" t="inlineStr">
        <is>
          <t>91.14.02-001</t>
        </is>
      </c>
      <c r="D23" s="332" t="inlineStr">
        <is>
          <t>Автомобили бортовые, грузоподъемность до 5 т</t>
        </is>
      </c>
      <c r="E23" s="229" t="inlineStr">
        <is>
          <t>маш.час</t>
        </is>
      </c>
      <c r="F23" s="331" t="n">
        <v>0.374</v>
      </c>
      <c r="G23" s="179" t="n">
        <v>65.70999999999999</v>
      </c>
      <c r="H23" s="179">
        <f>ROUND(F23*G23,2)</f>
        <v/>
      </c>
    </row>
    <row r="24" ht="31.5" customHeight="1" s="297">
      <c r="A24" s="331" t="n">
        <v>10</v>
      </c>
      <c r="B24" s="331" t="inlineStr">
        <is>
          <t> </t>
        </is>
      </c>
      <c r="C24" s="332" t="inlineStr">
        <is>
          <t>91.06.03-060</t>
        </is>
      </c>
      <c r="D24" s="332" t="inlineStr">
        <is>
          <t>Лебедки электрические тяговым усилием до 5,79 кН (0,59 т)</t>
        </is>
      </c>
      <c r="E24" s="229" t="inlineStr">
        <is>
          <t>маш.час</t>
        </is>
      </c>
      <c r="F24" s="331" t="n">
        <v>3.2</v>
      </c>
      <c r="G24" s="179" t="n">
        <v>1.7</v>
      </c>
      <c r="H24" s="179">
        <f>ROUND(F24*G24,2)</f>
        <v/>
      </c>
    </row>
    <row r="25" ht="31.5" customHeight="1" s="297">
      <c r="A25" s="331" t="n">
        <v>11</v>
      </c>
      <c r="B25" s="331" t="inlineStr">
        <is>
          <t> </t>
        </is>
      </c>
      <c r="C25" s="332" t="inlineStr">
        <is>
          <t>91.05.05-015</t>
        </is>
      </c>
      <c r="D25" s="332" t="inlineStr">
        <is>
          <t>Краны на автомобильном ходу, грузоподъемность 16 т</t>
        </is>
      </c>
      <c r="E25" s="229" t="inlineStr">
        <is>
          <t>маш.час</t>
        </is>
      </c>
      <c r="F25" s="331" t="n">
        <v>0.044</v>
      </c>
      <c r="G25" s="179" t="n">
        <v>115.4</v>
      </c>
      <c r="H25" s="179">
        <f>ROUND(F25*G25,2)</f>
        <v/>
      </c>
    </row>
    <row r="26">
      <c r="A26" s="330" t="inlineStr">
        <is>
          <t>Оборудование</t>
        </is>
      </c>
      <c r="B26" s="410" t="n"/>
      <c r="C26" s="410" t="n"/>
      <c r="D26" s="410" t="n"/>
      <c r="E26" s="411" t="n"/>
      <c r="F26" s="330" t="n"/>
      <c r="G26" s="223" t="n"/>
      <c r="H26" s="223">
        <f>SUM(H27:H30)</f>
        <v/>
      </c>
    </row>
    <row r="27" ht="31.5" customFormat="1" customHeight="1" s="288">
      <c r="A27" s="331" t="n">
        <v>12</v>
      </c>
      <c r="B27" s="331" t="inlineStr">
        <is>
          <t> </t>
        </is>
      </c>
      <c r="C27" s="332" t="inlineStr">
        <is>
          <t>Прайс из СД ОП</t>
        </is>
      </c>
      <c r="D27" s="332" t="inlineStr">
        <is>
          <t>Цифровая УПАТС с функциями диспетчерского  коммутатора в комплекте</t>
        </is>
      </c>
      <c r="E27" s="229" t="inlineStr">
        <is>
          <t>компл.</t>
        </is>
      </c>
      <c r="F27" s="331" t="n">
        <v>1</v>
      </c>
      <c r="G27" s="179" t="n">
        <v>1818053.24</v>
      </c>
      <c r="H27" s="179">
        <f>ROUND(F27*G27,2)</f>
        <v/>
      </c>
      <c r="I27" s="299" t="n"/>
      <c r="J27" s="299" t="n"/>
      <c r="K27" s="299" t="n"/>
    </row>
    <row r="28" ht="31.5" customFormat="1" customHeight="1" s="288">
      <c r="A28" s="331" t="n">
        <v>13</v>
      </c>
      <c r="B28" s="331" t="inlineStr">
        <is>
          <t> </t>
        </is>
      </c>
      <c r="C28" s="332" t="inlineStr">
        <is>
          <t>22.1.01.01-0046</t>
        </is>
      </c>
      <c r="D28" s="332" t="inlineStr">
        <is>
          <t>Боксы кабельные междугородные, корпус из алюминия, тип БММ-2-1 с плинтом ПН-10</t>
        </is>
      </c>
      <c r="E28" s="229" t="inlineStr">
        <is>
          <t>шт.</t>
        </is>
      </c>
      <c r="F28" s="331" t="n">
        <v>10</v>
      </c>
      <c r="G28" s="179" t="n">
        <v>415.4</v>
      </c>
      <c r="H28" s="179">
        <f>ROUND(F28*G28,2)</f>
        <v/>
      </c>
      <c r="I28" s="299" t="n"/>
      <c r="J28" s="299" t="n"/>
      <c r="K28" s="299" t="n"/>
    </row>
    <row r="29" ht="31.5" customFormat="1" customHeight="1" s="288">
      <c r="A29" s="331" t="n">
        <v>14</v>
      </c>
      <c r="B29" s="331" t="inlineStr">
        <is>
          <t> </t>
        </is>
      </c>
      <c r="C29" s="332" t="inlineStr">
        <is>
          <t>22.1.02.06-0051</t>
        </is>
      </c>
      <c r="D29" s="332" t="inlineStr">
        <is>
          <t>Рама VX-2000PF (для 3 блоков питания VX-200PS)</t>
        </is>
      </c>
      <c r="E29" s="229" t="inlineStr">
        <is>
          <t>шт.</t>
        </is>
      </c>
      <c r="F29" s="331" t="n">
        <v>1</v>
      </c>
      <c r="G29" s="179" t="n">
        <v>1161.69</v>
      </c>
      <c r="H29" s="179">
        <f>ROUND(F29*G29,2)</f>
        <v/>
      </c>
      <c r="I29" s="299" t="n"/>
      <c r="J29" s="299" t="n"/>
      <c r="K29" s="299" t="n"/>
    </row>
    <row r="30" ht="47.25" customFormat="1" customHeight="1" s="288">
      <c r="A30" s="331" t="n">
        <v>15</v>
      </c>
      <c r="B30" s="331" t="inlineStr">
        <is>
          <t> </t>
        </is>
      </c>
      <c r="C30" s="332" t="inlineStr">
        <is>
          <t>61.3.05.03-0011</t>
        </is>
      </c>
      <c r="D30" s="332" t="inlineStr">
        <is>
          <t>Патч-панель RJ-45 110 типа, UTP, категория 5е, Dual IDC, на 48 портов для монтажа в стойки и шкафы 19", с органайзером</t>
        </is>
      </c>
      <c r="E30" s="229" t="inlineStr">
        <is>
          <t>шт.</t>
        </is>
      </c>
      <c r="F30" s="331" t="n">
        <v>1</v>
      </c>
      <c r="G30" s="179" t="n">
        <v>516.24</v>
      </c>
      <c r="H30" s="179">
        <f>ROUND(F30*G30,2)</f>
        <v/>
      </c>
      <c r="I30" s="299" t="n"/>
      <c r="J30" s="299" t="n"/>
      <c r="K30" s="299" t="n"/>
    </row>
    <row r="31">
      <c r="A31" s="330" t="inlineStr">
        <is>
          <t>Материалы</t>
        </is>
      </c>
      <c r="B31" s="410" t="n"/>
      <c r="C31" s="410" t="n"/>
      <c r="D31" s="410" t="n"/>
      <c r="E31" s="411" t="n"/>
      <c r="F31" s="330" t="n"/>
      <c r="G31" s="223" t="n"/>
      <c r="H31" s="223">
        <f>SUM(H32:H56)</f>
        <v/>
      </c>
    </row>
    <row r="32">
      <c r="A32" s="331" t="n">
        <v>16</v>
      </c>
      <c r="B32" s="331" t="inlineStr">
        <is>
          <t> </t>
        </is>
      </c>
      <c r="C32" s="332" t="inlineStr">
        <is>
          <t>22.1.02.01-0051</t>
        </is>
      </c>
      <c r="D32" s="332" t="inlineStr">
        <is>
          <t>Штекер DB9 male</t>
        </is>
      </c>
      <c r="E32" s="229" t="inlineStr">
        <is>
          <t>100 шт</t>
        </is>
      </c>
      <c r="F32" s="331" t="n">
        <v>0.06</v>
      </c>
      <c r="G32" s="179" t="n">
        <v>25707</v>
      </c>
      <c r="H32" s="179">
        <f>ROUND(F32*G32,2)</f>
        <v/>
      </c>
      <c r="J32" s="230">
        <f>H32/$H$31</f>
        <v/>
      </c>
    </row>
    <row r="33" ht="31.5" customHeight="1" s="297">
      <c r="A33" s="331" t="n">
        <v>17</v>
      </c>
      <c r="B33" s="331" t="inlineStr">
        <is>
          <t> </t>
        </is>
      </c>
      <c r="C33" s="332" t="inlineStr">
        <is>
          <t>21.1.04.01-0006</t>
        </is>
      </c>
      <c r="D33" s="332" t="inlineStr">
        <is>
          <t>Кабель компьютерный (витая пара) FTP10-C3-SOLID-INDOOR EuroLine</t>
        </is>
      </c>
      <c r="E33" s="229" t="inlineStr">
        <is>
          <t>1000 м</t>
        </is>
      </c>
      <c r="F33" s="331" t="n">
        <v>0.082</v>
      </c>
      <c r="G33" s="179" t="n">
        <v>9233.200000000001</v>
      </c>
      <c r="H33" s="179">
        <f>ROUND(F33*G33,2)</f>
        <v/>
      </c>
      <c r="J33" s="230">
        <f>H33/$H$31</f>
        <v/>
      </c>
    </row>
    <row r="34" ht="31.5" customHeight="1" s="297">
      <c r="A34" s="331" t="n">
        <v>18</v>
      </c>
      <c r="B34" s="331" t="inlineStr">
        <is>
          <t> </t>
        </is>
      </c>
      <c r="C34" s="332" t="inlineStr">
        <is>
          <t>21.1.04.01-0006</t>
        </is>
      </c>
      <c r="D34" s="332" t="inlineStr">
        <is>
          <t>Кабель компьютерный (витая пара) FTP10-C3-SOLID-INDOOR EuroLine</t>
        </is>
      </c>
      <c r="E34" s="229" t="inlineStr">
        <is>
          <t>1000 м</t>
        </is>
      </c>
      <c r="F34" s="331" t="n">
        <v>0.082</v>
      </c>
      <c r="G34" s="179" t="n">
        <v>9233.200000000001</v>
      </c>
      <c r="H34" s="179">
        <f>ROUND(F34*G34,2)</f>
        <v/>
      </c>
      <c r="J34" s="230">
        <f>H34/$H$31</f>
        <v/>
      </c>
      <c r="K34" s="230" t="n"/>
    </row>
    <row r="35" ht="63" customHeight="1" s="297">
      <c r="A35" s="331" t="n">
        <v>19</v>
      </c>
      <c r="B35" s="331" t="inlineStr">
        <is>
          <t> </t>
        </is>
      </c>
      <c r="C35" s="332" t="inlineStr">
        <is>
          <t>21.2.02.03-0002</t>
        </is>
      </c>
      <c r="D35" s="332" t="inlineStr">
        <is>
      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      </is>
      </c>
      <c r="E35" s="229" t="inlineStr">
        <is>
          <t>1000 м</t>
        </is>
      </c>
      <c r="F35" s="331" t="n">
        <v>1.03</v>
      </c>
      <c r="G35" s="179" t="n">
        <v>500</v>
      </c>
      <c r="H35" s="179">
        <f>ROUND(F35*G35,2)</f>
        <v/>
      </c>
      <c r="J35" s="230">
        <f>H35/$H$31</f>
        <v/>
      </c>
    </row>
    <row r="36" ht="78.75" customHeight="1" s="297">
      <c r="A36" s="331" t="n">
        <v>20</v>
      </c>
      <c r="B36" s="331" t="inlineStr">
        <is>
          <t> </t>
        </is>
      </c>
      <c r="C36" s="332" t="inlineStr">
        <is>
          <t>01.7.15.10-0056</t>
        </is>
      </c>
      <c r="D36" s="332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E36" s="229" t="inlineStr">
        <is>
          <t>10 шт</t>
        </is>
      </c>
      <c r="F36" s="331" t="n">
        <v>9.6</v>
      </c>
      <c r="G36" s="179" t="n">
        <v>22.61</v>
      </c>
      <c r="H36" s="179">
        <f>ROUND(F36*G36,2)</f>
        <v/>
      </c>
      <c r="J36" s="230">
        <f>H36/$H$31</f>
        <v/>
      </c>
    </row>
    <row r="37" ht="31.5" customHeight="1" s="297">
      <c r="A37" s="331" t="n">
        <v>21</v>
      </c>
      <c r="B37" s="331" t="inlineStr">
        <is>
          <t> </t>
        </is>
      </c>
      <c r="C37" s="332" t="inlineStr">
        <is>
          <t>21.1.04.01-1006</t>
        </is>
      </c>
      <c r="D37" s="332" t="inlineStr">
        <is>
          <t>Кабель витая пара, категория 5e, ЭКС-ГВПВЭ 4х2х0,51</t>
        </is>
      </c>
      <c r="E37" s="229" t="inlineStr">
        <is>
          <t>1000 м</t>
        </is>
      </c>
      <c r="F37" s="331" t="n">
        <v>0.061</v>
      </c>
      <c r="G37" s="179" t="n">
        <v>2719.53</v>
      </c>
      <c r="H37" s="179">
        <f>ROUND(F37*G37,2)</f>
        <v/>
      </c>
      <c r="J37" s="230">
        <f>H37/$H$31</f>
        <v/>
      </c>
      <c r="K37" s="230">
        <f>SUM(J32:J37)</f>
        <v/>
      </c>
    </row>
    <row r="38" ht="31.5" customHeight="1" s="297">
      <c r="A38" s="331" t="n">
        <v>22</v>
      </c>
      <c r="B38" s="331" t="inlineStr">
        <is>
          <t> </t>
        </is>
      </c>
      <c r="C38" s="332" t="inlineStr">
        <is>
          <t>10.3.02.03-0013</t>
        </is>
      </c>
      <c r="D38" s="332" t="inlineStr">
        <is>
          <t>Припои оловянно-свинцовые бессурьмянистые, марка ПОС61</t>
        </is>
      </c>
      <c r="E38" s="229" t="inlineStr">
        <is>
          <t>т</t>
        </is>
      </c>
      <c r="F38" s="331" t="n">
        <v>0.00113</v>
      </c>
      <c r="G38" s="179" t="n">
        <v>114220</v>
      </c>
      <c r="H38" s="179">
        <f>ROUND(F38*G38,2)</f>
        <v/>
      </c>
      <c r="J38" s="230" t="n"/>
    </row>
    <row r="39">
      <c r="A39" s="331" t="n">
        <v>23</v>
      </c>
      <c r="B39" s="331" t="inlineStr">
        <is>
          <t> </t>
        </is>
      </c>
      <c r="C39" s="332" t="inlineStr">
        <is>
          <t>11.2.04.03-0001</t>
        </is>
      </c>
      <c r="D39" s="332" t="inlineStr">
        <is>
          <t>Подрозетники деревянные</t>
        </is>
      </c>
      <c r="E39" s="229" t="inlineStr">
        <is>
          <t>100 шт</t>
        </is>
      </c>
      <c r="F39" s="331" t="n">
        <v>0.48</v>
      </c>
      <c r="G39" s="179" t="n">
        <v>216</v>
      </c>
      <c r="H39" s="179">
        <f>ROUND(F39*G39,2)</f>
        <v/>
      </c>
      <c r="J39" s="230" t="n"/>
    </row>
    <row r="40" ht="31.5" customHeight="1" s="297">
      <c r="A40" s="331" t="n">
        <v>24</v>
      </c>
      <c r="B40" s="331" t="inlineStr">
        <is>
          <t> </t>
        </is>
      </c>
      <c r="C40" s="332" t="inlineStr">
        <is>
          <t>999-9950</t>
        </is>
      </c>
      <c r="D40" s="332" t="inlineStr">
        <is>
          <t>Вспомогательные ненормируемые ресурсы (2% от Оплаты труда рабочих)</t>
        </is>
      </c>
      <c r="E40" s="229" t="inlineStr">
        <is>
          <t>руб</t>
        </is>
      </c>
      <c r="F40" s="331" t="n">
        <v>80.18380000000001</v>
      </c>
      <c r="G40" s="179" t="n">
        <v>1</v>
      </c>
      <c r="H40" s="179">
        <f>ROUND(F40*G40,2)</f>
        <v/>
      </c>
      <c r="J40" s="230" t="n"/>
    </row>
    <row r="41" ht="31.5" customHeight="1" s="297">
      <c r="A41" s="331" t="n">
        <v>25</v>
      </c>
      <c r="B41" s="331" t="inlineStr">
        <is>
          <t> </t>
        </is>
      </c>
      <c r="C41" s="332" t="inlineStr">
        <is>
          <t>01.7.15.07-0012</t>
        </is>
      </c>
      <c r="D41" s="332" t="inlineStr">
        <is>
          <t>Дюбели пластмассовые с шурупами, размер 12х70 мм</t>
        </is>
      </c>
      <c r="E41" s="229" t="inlineStr">
        <is>
          <t>100 шт</t>
        </is>
      </c>
      <c r="F41" s="331" t="n">
        <v>0.96</v>
      </c>
      <c r="G41" s="179" t="n">
        <v>83</v>
      </c>
      <c r="H41" s="179">
        <f>ROUND(F41*G41,2)</f>
        <v/>
      </c>
      <c r="J41" s="230" t="n"/>
    </row>
    <row r="42" ht="31.5" customHeight="1" s="297">
      <c r="A42" s="331" t="n">
        <v>26</v>
      </c>
      <c r="B42" s="331" t="inlineStr">
        <is>
          <t> </t>
        </is>
      </c>
      <c r="C42" s="332" t="inlineStr">
        <is>
          <t>11.2.11.05-0002</t>
        </is>
      </c>
      <c r="D42" s="332" t="inlineStr">
        <is>
          <t>Фанера клееная обрезная, сорт В/ВВ, ФК, ФБА, толщина 4 мм</t>
        </is>
      </c>
      <c r="E42" s="229" t="inlineStr">
        <is>
          <t>м3</t>
        </is>
      </c>
      <c r="F42" s="331" t="n">
        <v>0.016</v>
      </c>
      <c r="G42" s="179" t="n">
        <v>4949.4</v>
      </c>
      <c r="H42" s="179">
        <f>ROUND(F42*G42,2)</f>
        <v/>
      </c>
      <c r="J42" s="230" t="n"/>
    </row>
    <row r="43" ht="31.5" customHeight="1" s="297">
      <c r="A43" s="331" t="n">
        <v>27</v>
      </c>
      <c r="B43" s="331" t="inlineStr">
        <is>
          <t> </t>
        </is>
      </c>
      <c r="C43" s="332" t="inlineStr">
        <is>
          <t>11.1.03.05-0081</t>
        </is>
      </c>
      <c r="D43" s="332" t="inlineStr">
        <is>
          <t>Доска необрезная, хвойных пород, длина 4-6,5 м, все ширины, толщина 32-40 мм, сорт III</t>
        </is>
      </c>
      <c r="E43" s="229" t="inlineStr">
        <is>
          <t>м3</t>
        </is>
      </c>
      <c r="F43" s="331" t="n">
        <v>0.048</v>
      </c>
      <c r="G43" s="179" t="n">
        <v>832.7</v>
      </c>
      <c r="H43" s="179">
        <f>ROUND(F43*G43,2)</f>
        <v/>
      </c>
      <c r="J43" s="230" t="n"/>
    </row>
    <row r="44" ht="31.5" customHeight="1" s="297">
      <c r="A44" s="331" t="n">
        <v>28</v>
      </c>
      <c r="B44" s="331" t="inlineStr">
        <is>
          <t> </t>
        </is>
      </c>
      <c r="C44" s="332" t="inlineStr">
        <is>
          <t>10.3.02.03-0012</t>
        </is>
      </c>
      <c r="D44" s="332" t="inlineStr">
        <is>
          <t>Припои оловянно-свинцовые бессурьмянистые, марка ПОС40</t>
        </is>
      </c>
      <c r="E44" s="229" t="inlineStr">
        <is>
          <t>т</t>
        </is>
      </c>
      <c r="F44" s="331" t="n">
        <v>0.00048</v>
      </c>
      <c r="G44" s="179" t="n">
        <v>65750</v>
      </c>
      <c r="H44" s="179">
        <f>ROUND(F44*G44,2)</f>
        <v/>
      </c>
      <c r="J44" s="230" t="n"/>
    </row>
    <row r="45">
      <c r="A45" s="331" t="n">
        <v>29</v>
      </c>
      <c r="B45" s="331" t="inlineStr">
        <is>
          <t> </t>
        </is>
      </c>
      <c r="C45" s="332" t="inlineStr">
        <is>
          <t>22.1.02.01-0032</t>
        </is>
      </c>
      <c r="D45" s="332" t="inlineStr">
        <is>
          <t>Вилка 2-парная 110 типа, CAT5e REXANT</t>
        </is>
      </c>
      <c r="E45" s="229" t="inlineStr">
        <is>
          <t>100 шт</t>
        </is>
      </c>
      <c r="F45" s="331" t="n">
        <v>0.06</v>
      </c>
      <c r="G45" s="179" t="n">
        <v>514.25</v>
      </c>
      <c r="H45" s="179">
        <f>ROUND(F45*G45,2)</f>
        <v/>
      </c>
      <c r="J45" s="230" t="n"/>
    </row>
    <row r="46" ht="31.5" customHeight="1" s="297">
      <c r="A46" s="331" t="n">
        <v>30</v>
      </c>
      <c r="B46" s="331" t="inlineStr">
        <is>
          <t> </t>
        </is>
      </c>
      <c r="C46" s="332" t="inlineStr">
        <is>
          <t>01.7.06.03-0023</t>
        </is>
      </c>
      <c r="D46" s="332" t="inlineStr">
        <is>
          <t>Лента полиэтиленовая с липким слоем, марка А</t>
        </is>
      </c>
      <c r="E46" s="229" t="inlineStr">
        <is>
          <t>кг</t>
        </is>
      </c>
      <c r="F46" s="331" t="n">
        <v>0.48</v>
      </c>
      <c r="G46" s="179" t="n">
        <v>39.02</v>
      </c>
      <c r="H46" s="179">
        <f>ROUND(F46*G46,2)</f>
        <v/>
      </c>
      <c r="J46" s="230" t="n"/>
    </row>
    <row r="47">
      <c r="A47" s="331" t="n">
        <v>31</v>
      </c>
      <c r="B47" s="331" t="inlineStr">
        <is>
          <t> </t>
        </is>
      </c>
      <c r="C47" s="332" t="inlineStr">
        <is>
          <t>01.3.05.17-0002</t>
        </is>
      </c>
      <c r="D47" s="332" t="inlineStr">
        <is>
          <t>Канифоль сосновая</t>
        </is>
      </c>
      <c r="E47" s="229" t="inlineStr">
        <is>
          <t>кг</t>
        </is>
      </c>
      <c r="F47" s="331" t="n">
        <v>0.48</v>
      </c>
      <c r="G47" s="179" t="n">
        <v>27.74</v>
      </c>
      <c r="H47" s="179">
        <f>ROUND(F47*G47,2)</f>
        <v/>
      </c>
      <c r="J47" s="230" t="n"/>
    </row>
    <row r="48">
      <c r="A48" s="331" t="n">
        <v>32</v>
      </c>
      <c r="B48" s="331" t="inlineStr">
        <is>
          <t> </t>
        </is>
      </c>
      <c r="C48" s="332" t="inlineStr">
        <is>
          <t>20.2.01.05-0003</t>
        </is>
      </c>
      <c r="D48" s="332" t="inlineStr">
        <is>
          <t>Гильзы кабельные медные ГМ 6</t>
        </is>
      </c>
      <c r="E48" s="229" t="inlineStr">
        <is>
          <t>100 шт</t>
        </is>
      </c>
      <c r="F48" s="331" t="n">
        <v>0.11</v>
      </c>
      <c r="G48" s="179" t="n">
        <v>110</v>
      </c>
      <c r="H48" s="179">
        <f>ROUND(F48*G48,2)</f>
        <v/>
      </c>
      <c r="J48" s="230" t="n"/>
    </row>
    <row r="49" ht="47.25" customHeight="1" s="297">
      <c r="A49" s="331" t="n">
        <v>33</v>
      </c>
      <c r="B49" s="331" t="inlineStr">
        <is>
          <t> </t>
        </is>
      </c>
      <c r="C49" s="332" t="inlineStr">
        <is>
          <t>01.7.06.05-0041</t>
        </is>
      </c>
      <c r="D49" s="332" t="inlineStr">
        <is>
          <t>Лента изоляционная прорезиненная односторонняя, ширина 20 мм, толщина 0,25-0,35 мм</t>
        </is>
      </c>
      <c r="E49" s="229" t="inlineStr">
        <is>
          <t>кг</t>
        </is>
      </c>
      <c r="F49" s="331" t="n">
        <v>0.352</v>
      </c>
      <c r="G49" s="179" t="n">
        <v>30.4</v>
      </c>
      <c r="H49" s="179">
        <f>ROUND(F49*G49,2)</f>
        <v/>
      </c>
      <c r="J49" s="230" t="n"/>
    </row>
    <row r="50">
      <c r="A50" s="331" t="n">
        <v>34</v>
      </c>
      <c r="B50" s="331" t="inlineStr">
        <is>
          <t> </t>
        </is>
      </c>
      <c r="C50" s="332" t="inlineStr">
        <is>
          <t>01.7.20.03-0012</t>
        </is>
      </c>
      <c r="D50" s="332" t="inlineStr">
        <is>
          <t>Мешковина джутовая</t>
        </is>
      </c>
      <c r="E50" s="229" t="inlineStr">
        <is>
          <t>м2</t>
        </is>
      </c>
      <c r="F50" s="331" t="n">
        <v>0.9</v>
      </c>
      <c r="G50" s="179" t="n">
        <v>8.33</v>
      </c>
      <c r="H50" s="179">
        <f>ROUND(F50*G50,2)</f>
        <v/>
      </c>
      <c r="J50" s="230" t="n"/>
    </row>
    <row r="51">
      <c r="A51" s="331" t="n">
        <v>35</v>
      </c>
      <c r="B51" s="331" t="inlineStr">
        <is>
          <t> </t>
        </is>
      </c>
      <c r="C51" s="332" t="inlineStr">
        <is>
          <t>20.2.02.01-0012</t>
        </is>
      </c>
      <c r="D51" s="332" t="inlineStr">
        <is>
          <t>Втулки, диаметр 22 мм</t>
        </is>
      </c>
      <c r="E51" s="229" t="inlineStr">
        <is>
          <t>1000 шт</t>
        </is>
      </c>
      <c r="F51" s="331" t="n">
        <v>0.02684</v>
      </c>
      <c r="G51" s="179" t="n">
        <v>119</v>
      </c>
      <c r="H51" s="179">
        <f>ROUND(F51*G51,2)</f>
        <v/>
      </c>
      <c r="J51" s="230" t="n"/>
    </row>
    <row r="52">
      <c r="A52" s="331" t="n">
        <v>36</v>
      </c>
      <c r="B52" s="331" t="inlineStr">
        <is>
          <t> </t>
        </is>
      </c>
      <c r="C52" s="332" t="inlineStr">
        <is>
          <t>01.7.07.20-0002</t>
        </is>
      </c>
      <c r="D52" s="332" t="inlineStr">
        <is>
          <t>Тальк молотый, сорт I</t>
        </is>
      </c>
      <c r="E52" s="229" t="inlineStr">
        <is>
          <t>т</t>
        </is>
      </c>
      <c r="F52" s="331" t="n">
        <v>0.00132</v>
      </c>
      <c r="G52" s="179" t="n">
        <v>1820</v>
      </c>
      <c r="H52" s="179">
        <f>ROUND(F52*G52,2)</f>
        <v/>
      </c>
      <c r="J52" s="230" t="n"/>
    </row>
    <row r="53">
      <c r="A53" s="331" t="n">
        <v>37</v>
      </c>
      <c r="B53" s="331" t="inlineStr">
        <is>
          <t> </t>
        </is>
      </c>
      <c r="C53" s="332" t="inlineStr">
        <is>
          <t>14.4.02.09-0001</t>
        </is>
      </c>
      <c r="D53" s="332" t="inlineStr">
        <is>
          <t>Краска</t>
        </is>
      </c>
      <c r="E53" s="229" t="inlineStr">
        <is>
          <t>кг</t>
        </is>
      </c>
      <c r="F53" s="331" t="n">
        <v>0.044</v>
      </c>
      <c r="G53" s="179" t="n">
        <v>28.6</v>
      </c>
      <c r="H53" s="179">
        <f>ROUND(F53*G53,2)</f>
        <v/>
      </c>
      <c r="J53" s="230" t="n"/>
    </row>
    <row r="54">
      <c r="A54" s="331" t="n">
        <v>38</v>
      </c>
      <c r="B54" s="331" t="inlineStr">
        <is>
          <t> </t>
        </is>
      </c>
      <c r="C54" s="332" t="inlineStr">
        <is>
          <t>14.1.01.01-0003</t>
        </is>
      </c>
      <c r="D54" s="332" t="inlineStr">
        <is>
          <t>Клей столярный сухой</t>
        </is>
      </c>
      <c r="E54" s="229" t="inlineStr">
        <is>
          <t>кг</t>
        </is>
      </c>
      <c r="F54" s="331" t="n">
        <v>0.05</v>
      </c>
      <c r="G54" s="179" t="n">
        <v>16.95</v>
      </c>
      <c r="H54" s="179">
        <f>ROUND(F54*G54,2)</f>
        <v/>
      </c>
      <c r="J54" s="230" t="n"/>
    </row>
    <row r="55">
      <c r="A55" s="331" t="n">
        <v>39</v>
      </c>
      <c r="B55" s="331" t="inlineStr">
        <is>
          <t> </t>
        </is>
      </c>
      <c r="C55" s="332" t="inlineStr">
        <is>
          <t>01.7.15.04-0011</t>
        </is>
      </c>
      <c r="D55" s="332" t="inlineStr">
        <is>
          <t>Винты с полукруглой головкой, длина 50 мм</t>
        </is>
      </c>
      <c r="E55" s="229" t="inlineStr">
        <is>
          <t>т</t>
        </is>
      </c>
      <c r="F55" s="331" t="n">
        <v>4e-06</v>
      </c>
      <c r="G55" s="179" t="n">
        <v>12430</v>
      </c>
      <c r="H55" s="179">
        <f>ROUND(F55*G55,2)</f>
        <v/>
      </c>
      <c r="J55" s="230" t="n"/>
    </row>
    <row r="56">
      <c r="A56" s="331" t="n">
        <v>40</v>
      </c>
      <c r="B56" s="331" t="inlineStr">
        <is>
          <t> </t>
        </is>
      </c>
      <c r="C56" s="332" t="inlineStr">
        <is>
          <t>999-0005</t>
        </is>
      </c>
      <c r="D56" s="332" t="inlineStr">
        <is>
          <t>Масса</t>
        </is>
      </c>
      <c r="E56" s="229" t="inlineStr">
        <is>
          <t>т</t>
        </is>
      </c>
      <c r="F56" s="331" t="n">
        <v>0.0482</v>
      </c>
      <c r="G56" s="179" t="n"/>
      <c r="H56" s="179">
        <f>ROUND(F56*G56,2)</f>
        <v/>
      </c>
      <c r="J56" s="230" t="n"/>
    </row>
    <row r="59">
      <c r="B59" s="299" t="inlineStr">
        <is>
          <t>Составил ______________________        Д.Ю. Нефедова</t>
        </is>
      </c>
    </row>
    <row r="60">
      <c r="B60" s="177" t="inlineStr">
        <is>
          <t xml:space="preserve">                         (подпись, инициалы, фамилия)</t>
        </is>
      </c>
    </row>
    <row r="62">
      <c r="B62" s="299" t="inlineStr">
        <is>
          <t>Проверил ______________________        А.В. Костянецкая</t>
        </is>
      </c>
    </row>
    <row r="63">
      <c r="B63" s="177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26:E26"/>
    <mergeCell ref="A9:A10"/>
    <mergeCell ref="A2:H2"/>
    <mergeCell ref="A19:E19"/>
    <mergeCell ref="A5:H5"/>
    <mergeCell ref="G9:H9"/>
    <mergeCell ref="A31:E31"/>
  </mergeCells>
  <pageMargins left="0.7" right="0.7" top="0.75" bottom="0.75" header="0.3" footer="0.3"/>
  <pageSetup orientation="portrait" paperSize="9" scale="55"/>
  <rowBreaks count="1" manualBreakCount="1">
    <brk id="5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7" min="1" max="1"/>
    <col width="36.28515625" customWidth="1" style="297" min="2" max="2"/>
    <col width="18.85546875" customWidth="1" style="297" min="3" max="3"/>
    <col width="18.28515625" customWidth="1" style="297" min="4" max="4"/>
    <col width="18.85546875" customWidth="1" style="297" min="5" max="5"/>
    <col width="11.42578125" customWidth="1" style="297" min="6" max="6"/>
    <col width="9.140625" customWidth="1" style="297" min="7" max="10"/>
    <col width="13.5703125" customWidth="1" style="297" min="11" max="11"/>
    <col width="9.140625" customWidth="1" style="297" min="12" max="12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55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17" t="inlineStr">
        <is>
          <t>Ресурсная модель</t>
        </is>
      </c>
    </row>
    <row r="6">
      <c r="B6" s="251" t="n"/>
      <c r="C6" s="293" t="n"/>
      <c r="D6" s="293" t="n"/>
      <c r="E6" s="293" t="n"/>
    </row>
    <row r="7" ht="25.5" customHeight="1" s="297">
      <c r="B7" s="333" t="inlineStr">
        <is>
          <t>Наименование разрабатываемого показателя УНЦ — Сети связи. УПАТС для ПС 220-750 кВ</t>
        </is>
      </c>
    </row>
    <row r="8">
      <c r="B8" s="334" t="inlineStr">
        <is>
          <t>Единица измерения  — 1 компл.</t>
        </is>
      </c>
    </row>
    <row r="9">
      <c r="B9" s="251" t="n"/>
      <c r="C9" s="293" t="n"/>
      <c r="D9" s="293" t="n"/>
      <c r="E9" s="293" t="n"/>
    </row>
    <row r="10" ht="51" customHeight="1" s="297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186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186" t="inlineStr">
        <is>
          <t>Эксплуатация машин основных</t>
        </is>
      </c>
      <c r="C12" s="156">
        <f>'Прил.5 Расчет СМР и ОБ'!J20</f>
        <v/>
      </c>
      <c r="D12" s="157">
        <f>C12/$C$24</f>
        <v/>
      </c>
      <c r="E12" s="157">
        <f>C12/$C$40</f>
        <v/>
      </c>
    </row>
    <row r="13">
      <c r="B13" s="186" t="inlineStr">
        <is>
          <t>Эксплуатация машин прочих</t>
        </is>
      </c>
      <c r="C13" s="156">
        <f>'Прил.5 Расчет СМР и ОБ'!J24</f>
        <v/>
      </c>
      <c r="D13" s="157">
        <f>C13/$C$24</f>
        <v/>
      </c>
      <c r="E13" s="157">
        <f>C13/$C$40</f>
        <v/>
      </c>
    </row>
    <row r="14">
      <c r="B14" s="186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186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186" t="inlineStr">
        <is>
          <t>Материалы основные</t>
        </is>
      </c>
      <c r="C16" s="156">
        <f>'Прил.5 Расчет СМР и ОБ'!J44</f>
        <v/>
      </c>
      <c r="D16" s="157">
        <f>C16/$C$24</f>
        <v/>
      </c>
      <c r="E16" s="157">
        <f>C16/$C$40</f>
        <v/>
      </c>
    </row>
    <row r="17">
      <c r="B17" s="186" t="inlineStr">
        <is>
          <t>Материалы прочие</t>
        </is>
      </c>
      <c r="C17" s="156">
        <f>'Прил.5 Расчет СМР и ОБ'!J64</f>
        <v/>
      </c>
      <c r="D17" s="157">
        <f>C17/$C$24</f>
        <v/>
      </c>
      <c r="E17" s="157">
        <f>C17/$C$40</f>
        <v/>
      </c>
    </row>
    <row r="18">
      <c r="B18" s="186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186" t="inlineStr">
        <is>
          <t>ИТОГО</t>
        </is>
      </c>
      <c r="C19" s="156">
        <f>C18+C14+C11</f>
        <v/>
      </c>
      <c r="D19" s="157" t="n"/>
      <c r="E19" s="186" t="n"/>
    </row>
    <row r="20">
      <c r="B20" s="186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186" t="inlineStr">
        <is>
          <t>Сметная прибыль, %</t>
        </is>
      </c>
      <c r="C21" s="160">
        <f>'Прил.5 Расчет СМР и ОБ'!D68</f>
        <v/>
      </c>
      <c r="D21" s="157" t="n"/>
      <c r="E21" s="186" t="n"/>
    </row>
    <row r="22">
      <c r="B22" s="186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186" t="inlineStr">
        <is>
          <t>Накладные расходы, %</t>
        </is>
      </c>
      <c r="C23" s="160">
        <f>'Прил.5 Расчет СМР и ОБ'!D67</f>
        <v/>
      </c>
      <c r="D23" s="157" t="n"/>
      <c r="E23" s="186" t="n"/>
    </row>
    <row r="24">
      <c r="B24" s="186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7">
      <c r="B25" s="186" t="inlineStr">
        <is>
          <t>ВСЕГО стоимость оборудования, в том числе</t>
        </is>
      </c>
      <c r="C25" s="156">
        <f>'Прил.5 Расчет СМР и ОБ'!J34</f>
        <v/>
      </c>
      <c r="D25" s="157" t="n"/>
      <c r="E25" s="157">
        <f>C25/$C$40</f>
        <v/>
      </c>
    </row>
    <row r="26" ht="25.5" customHeight="1" s="297">
      <c r="B26" s="186" t="inlineStr">
        <is>
          <t>стоимость оборудования технологического</t>
        </is>
      </c>
      <c r="C26" s="156">
        <f>'Прил.5 Расчет СМР и ОБ'!J35</f>
        <v/>
      </c>
      <c r="D26" s="157" t="n"/>
      <c r="E26" s="157">
        <f>C26/$C$40</f>
        <v/>
      </c>
    </row>
    <row r="27">
      <c r="B27" s="186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297">
      <c r="B28" s="186" t="inlineStr">
        <is>
          <t>ПРОЧ. ЗАТР., УЧТЕННЫЕ ПОКАЗАТЕЛЕМ,  в том числе</t>
        </is>
      </c>
      <c r="C28" s="186" t="n"/>
      <c r="D28" s="186" t="n"/>
      <c r="E28" s="186" t="n"/>
      <c r="F28" s="158" t="n"/>
    </row>
    <row r="29" ht="25.5" customHeight="1" s="297">
      <c r="B29" s="186" t="inlineStr">
        <is>
          <t>Временные здания и сооружения - 3,9%</t>
        </is>
      </c>
      <c r="C29" s="159">
        <f>ROUND(C24*3.9%,2)</f>
        <v/>
      </c>
      <c r="D29" s="186" t="n"/>
      <c r="E29" s="157">
        <f>C29/$C$40</f>
        <v/>
      </c>
    </row>
    <row r="30" ht="38.25" customHeight="1" s="297">
      <c r="B30" s="186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186" t="n"/>
      <c r="E30" s="157">
        <f>C30/$C$40</f>
        <v/>
      </c>
      <c r="F30" s="158" t="n"/>
    </row>
    <row r="31">
      <c r="B31" s="186" t="inlineStr">
        <is>
          <t>Пусконаладочные работы</t>
        </is>
      </c>
      <c r="C31" s="285" t="n">
        <v>1025730</v>
      </c>
      <c r="D31" s="186" t="n"/>
      <c r="E31" s="157">
        <f>C31/$C$40</f>
        <v/>
      </c>
    </row>
    <row r="32" ht="25.5" customHeight="1" s="297">
      <c r="B32" s="186" t="inlineStr">
        <is>
          <t>Затраты по перевозке работников к месту работы и обратно</t>
        </is>
      </c>
      <c r="C32" s="159" t="n">
        <v>0</v>
      </c>
      <c r="D32" s="186" t="n"/>
      <c r="E32" s="157">
        <f>C32/$C$40</f>
        <v/>
      </c>
      <c r="F32" s="253" t="n"/>
    </row>
    <row r="33" ht="25.5" customHeight="1" s="297">
      <c r="B33" s="186" t="inlineStr">
        <is>
          <t>Затраты, связанные с осуществлением работ вахтовым методом</t>
        </is>
      </c>
      <c r="C33" s="159" t="n">
        <v>0</v>
      </c>
      <c r="D33" s="186" t="n"/>
      <c r="E33" s="157">
        <f>C33/$C$40</f>
        <v/>
      </c>
    </row>
    <row r="34" ht="51" customHeight="1" s="297">
      <c r="B34" s="1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186" t="n"/>
      <c r="E34" s="157">
        <f>C34/$C$40</f>
        <v/>
      </c>
      <c r="G34" s="162" t="n"/>
    </row>
    <row r="35" ht="76.5" customHeight="1" s="297">
      <c r="B35" s="1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 t="n">
        <v>0</v>
      </c>
      <c r="D35" s="186" t="n"/>
      <c r="E35" s="157">
        <f>C35/$C$40</f>
        <v/>
      </c>
    </row>
    <row r="36" ht="25.5" customHeight="1" s="297">
      <c r="B36" s="186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186" t="n"/>
      <c r="E36" s="157">
        <f>C36/$C$40</f>
        <v/>
      </c>
      <c r="K36" s="158" t="n"/>
    </row>
    <row r="37">
      <c r="B37" s="186" t="inlineStr">
        <is>
          <t>Авторский надзор - 0,2%</t>
        </is>
      </c>
      <c r="C37" s="159">
        <f>ROUND((C27+C32+C33+C34+C35+C29+C31+C30)*0.2%,2)</f>
        <v/>
      </c>
      <c r="D37" s="186" t="n"/>
      <c r="E37" s="157">
        <f>C37/$C$40</f>
        <v/>
      </c>
      <c r="K37" s="158" t="n"/>
    </row>
    <row r="38" ht="38.25" customHeight="1" s="297">
      <c r="B38" s="186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186" t="n"/>
      <c r="E38" s="157">
        <f>C38/$C$40</f>
        <v/>
      </c>
    </row>
    <row r="39" ht="13.5" customHeight="1" s="297">
      <c r="B39" s="186" t="inlineStr">
        <is>
          <t>Непредвиденные расходы</t>
        </is>
      </c>
      <c r="C39" s="156">
        <f>ROUND(C38*3%,2)</f>
        <v/>
      </c>
      <c r="D39" s="186" t="n"/>
      <c r="E39" s="157">
        <f>C39/$C$38</f>
        <v/>
      </c>
    </row>
    <row r="40">
      <c r="B40" s="186" t="inlineStr">
        <is>
          <t>ВСЕГО:</t>
        </is>
      </c>
      <c r="C40" s="156">
        <f>C39+C38</f>
        <v/>
      </c>
      <c r="D40" s="186" t="n"/>
      <c r="E40" s="157">
        <f>C40/$C$40</f>
        <v/>
      </c>
    </row>
    <row r="41">
      <c r="B41" s="186" t="inlineStr">
        <is>
          <t>ИТОГО ПОКАЗАТЕЛЬ НА ЕД. ИЗМ.</t>
        </is>
      </c>
      <c r="C41" s="156">
        <f>C40/'Прил.5 Расчет СМР и ОБ'!E71</f>
        <v/>
      </c>
      <c r="D41" s="186" t="n"/>
      <c r="E41" s="186" t="n"/>
    </row>
    <row r="42">
      <c r="B42" s="163" t="n"/>
      <c r="C42" s="293" t="n"/>
      <c r="D42" s="293" t="n"/>
      <c r="E42" s="293" t="n"/>
    </row>
    <row r="43">
      <c r="B43" s="163" t="inlineStr">
        <is>
          <t>Составил ____________________________ Д.Ю. Нефедова</t>
        </is>
      </c>
      <c r="C43" s="293" t="n"/>
      <c r="D43" s="293" t="n"/>
      <c r="E43" s="293" t="n"/>
    </row>
    <row r="44">
      <c r="B44" s="163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163" t="n"/>
      <c r="C45" s="293" t="n"/>
      <c r="D45" s="293" t="n"/>
      <c r="E45" s="293" t="n"/>
    </row>
    <row r="46">
      <c r="B46" s="163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34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6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294" min="1" max="1"/>
    <col width="22.5703125" customWidth="1" style="294" min="2" max="2"/>
    <col width="39.140625" customWidth="1" style="294" min="3" max="3"/>
    <col width="10.7109375" customWidth="1" style="294" min="4" max="4"/>
    <col width="12.7109375" customWidth="1" style="294" min="5" max="5"/>
    <col width="15" customWidth="1" style="294" min="6" max="6"/>
    <col width="13.42578125" customWidth="1" style="294" min="7" max="7"/>
    <col width="12.7109375" customWidth="1" style="294" min="8" max="8"/>
    <col width="13.85546875" customWidth="1" style="294" min="9" max="9"/>
    <col width="17.5703125" customWidth="1" style="294" min="10" max="10"/>
    <col width="10.85546875" customWidth="1" style="294" min="11" max="11"/>
    <col width="9.140625" customWidth="1" style="294" min="12" max="12"/>
    <col width="9.140625" customWidth="1" style="297" min="13" max="13"/>
  </cols>
  <sheetData>
    <row r="1" s="297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297">
      <c r="A2" s="294" t="n"/>
      <c r="B2" s="294" t="n"/>
      <c r="C2" s="294" t="n"/>
      <c r="D2" s="294" t="n"/>
      <c r="E2" s="294" t="n"/>
      <c r="F2" s="294" t="n"/>
      <c r="G2" s="294" t="n"/>
      <c r="H2" s="335" t="inlineStr">
        <is>
          <t>Приложение №5</t>
        </is>
      </c>
      <c r="K2" s="294" t="n"/>
      <c r="L2" s="294" t="n"/>
      <c r="M2" s="294" t="n"/>
      <c r="N2" s="294" t="n"/>
    </row>
    <row r="3" s="297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3">
      <c r="A4" s="317" t="inlineStr">
        <is>
          <t>Расчет стоимости СМР и оборудования</t>
        </is>
      </c>
    </row>
    <row r="5" ht="12.75" customFormat="1" customHeight="1" s="293">
      <c r="A5" s="317" t="n"/>
      <c r="B5" s="317" t="n"/>
      <c r="C5" s="363" t="n"/>
      <c r="D5" s="317" t="n"/>
      <c r="E5" s="317" t="n"/>
      <c r="F5" s="317" t="n"/>
      <c r="G5" s="317" t="n"/>
      <c r="H5" s="317" t="n"/>
      <c r="I5" s="317" t="n"/>
      <c r="J5" s="317" t="n"/>
    </row>
    <row r="6" ht="25.5" customFormat="1" customHeight="1" s="293">
      <c r="A6" s="199" t="inlineStr">
        <is>
          <t>Наименование разрабатываемого показателя УНЦ</t>
        </is>
      </c>
      <c r="B6" s="200" t="n"/>
      <c r="C6" s="200" t="n"/>
      <c r="D6" s="341" t="inlineStr">
        <is>
          <t>Сети связи. УПАТС для ПС 220-750 кВ</t>
        </is>
      </c>
    </row>
    <row r="7" ht="12.75" customFormat="1" customHeight="1" s="293">
      <c r="A7" s="320" t="inlineStr">
        <is>
          <t>Единица измерения  — 1 компл.</t>
        </is>
      </c>
      <c r="I7" s="333" t="n"/>
      <c r="J7" s="333" t="n"/>
    </row>
    <row r="8" ht="13.5" customFormat="1" customHeight="1" s="293">
      <c r="A8" s="320" t="n"/>
    </row>
    <row r="9" ht="27" customHeight="1" s="297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11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11" t="n"/>
      <c r="K9" s="294" t="n"/>
      <c r="L9" s="294" t="n"/>
      <c r="M9" s="294" t="n"/>
      <c r="N9" s="294" t="n"/>
    </row>
    <row r="10" ht="28.5" customHeight="1" s="297">
      <c r="A10" s="413" t="n"/>
      <c r="B10" s="413" t="n"/>
      <c r="C10" s="413" t="n"/>
      <c r="D10" s="413" t="n"/>
      <c r="E10" s="413" t="n"/>
      <c r="F10" s="338" t="inlineStr">
        <is>
          <t>на ед. изм.</t>
        </is>
      </c>
      <c r="G10" s="338" t="inlineStr">
        <is>
          <t>общая</t>
        </is>
      </c>
      <c r="H10" s="413" t="n"/>
      <c r="I10" s="338" t="inlineStr">
        <is>
          <t>на ед. изм.</t>
        </is>
      </c>
      <c r="J10" s="338" t="inlineStr">
        <is>
          <t>общая</t>
        </is>
      </c>
      <c r="K10" s="294" t="n"/>
      <c r="L10" s="294" t="n"/>
      <c r="M10" s="294" t="n"/>
      <c r="N10" s="294" t="n"/>
    </row>
    <row r="11" s="297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9" t="n">
        <v>9</v>
      </c>
      <c r="J11" s="339" t="n">
        <v>10</v>
      </c>
      <c r="K11" s="294" t="n"/>
      <c r="L11" s="294" t="n"/>
      <c r="M11" s="294" t="n"/>
      <c r="N11" s="294" t="n"/>
    </row>
    <row r="12">
      <c r="A12" s="338" t="n"/>
      <c r="B12" s="346" t="inlineStr">
        <is>
          <t>Затраты труда рабочих-строителей</t>
        </is>
      </c>
      <c r="C12" s="410" t="n"/>
      <c r="D12" s="410" t="n"/>
      <c r="E12" s="410" t="n"/>
      <c r="F12" s="410" t="n"/>
      <c r="G12" s="410" t="n"/>
      <c r="H12" s="411" t="n"/>
      <c r="I12" s="245" t="n"/>
      <c r="J12" s="245" t="n"/>
    </row>
    <row r="13" ht="25.5" customHeight="1" s="297">
      <c r="A13" s="338" t="n">
        <v>1</v>
      </c>
      <c r="B13" s="235" t="inlineStr">
        <is>
          <t>1-4-1</t>
        </is>
      </c>
      <c r="C13" s="347" t="inlineStr">
        <is>
          <t>Затраты труда рабочих-строителей среднего разряда (4,1)</t>
        </is>
      </c>
      <c r="D13" s="338" t="inlineStr">
        <is>
          <t>чел.-ч.</t>
        </is>
      </c>
      <c r="E13" s="416">
        <f>G13/F13</f>
        <v/>
      </c>
      <c r="F13" s="241" t="n">
        <v>9.76</v>
      </c>
      <c r="G13" s="241" t="n">
        <v>4029.57</v>
      </c>
      <c r="H13" s="239">
        <f>G13/$G$14</f>
        <v/>
      </c>
      <c r="I13" s="241">
        <f>ФОТр.тек.!E13</f>
        <v/>
      </c>
      <c r="J13" s="241">
        <f>ROUND(I13*E13,2)</f>
        <v/>
      </c>
    </row>
    <row r="14" ht="25.5" customFormat="1" customHeight="1" s="294">
      <c r="A14" s="338" t="n"/>
      <c r="B14" s="338" t="n"/>
      <c r="C14" s="346" t="inlineStr">
        <is>
          <t>Итого по разделу "Затраты труда рабочих-строителей"</t>
        </is>
      </c>
      <c r="D14" s="338" t="inlineStr">
        <is>
          <t>чел.-ч.</t>
        </is>
      </c>
      <c r="E14" s="416">
        <f>SUM(E13:E13)</f>
        <v/>
      </c>
      <c r="F14" s="241" t="n"/>
      <c r="G14" s="241">
        <f>SUM(G13:G13)</f>
        <v/>
      </c>
      <c r="H14" s="350" t="n">
        <v>1</v>
      </c>
      <c r="I14" s="245" t="n"/>
      <c r="J14" s="241">
        <f>SUM(J13:J13)</f>
        <v/>
      </c>
    </row>
    <row r="15" ht="14.25" customFormat="1" customHeight="1" s="294">
      <c r="A15" s="338" t="n"/>
      <c r="B15" s="347" t="inlineStr">
        <is>
          <t>Затраты труда машинистов</t>
        </is>
      </c>
      <c r="C15" s="410" t="n"/>
      <c r="D15" s="410" t="n"/>
      <c r="E15" s="410" t="n"/>
      <c r="F15" s="410" t="n"/>
      <c r="G15" s="410" t="n"/>
      <c r="H15" s="411" t="n"/>
      <c r="I15" s="245" t="n"/>
      <c r="J15" s="245" t="n"/>
    </row>
    <row r="16" ht="14.25" customFormat="1" customHeight="1" s="294">
      <c r="A16" s="338" t="n">
        <v>2</v>
      </c>
      <c r="B16" s="338" t="n">
        <v>2</v>
      </c>
      <c r="C16" s="347" t="inlineStr">
        <is>
          <t>Затраты труда машинистов</t>
        </is>
      </c>
      <c r="D16" s="338" t="inlineStr">
        <is>
          <t>чел.-ч.</t>
        </is>
      </c>
      <c r="E16" s="416">
        <f>Прил.3!F20</f>
        <v/>
      </c>
      <c r="F16" s="241">
        <f>G16/E16</f>
        <v/>
      </c>
      <c r="G16" s="241">
        <f>Прил.3!H19</f>
        <v/>
      </c>
      <c r="H16" s="350" t="n">
        <v>1</v>
      </c>
      <c r="I16" s="241">
        <f>ROUND(F16*Прил.10!D11,2)</f>
        <v/>
      </c>
      <c r="J16" s="241">
        <f>ROUND(I16*E16,2)</f>
        <v/>
      </c>
    </row>
    <row r="17" ht="14.25" customFormat="1" customHeight="1" s="294">
      <c r="A17" s="338" t="n"/>
      <c r="B17" s="346" t="inlineStr">
        <is>
          <t>Машины и механизмы</t>
        </is>
      </c>
      <c r="C17" s="410" t="n"/>
      <c r="D17" s="410" t="n"/>
      <c r="E17" s="410" t="n"/>
      <c r="F17" s="410" t="n"/>
      <c r="G17" s="410" t="n"/>
      <c r="H17" s="411" t="n"/>
      <c r="I17" s="245" t="n"/>
      <c r="J17" s="245" t="n"/>
    </row>
    <row r="18" ht="14.25" customFormat="1" customHeight="1" s="294">
      <c r="A18" s="338" t="n"/>
      <c r="B18" s="347" t="inlineStr">
        <is>
          <t>Основные машины и механизмы</t>
        </is>
      </c>
      <c r="C18" s="410" t="n"/>
      <c r="D18" s="410" t="n"/>
      <c r="E18" s="410" t="n"/>
      <c r="F18" s="410" t="n"/>
      <c r="G18" s="410" t="n"/>
      <c r="H18" s="411" t="n"/>
      <c r="I18" s="245" t="n"/>
      <c r="J18" s="245" t="n"/>
    </row>
    <row r="19" ht="14.25" customFormat="1" customHeight="1" s="294">
      <c r="A19" s="338" t="n">
        <v>3</v>
      </c>
      <c r="B19" s="235" t="inlineStr">
        <is>
          <t>91.06.05-011</t>
        </is>
      </c>
      <c r="C19" s="347" t="inlineStr">
        <is>
          <t>Погрузчики, грузоподъемность 5 т</t>
        </is>
      </c>
      <c r="D19" s="338" t="inlineStr">
        <is>
          <t>маш.час</t>
        </is>
      </c>
      <c r="E19" s="416" t="n">
        <v>5.4</v>
      </c>
      <c r="F19" s="349" t="n">
        <v>89.98999999999999</v>
      </c>
      <c r="G19" s="241">
        <f>ROUND(E19*F19,2)</f>
        <v/>
      </c>
      <c r="H19" s="239">
        <f>G19/$G$25</f>
        <v/>
      </c>
      <c r="I19" s="241">
        <f>ROUND(F19*Прил.10!$D$12,2)</f>
        <v/>
      </c>
      <c r="J19" s="241">
        <f>ROUND(I19*E19,2)</f>
        <v/>
      </c>
    </row>
    <row r="20" ht="14.25" customFormat="1" customHeight="1" s="294">
      <c r="A20" s="338" t="n"/>
      <c r="B20" s="338" t="n"/>
      <c r="C20" s="347" t="inlineStr">
        <is>
          <t>Итого основные машины и механизмы</t>
        </is>
      </c>
      <c r="D20" s="338" t="n"/>
      <c r="E20" s="416" t="n"/>
      <c r="F20" s="241" t="n"/>
      <c r="G20" s="241">
        <f>SUM(G19:G19)</f>
        <v/>
      </c>
      <c r="H20" s="350">
        <f>G20/G25</f>
        <v/>
      </c>
      <c r="I20" s="247" t="n"/>
      <c r="J20" s="241">
        <f>SUM(J19:J19)</f>
        <v/>
      </c>
      <c r="K20" s="26" t="n"/>
    </row>
    <row r="21" hidden="1" outlineLevel="1" ht="25.5" customFormat="1" customHeight="1" s="294">
      <c r="A21" s="338" t="n">
        <v>4</v>
      </c>
      <c r="B21" s="235" t="inlineStr">
        <is>
          <t>91.14.02-001</t>
        </is>
      </c>
      <c r="C21" s="347" t="inlineStr">
        <is>
          <t>Автомобили бортовые, грузоподъемность до 5 т</t>
        </is>
      </c>
      <c r="D21" s="338" t="inlineStr">
        <is>
          <t>маш.час</t>
        </is>
      </c>
      <c r="E21" s="416" t="n">
        <v>0.374</v>
      </c>
      <c r="F21" s="349" t="n">
        <v>65.70999999999999</v>
      </c>
      <c r="G21" s="241">
        <f>ROUND(E21*F21,2)</f>
        <v/>
      </c>
      <c r="H21" s="239">
        <f>G21/$G$25</f>
        <v/>
      </c>
      <c r="I21" s="241">
        <f>ROUND(F21*Прил.10!$D$12,2)</f>
        <v/>
      </c>
      <c r="J21" s="241">
        <f>ROUND(I21*E21,2)</f>
        <v/>
      </c>
    </row>
    <row r="22" hidden="1" outlineLevel="1" ht="25.5" customFormat="1" customHeight="1" s="294">
      <c r="A22" s="338" t="n">
        <v>5</v>
      </c>
      <c r="B22" s="235" t="inlineStr">
        <is>
          <t>91.06.03-060</t>
        </is>
      </c>
      <c r="C22" s="347" t="inlineStr">
        <is>
          <t>Лебедки электрические тяговым усилием до 5,79 кН (0,59 т)</t>
        </is>
      </c>
      <c r="D22" s="338" t="inlineStr">
        <is>
          <t>маш.час</t>
        </is>
      </c>
      <c r="E22" s="416" t="n">
        <v>3.2</v>
      </c>
      <c r="F22" s="349" t="n">
        <v>1.7</v>
      </c>
      <c r="G22" s="241">
        <f>ROUND(E22*F22,2)</f>
        <v/>
      </c>
      <c r="H22" s="239">
        <f>G22/$G$25</f>
        <v/>
      </c>
      <c r="I22" s="241">
        <f>ROUND(F22*Прил.10!$D$12,2)</f>
        <v/>
      </c>
      <c r="J22" s="241">
        <f>ROUND(I22*E22,2)</f>
        <v/>
      </c>
    </row>
    <row r="23" hidden="1" outlineLevel="1" ht="25.5" customFormat="1" customHeight="1" s="294">
      <c r="A23" s="338" t="n">
        <v>6</v>
      </c>
      <c r="B23" s="235" t="inlineStr">
        <is>
          <t>91.05.05-015</t>
        </is>
      </c>
      <c r="C23" s="347" t="inlineStr">
        <is>
          <t>Краны на автомобильном ходу, грузоподъемность 16 т</t>
        </is>
      </c>
      <c r="D23" s="338" t="inlineStr">
        <is>
          <t>маш.час</t>
        </is>
      </c>
      <c r="E23" s="416" t="n">
        <v>0.044</v>
      </c>
      <c r="F23" s="349" t="n">
        <v>115.4</v>
      </c>
      <c r="G23" s="241">
        <f>ROUND(E23*F23,2)</f>
        <v/>
      </c>
      <c r="H23" s="239">
        <f>G23/$G$25</f>
        <v/>
      </c>
      <c r="I23" s="241">
        <f>ROUND(F23*Прил.10!$D$12,2)</f>
        <v/>
      </c>
      <c r="J23" s="241">
        <f>ROUND(I23*E23,2)</f>
        <v/>
      </c>
    </row>
    <row r="24" collapsed="1" ht="14.25" customFormat="1" customHeight="1" s="294">
      <c r="A24" s="338" t="n"/>
      <c r="B24" s="338" t="n"/>
      <c r="C24" s="347" t="inlineStr">
        <is>
          <t>Итого прочие машины и механизмы</t>
        </is>
      </c>
      <c r="D24" s="338" t="n"/>
      <c r="E24" s="348" t="n"/>
      <c r="F24" s="241" t="n"/>
      <c r="G24" s="247">
        <f>SUM(G21:G23)</f>
        <v/>
      </c>
      <c r="H24" s="239">
        <f>G24/G25</f>
        <v/>
      </c>
      <c r="I24" s="241" t="n"/>
      <c r="J24" s="247">
        <f>SUM(J21:J23)</f>
        <v/>
      </c>
    </row>
    <row r="25" ht="25.5" customFormat="1" customHeight="1" s="294">
      <c r="A25" s="338" t="n"/>
      <c r="B25" s="338" t="n"/>
      <c r="C25" s="346" t="inlineStr">
        <is>
          <t>Итого по разделу «Машины и механизмы»</t>
        </is>
      </c>
      <c r="D25" s="338" t="n"/>
      <c r="E25" s="348" t="n"/>
      <c r="F25" s="241" t="n"/>
      <c r="G25" s="241">
        <f>G24+G20</f>
        <v/>
      </c>
      <c r="H25" s="242">
        <f>H24+H20</f>
        <v/>
      </c>
      <c r="I25" s="243" t="n"/>
      <c r="J25" s="244">
        <f>J24+J20</f>
        <v/>
      </c>
    </row>
    <row r="26" ht="14.25" customFormat="1" customHeight="1" s="294">
      <c r="A26" s="338" t="n"/>
      <c r="B26" s="346" t="inlineStr">
        <is>
          <t>Оборудование</t>
        </is>
      </c>
      <c r="C26" s="410" t="n"/>
      <c r="D26" s="410" t="n"/>
      <c r="E26" s="410" t="n"/>
      <c r="F26" s="410" t="n"/>
      <c r="G26" s="410" t="n"/>
      <c r="H26" s="411" t="n"/>
      <c r="I26" s="245" t="n"/>
      <c r="J26" s="245" t="n"/>
    </row>
    <row r="27">
      <c r="A27" s="338" t="n"/>
      <c r="B27" s="347" t="inlineStr">
        <is>
          <t>Основное оборудование</t>
        </is>
      </c>
      <c r="C27" s="410" t="n"/>
      <c r="D27" s="410" t="n"/>
      <c r="E27" s="410" t="n"/>
      <c r="F27" s="410" t="n"/>
      <c r="G27" s="410" t="n"/>
      <c r="H27" s="411" t="n"/>
      <c r="I27" s="245" t="n"/>
      <c r="J27" s="245" t="n"/>
      <c r="K27" s="294" t="n"/>
      <c r="L27" s="294" t="n"/>
    </row>
    <row r="28" ht="25.5" customFormat="1" customHeight="1" s="294">
      <c r="A28" s="338" t="n">
        <v>7</v>
      </c>
      <c r="B28" s="283" t="inlineStr">
        <is>
          <t>БЦ.36.12</t>
        </is>
      </c>
      <c r="C28" s="284" t="inlineStr">
        <is>
          <t>Цифровая УПАТС с функциями диспетчерского  коммутатора в комплекте</t>
        </is>
      </c>
      <c r="D28" s="338" t="inlineStr">
        <is>
          <t>компл.</t>
        </is>
      </c>
      <c r="E28" s="417" t="n">
        <v>1</v>
      </c>
      <c r="F28" s="349">
        <f>ROUND(I28/Прил.10!$D$14,2)</f>
        <v/>
      </c>
      <c r="G28" s="241">
        <f>ROUND(E28*F28,2)</f>
        <v/>
      </c>
      <c r="H28" s="239">
        <f>G28/$G$34</f>
        <v/>
      </c>
      <c r="I28" s="241" t="n">
        <v>12645570.3</v>
      </c>
      <c r="J28" s="241">
        <f>ROUND(I28*E28,2)</f>
        <v/>
      </c>
    </row>
    <row r="29">
      <c r="A29" s="338" t="n"/>
      <c r="B29" s="338" t="n"/>
      <c r="C29" s="347" t="inlineStr">
        <is>
          <t>Итого основное оборудование</t>
        </is>
      </c>
      <c r="D29" s="338" t="n"/>
      <c r="E29" s="416" t="n"/>
      <c r="F29" s="349" t="n"/>
      <c r="G29" s="241">
        <f>SUM(G28:G28)</f>
        <v/>
      </c>
      <c r="H29" s="239">
        <f>G29/$G$34</f>
        <v/>
      </c>
      <c r="I29" s="247" t="n"/>
      <c r="J29" s="241">
        <f>SUM(J28:J28)</f>
        <v/>
      </c>
      <c r="K29" s="294" t="n"/>
      <c r="L29" s="294" t="n"/>
    </row>
    <row r="30" hidden="1" outlineLevel="1" ht="38.25" customFormat="1" customHeight="1" s="294">
      <c r="A30" s="338" t="n">
        <v>8</v>
      </c>
      <c r="B30" s="338" t="inlineStr">
        <is>
          <t>22.1.01.01-0046</t>
        </is>
      </c>
      <c r="C30" s="347" t="inlineStr">
        <is>
          <t>Боксы кабельные междугородные, корпус из алюминия, тип БММ-2-1 с плинтом ПН-10</t>
        </is>
      </c>
      <c r="D30" s="338" t="inlineStr">
        <is>
          <t>шт.</t>
        </is>
      </c>
      <c r="E30" s="417" t="n">
        <v>10</v>
      </c>
      <c r="F30" s="349" t="n">
        <v>415.4</v>
      </c>
      <c r="G30" s="241">
        <f>ROUND(E30*F30,2)</f>
        <v/>
      </c>
      <c r="H30" s="239">
        <f>G30/$G$34</f>
        <v/>
      </c>
      <c r="I30" s="241">
        <f>ROUND(F30*Прил.10!$D$14,2)</f>
        <v/>
      </c>
      <c r="J30" s="241">
        <f>ROUND(I30*E30,2)</f>
        <v/>
      </c>
    </row>
    <row r="31" hidden="1" outlineLevel="1" ht="25.5" customFormat="1" customHeight="1" s="294">
      <c r="A31" s="338" t="n">
        <v>9</v>
      </c>
      <c r="B31" s="338" t="inlineStr">
        <is>
          <t>22.1.02.06-0051</t>
        </is>
      </c>
      <c r="C31" s="347" t="inlineStr">
        <is>
          <t>Рама VX-2000PF (для 3 блоков питания VX-200PS)</t>
        </is>
      </c>
      <c r="D31" s="338" t="inlineStr">
        <is>
          <t>шт.</t>
        </is>
      </c>
      <c r="E31" s="417" t="n">
        <v>1</v>
      </c>
      <c r="F31" s="349" t="n">
        <v>1161.69</v>
      </c>
      <c r="G31" s="241">
        <f>ROUND(E31*F31,2)</f>
        <v/>
      </c>
      <c r="H31" s="239">
        <f>G31/$G$34</f>
        <v/>
      </c>
      <c r="I31" s="241">
        <f>ROUND(F31*Прил.10!$D$14,2)</f>
        <v/>
      </c>
      <c r="J31" s="241">
        <f>ROUND(I31*E31,2)</f>
        <v/>
      </c>
    </row>
    <row r="32" hidden="1" outlineLevel="1" ht="51" customFormat="1" customHeight="1" s="294">
      <c r="A32" s="338" t="n">
        <v>10</v>
      </c>
      <c r="B32" s="338" t="inlineStr">
        <is>
          <t>61.3.05.03-0011</t>
        </is>
      </c>
      <c r="C32" s="347" t="inlineStr">
        <is>
          <t>Патч-панель RJ-45 110 типа, UTP, категория 5е, Dual IDC, на 48 портов для монтажа в стойки и шкафы 19", с органайзером</t>
        </is>
      </c>
      <c r="D32" s="338" t="inlineStr">
        <is>
          <t>шт.</t>
        </is>
      </c>
      <c r="E32" s="417" t="n">
        <v>1</v>
      </c>
      <c r="F32" s="349" t="n">
        <v>516.24</v>
      </c>
      <c r="G32" s="241">
        <f>ROUND(E32*F32,2)</f>
        <v/>
      </c>
      <c r="H32" s="239">
        <f>G32/$G$34</f>
        <v/>
      </c>
      <c r="I32" s="241">
        <f>ROUND(F32*Прил.10!$D$14,2)</f>
        <v/>
      </c>
      <c r="J32" s="241">
        <f>ROUND(I32*E32,2)</f>
        <v/>
      </c>
    </row>
    <row r="33" collapsed="1" s="297">
      <c r="A33" s="338" t="n"/>
      <c r="B33" s="338" t="n"/>
      <c r="C33" s="347" t="inlineStr">
        <is>
          <t>Итого прочее оборудование</t>
        </is>
      </c>
      <c r="D33" s="338" t="n"/>
      <c r="E33" s="416" t="n"/>
      <c r="F33" s="349" t="n"/>
      <c r="G33" s="241">
        <f>SUM(G30:G32)</f>
        <v/>
      </c>
      <c r="H33" s="239">
        <f>G33/$G$34</f>
        <v/>
      </c>
      <c r="I33" s="247" t="n"/>
      <c r="J33" s="241">
        <f>SUM(J30:J32)</f>
        <v/>
      </c>
      <c r="K33" s="294" t="n"/>
      <c r="L33" s="294" t="n"/>
    </row>
    <row r="34">
      <c r="A34" s="338" t="n"/>
      <c r="B34" s="338" t="n"/>
      <c r="C34" s="346" t="inlineStr">
        <is>
          <t>Итого по разделу «Оборудование»</t>
        </is>
      </c>
      <c r="D34" s="338" t="n"/>
      <c r="E34" s="348" t="n"/>
      <c r="F34" s="349" t="n"/>
      <c r="G34" s="241">
        <f>G29+G33</f>
        <v/>
      </c>
      <c r="H34" s="350">
        <f>H33+H29</f>
        <v/>
      </c>
      <c r="I34" s="247" t="n"/>
      <c r="J34" s="241">
        <f>J33+J29</f>
        <v/>
      </c>
      <c r="K34" s="294" t="n"/>
      <c r="L34" s="294" t="n"/>
    </row>
    <row r="35" ht="25.5" customHeight="1" s="297">
      <c r="A35" s="338" t="n"/>
      <c r="B35" s="338" t="n"/>
      <c r="C35" s="347" t="inlineStr">
        <is>
          <t>в том числе технологическое оборудование</t>
        </is>
      </c>
      <c r="D35" s="338" t="n"/>
      <c r="E35" s="417" t="n"/>
      <c r="F35" s="349" t="n"/>
      <c r="G35" s="241">
        <f>'Прил.6 Расчет ОБ'!G16</f>
        <v/>
      </c>
      <c r="H35" s="350" t="n"/>
      <c r="I35" s="247" t="n"/>
      <c r="J35" s="241">
        <f>J34</f>
        <v/>
      </c>
      <c r="K35" s="294" t="n"/>
      <c r="L35" s="294" t="n"/>
    </row>
    <row r="36" ht="14.25" customFormat="1" customHeight="1" s="294">
      <c r="A36" s="338" t="n"/>
      <c r="B36" s="346" t="inlineStr">
        <is>
          <t>Материалы</t>
        </is>
      </c>
      <c r="C36" s="410" t="n"/>
      <c r="D36" s="410" t="n"/>
      <c r="E36" s="410" t="n"/>
      <c r="F36" s="410" t="n"/>
      <c r="G36" s="410" t="n"/>
      <c r="H36" s="411" t="n"/>
      <c r="I36" s="245" t="n"/>
      <c r="J36" s="245" t="n"/>
    </row>
    <row r="37" ht="14.25" customFormat="1" customHeight="1" s="294">
      <c r="A37" s="339" t="n"/>
      <c r="B37" s="342" t="inlineStr">
        <is>
          <t>Основные материалы</t>
        </is>
      </c>
      <c r="C37" s="418" t="n"/>
      <c r="D37" s="418" t="n"/>
      <c r="E37" s="418" t="n"/>
      <c r="F37" s="418" t="n"/>
      <c r="G37" s="418" t="n"/>
      <c r="H37" s="419" t="n"/>
      <c r="I37" s="249" t="n"/>
      <c r="J37" s="249" t="n"/>
    </row>
    <row r="38" ht="14.25" customFormat="1" customHeight="1" s="294">
      <c r="A38" s="338" t="n">
        <v>11</v>
      </c>
      <c r="B38" s="338" t="inlineStr">
        <is>
          <t>22.1.02.01-0051</t>
        </is>
      </c>
      <c r="C38" s="347" t="inlineStr">
        <is>
          <t>Штекер DB9 male</t>
        </is>
      </c>
      <c r="D38" s="338" t="inlineStr">
        <is>
          <t>100 шт</t>
        </is>
      </c>
      <c r="E38" s="417" t="n">
        <v>0.06</v>
      </c>
      <c r="F38" s="349" t="n">
        <v>25707</v>
      </c>
      <c r="G38" s="241">
        <f>ROUND(E38*F38,2)</f>
        <v/>
      </c>
      <c r="H38" s="239">
        <f>G38/$G$65</f>
        <v/>
      </c>
      <c r="I38" s="241">
        <f>ROUND(F38*Прил.10!$D$13,2)</f>
        <v/>
      </c>
      <c r="J38" s="241">
        <f>ROUND(I38*E38,2)</f>
        <v/>
      </c>
    </row>
    <row r="39" ht="25.5" customFormat="1" customHeight="1" s="294">
      <c r="A39" s="338" t="n">
        <v>12</v>
      </c>
      <c r="B39" s="338" t="inlineStr">
        <is>
          <t>21.1.04.01-0006</t>
        </is>
      </c>
      <c r="C39" s="347" t="inlineStr">
        <is>
          <t>Кабель компьютерный (витая пара) FTP10-C3-SOLID-INDOOR EuroLine</t>
        </is>
      </c>
      <c r="D39" s="338" t="inlineStr">
        <is>
          <t>1000 м</t>
        </is>
      </c>
      <c r="E39" s="417" t="n">
        <v>0.082</v>
      </c>
      <c r="F39" s="349" t="n">
        <v>9233.200000000001</v>
      </c>
      <c r="G39" s="241">
        <f>ROUND(E39*F39,2)</f>
        <v/>
      </c>
      <c r="H39" s="239">
        <f>G39/$G$65</f>
        <v/>
      </c>
      <c r="I39" s="241">
        <f>ROUND(F39*Прил.10!$D$13,2)</f>
        <v/>
      </c>
      <c r="J39" s="241">
        <f>ROUND(I39*E39,2)</f>
        <v/>
      </c>
    </row>
    <row r="40" ht="25.5" customFormat="1" customHeight="1" s="294">
      <c r="A40" s="338" t="n">
        <v>13</v>
      </c>
      <c r="B40" s="338" t="inlineStr">
        <is>
          <t>21.1.04.01-0006</t>
        </is>
      </c>
      <c r="C40" s="347" t="inlineStr">
        <is>
          <t>Кабель компьютерный (витая пара) FTP10-C3-SOLID-INDOOR EuroLine</t>
        </is>
      </c>
      <c r="D40" s="338" t="inlineStr">
        <is>
          <t>1000 м</t>
        </is>
      </c>
      <c r="E40" s="417" t="n">
        <v>0.082</v>
      </c>
      <c r="F40" s="349" t="n">
        <v>9233.200000000001</v>
      </c>
      <c r="G40" s="241">
        <f>ROUND(E40*F40,2)</f>
        <v/>
      </c>
      <c r="H40" s="239">
        <f>G40/$G$65</f>
        <v/>
      </c>
      <c r="I40" s="241">
        <f>ROUND(F40*Прил.10!$D$13,2)</f>
        <v/>
      </c>
      <c r="J40" s="241">
        <f>ROUND(I40*E40,2)</f>
        <v/>
      </c>
    </row>
    <row r="41" ht="63.75" customFormat="1" customHeight="1" s="294">
      <c r="A41" s="338" t="n">
        <v>14</v>
      </c>
      <c r="B41" s="338" t="inlineStr">
        <is>
          <t>21.2.02.03-0002</t>
        </is>
      </c>
      <c r="C41" s="347" t="inlineStr">
        <is>
      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      </is>
      </c>
      <c r="D41" s="338" t="inlineStr">
        <is>
          <t>1000 м</t>
        </is>
      </c>
      <c r="E41" s="417" t="n">
        <v>1.03</v>
      </c>
      <c r="F41" s="349" t="n">
        <v>500</v>
      </c>
      <c r="G41" s="241">
        <f>ROUND(E41*F41,2)</f>
        <v/>
      </c>
      <c r="H41" s="239">
        <f>G41/$G$65</f>
        <v/>
      </c>
      <c r="I41" s="241">
        <f>ROUND(F41*Прил.10!$D$13,2)</f>
        <v/>
      </c>
      <c r="J41" s="241">
        <f>ROUND(I41*E41,2)</f>
        <v/>
      </c>
    </row>
    <row r="42" ht="63.75" customFormat="1" customHeight="1" s="294">
      <c r="A42" s="338" t="n">
        <v>15</v>
      </c>
      <c r="B42" s="338" t="inlineStr">
        <is>
          <t>01.7.15.10-0056</t>
        </is>
      </c>
      <c r="C42" s="347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D42" s="338" t="inlineStr">
        <is>
          <t>10 шт</t>
        </is>
      </c>
      <c r="E42" s="417" t="n">
        <v>9.6</v>
      </c>
      <c r="F42" s="349" t="n">
        <v>22.61</v>
      </c>
      <c r="G42" s="241">
        <f>ROUND(E42*F42,2)</f>
        <v/>
      </c>
      <c r="H42" s="239">
        <f>G42/$G$65</f>
        <v/>
      </c>
      <c r="I42" s="241">
        <f>ROUND(F42*Прил.10!$D$13,2)</f>
        <v/>
      </c>
      <c r="J42" s="241">
        <f>ROUND(I42*E42,2)</f>
        <v/>
      </c>
    </row>
    <row r="43" ht="25.5" customFormat="1" customHeight="1" s="294">
      <c r="A43" s="338" t="n">
        <v>16</v>
      </c>
      <c r="B43" s="338" t="inlineStr">
        <is>
          <t>21.1.04.01-1006</t>
        </is>
      </c>
      <c r="C43" s="347" t="inlineStr">
        <is>
          <t>Кабель витая пара, категория 5e, ЭКС-ГВПВЭ 4х2х0,51</t>
        </is>
      </c>
      <c r="D43" s="338" t="inlineStr">
        <is>
          <t>1000 м</t>
        </is>
      </c>
      <c r="E43" s="417" t="n">
        <v>0.061</v>
      </c>
      <c r="F43" s="349" t="n">
        <v>2719.53</v>
      </c>
      <c r="G43" s="241">
        <f>ROUND(E43*F43,2)</f>
        <v/>
      </c>
      <c r="H43" s="239">
        <f>G43/$G$65</f>
        <v/>
      </c>
      <c r="I43" s="241">
        <f>ROUND(F43*Прил.10!$D$13,2)</f>
        <v/>
      </c>
      <c r="J43" s="241">
        <f>ROUND(I43*E43,2)</f>
        <v/>
      </c>
    </row>
    <row r="44" ht="14.25" customFormat="1" customHeight="1" s="294">
      <c r="A44" s="338" t="n"/>
      <c r="B44" s="213" t="n"/>
      <c r="C44" s="214" t="inlineStr">
        <is>
          <t>Итого основные материалы</t>
        </is>
      </c>
      <c r="D44" s="340" t="n"/>
      <c r="E44" s="420" t="n"/>
      <c r="F44" s="244" t="n"/>
      <c r="G44" s="244">
        <f>SUM(G38:G43)</f>
        <v/>
      </c>
      <c r="H44" s="239">
        <f>G44/$G$65</f>
        <v/>
      </c>
      <c r="I44" s="241" t="n"/>
      <c r="J44" s="244">
        <f>SUM(J38:J43)</f>
        <v/>
      </c>
      <c r="K44" s="26" t="n"/>
      <c r="L44" s="26" t="n"/>
    </row>
    <row r="45" hidden="1" outlineLevel="1" ht="25.5" customFormat="1" customHeight="1" s="294">
      <c r="A45" s="338" t="n">
        <v>17</v>
      </c>
      <c r="B45" s="338" t="inlineStr">
        <is>
          <t>10.3.02.03-0013</t>
        </is>
      </c>
      <c r="C45" s="347" t="inlineStr">
        <is>
          <t>Припои оловянно-свинцовые бессурьмянистые, марка ПОС61</t>
        </is>
      </c>
      <c r="D45" s="338" t="inlineStr">
        <is>
          <t>т</t>
        </is>
      </c>
      <c r="E45" s="417" t="n">
        <v>0.00113</v>
      </c>
      <c r="F45" s="349" t="n">
        <v>114220</v>
      </c>
      <c r="G45" s="241">
        <f>ROUND(E45*F45,2)</f>
        <v/>
      </c>
      <c r="H45" s="239">
        <f>G45/$G$65</f>
        <v/>
      </c>
      <c r="I45" s="241">
        <f>ROUND(F45*Прил.10!$D$13,2)</f>
        <v/>
      </c>
      <c r="J45" s="241">
        <f>ROUND(I45*E45,2)</f>
        <v/>
      </c>
    </row>
    <row r="46" hidden="1" outlineLevel="1" ht="14.25" customFormat="1" customHeight="1" s="294">
      <c r="A46" s="338" t="n">
        <v>18</v>
      </c>
      <c r="B46" s="338" t="inlineStr">
        <is>
          <t>11.2.04.03-0001</t>
        </is>
      </c>
      <c r="C46" s="347" t="inlineStr">
        <is>
          <t>Подрозетники деревянные</t>
        </is>
      </c>
      <c r="D46" s="338" t="inlineStr">
        <is>
          <t>100 шт</t>
        </is>
      </c>
      <c r="E46" s="417" t="n">
        <v>0.48</v>
      </c>
      <c r="F46" s="349" t="n">
        <v>216</v>
      </c>
      <c r="G46" s="241">
        <f>ROUND(E46*F46,2)</f>
        <v/>
      </c>
      <c r="H46" s="239">
        <f>G46/$G$65</f>
        <v/>
      </c>
      <c r="I46" s="241">
        <f>ROUND(F46*Прил.10!$D$13,2)</f>
        <v/>
      </c>
      <c r="J46" s="241">
        <f>ROUND(I46*E46,2)</f>
        <v/>
      </c>
    </row>
    <row r="47" hidden="1" outlineLevel="1" ht="25.5" customFormat="1" customHeight="1" s="294">
      <c r="A47" s="338" t="n">
        <v>19</v>
      </c>
      <c r="B47" s="338" t="inlineStr">
        <is>
          <t>999-9950</t>
        </is>
      </c>
      <c r="C47" s="347" t="inlineStr">
        <is>
          <t>Вспомогательные ненормируемые ресурсы (2% от Оплаты труда рабочих)</t>
        </is>
      </c>
      <c r="D47" s="338" t="inlineStr">
        <is>
          <t>руб</t>
        </is>
      </c>
      <c r="E47" s="417" t="n">
        <v>80.18380000000001</v>
      </c>
      <c r="F47" s="349" t="n">
        <v>1</v>
      </c>
      <c r="G47" s="241">
        <f>ROUND(E47*F47,2)</f>
        <v/>
      </c>
      <c r="H47" s="239">
        <f>G47/$G$65</f>
        <v/>
      </c>
      <c r="I47" s="241">
        <f>ROUND(F47*Прил.10!$D$13,2)</f>
        <v/>
      </c>
      <c r="J47" s="241">
        <f>ROUND(I47*E47,2)</f>
        <v/>
      </c>
    </row>
    <row r="48" hidden="1" outlineLevel="1" ht="25.5" customFormat="1" customHeight="1" s="294">
      <c r="A48" s="338" t="n">
        <v>20</v>
      </c>
      <c r="B48" s="338" t="inlineStr">
        <is>
          <t>01.7.15.07-0012</t>
        </is>
      </c>
      <c r="C48" s="347" t="inlineStr">
        <is>
          <t>Дюбели пластмассовые с шурупами, размер 12х70 мм</t>
        </is>
      </c>
      <c r="D48" s="338" t="inlineStr">
        <is>
          <t>100 шт</t>
        </is>
      </c>
      <c r="E48" s="417" t="n">
        <v>0.96</v>
      </c>
      <c r="F48" s="349" t="n">
        <v>83</v>
      </c>
      <c r="G48" s="241">
        <f>ROUND(E48*F48,2)</f>
        <v/>
      </c>
      <c r="H48" s="239">
        <f>G48/$G$65</f>
        <v/>
      </c>
      <c r="I48" s="241">
        <f>ROUND(F48*Прил.10!$D$13,2)</f>
        <v/>
      </c>
      <c r="J48" s="241">
        <f>ROUND(I48*E48,2)</f>
        <v/>
      </c>
    </row>
    <row r="49" hidden="1" outlineLevel="1" ht="25.5" customFormat="1" customHeight="1" s="294">
      <c r="A49" s="338" t="n">
        <v>21</v>
      </c>
      <c r="B49" s="338" t="inlineStr">
        <is>
          <t>11.2.11.05-0002</t>
        </is>
      </c>
      <c r="C49" s="347" t="inlineStr">
        <is>
          <t>Фанера клееная обрезная, сорт В/ВВ, ФК, ФБА, толщина 4 мм</t>
        </is>
      </c>
      <c r="D49" s="338" t="inlineStr">
        <is>
          <t>м3</t>
        </is>
      </c>
      <c r="E49" s="417" t="n">
        <v>0.016</v>
      </c>
      <c r="F49" s="349" t="n">
        <v>4949.4</v>
      </c>
      <c r="G49" s="241">
        <f>ROUND(E49*F49,2)</f>
        <v/>
      </c>
      <c r="H49" s="239">
        <f>G49/$G$65</f>
        <v/>
      </c>
      <c r="I49" s="241">
        <f>ROUND(F49*Прил.10!$D$13,2)</f>
        <v/>
      </c>
      <c r="J49" s="241">
        <f>ROUND(I49*E49,2)</f>
        <v/>
      </c>
    </row>
    <row r="50" hidden="1" outlineLevel="1" ht="38.25" customFormat="1" customHeight="1" s="294">
      <c r="A50" s="338" t="n">
        <v>22</v>
      </c>
      <c r="B50" s="338" t="inlineStr">
        <is>
          <t>11.1.03.05-0081</t>
        </is>
      </c>
      <c r="C50" s="347" t="inlineStr">
        <is>
          <t>Доска необрезная, хвойных пород, длина 4-6,5 м, все ширины, толщина 32-40 мм, сорт III</t>
        </is>
      </c>
      <c r="D50" s="338" t="inlineStr">
        <is>
          <t>м3</t>
        </is>
      </c>
      <c r="E50" s="417" t="n">
        <v>0.048</v>
      </c>
      <c r="F50" s="349" t="n">
        <v>832.7</v>
      </c>
      <c r="G50" s="241">
        <f>ROUND(E50*F50,2)</f>
        <v/>
      </c>
      <c r="H50" s="239">
        <f>G50/$G$65</f>
        <v/>
      </c>
      <c r="I50" s="241">
        <f>ROUND(F50*Прил.10!$D$13,2)</f>
        <v/>
      </c>
      <c r="J50" s="241">
        <f>ROUND(I50*E50,2)</f>
        <v/>
      </c>
    </row>
    <row r="51" hidden="1" outlineLevel="1" ht="25.5" customFormat="1" customHeight="1" s="294">
      <c r="A51" s="338" t="n">
        <v>23</v>
      </c>
      <c r="B51" s="338" t="inlineStr">
        <is>
          <t>10.3.02.03-0012</t>
        </is>
      </c>
      <c r="C51" s="347" t="inlineStr">
        <is>
          <t>Припои оловянно-свинцовые бессурьмянистые, марка ПОС40</t>
        </is>
      </c>
      <c r="D51" s="338" t="inlineStr">
        <is>
          <t>т</t>
        </is>
      </c>
      <c r="E51" s="417" t="n">
        <v>0.00048</v>
      </c>
      <c r="F51" s="349" t="n">
        <v>65750</v>
      </c>
      <c r="G51" s="241">
        <f>ROUND(E51*F51,2)</f>
        <v/>
      </c>
      <c r="H51" s="239">
        <f>G51/$G$65</f>
        <v/>
      </c>
      <c r="I51" s="241">
        <f>ROUND(F51*Прил.10!$D$13,2)</f>
        <v/>
      </c>
      <c r="J51" s="241">
        <f>ROUND(I51*E51,2)</f>
        <v/>
      </c>
    </row>
    <row r="52" hidden="1" outlineLevel="1" ht="14.25" customFormat="1" customHeight="1" s="294">
      <c r="A52" s="338" t="n">
        <v>24</v>
      </c>
      <c r="B52" s="338" t="inlineStr">
        <is>
          <t>22.1.02.01-0032</t>
        </is>
      </c>
      <c r="C52" s="347" t="inlineStr">
        <is>
          <t>Вилка 2-парная 110 типа, CAT5e REXANT</t>
        </is>
      </c>
      <c r="D52" s="338" t="inlineStr">
        <is>
          <t>100 шт</t>
        </is>
      </c>
      <c r="E52" s="417" t="n">
        <v>0.06</v>
      </c>
      <c r="F52" s="349" t="n">
        <v>514.25</v>
      </c>
      <c r="G52" s="241">
        <f>ROUND(E52*F52,2)</f>
        <v/>
      </c>
      <c r="H52" s="239">
        <f>G52/$G$65</f>
        <v/>
      </c>
      <c r="I52" s="241">
        <f>ROUND(F52*Прил.10!$D$13,2)</f>
        <v/>
      </c>
      <c r="J52" s="241">
        <f>ROUND(I52*E52,2)</f>
        <v/>
      </c>
    </row>
    <row r="53" hidden="1" outlineLevel="1" ht="25.5" customFormat="1" customHeight="1" s="294">
      <c r="A53" s="338" t="n">
        <v>25</v>
      </c>
      <c r="B53" s="338" t="inlineStr">
        <is>
          <t>01.7.06.03-0023</t>
        </is>
      </c>
      <c r="C53" s="347" t="inlineStr">
        <is>
          <t>Лента полиэтиленовая с липким слоем, марка А</t>
        </is>
      </c>
      <c r="D53" s="338" t="inlineStr">
        <is>
          <t>кг</t>
        </is>
      </c>
      <c r="E53" s="417" t="n">
        <v>0.48</v>
      </c>
      <c r="F53" s="349" t="n">
        <v>39.02</v>
      </c>
      <c r="G53" s="241">
        <f>ROUND(E53*F53,2)</f>
        <v/>
      </c>
      <c r="H53" s="239">
        <f>G53/$G$65</f>
        <v/>
      </c>
      <c r="I53" s="241">
        <f>ROUND(F53*Прил.10!$D$13,2)</f>
        <v/>
      </c>
      <c r="J53" s="241">
        <f>ROUND(I53*E53,2)</f>
        <v/>
      </c>
    </row>
    <row r="54" hidden="1" outlineLevel="1" ht="14.25" customFormat="1" customHeight="1" s="294">
      <c r="A54" s="338" t="n">
        <v>26</v>
      </c>
      <c r="B54" s="338" t="inlineStr">
        <is>
          <t>01.3.05.17-0002</t>
        </is>
      </c>
      <c r="C54" s="347" t="inlineStr">
        <is>
          <t>Канифоль сосновая</t>
        </is>
      </c>
      <c r="D54" s="338" t="inlineStr">
        <is>
          <t>кг</t>
        </is>
      </c>
      <c r="E54" s="417" t="n">
        <v>0.48</v>
      </c>
      <c r="F54" s="349" t="n">
        <v>27.74</v>
      </c>
      <c r="G54" s="241">
        <f>ROUND(E54*F54,2)</f>
        <v/>
      </c>
      <c r="H54" s="239">
        <f>G54/$G$65</f>
        <v/>
      </c>
      <c r="I54" s="241">
        <f>ROUND(F54*Прил.10!$D$13,2)</f>
        <v/>
      </c>
      <c r="J54" s="241">
        <f>ROUND(I54*E54,2)</f>
        <v/>
      </c>
    </row>
    <row r="55" hidden="1" outlineLevel="1" ht="14.25" customFormat="1" customHeight="1" s="294">
      <c r="A55" s="338" t="n">
        <v>27</v>
      </c>
      <c r="B55" s="338" t="inlineStr">
        <is>
          <t>20.2.01.05-0003</t>
        </is>
      </c>
      <c r="C55" s="347" t="inlineStr">
        <is>
          <t>Гильзы кабельные медные ГМ 6</t>
        </is>
      </c>
      <c r="D55" s="338" t="inlineStr">
        <is>
          <t>100 шт</t>
        </is>
      </c>
      <c r="E55" s="417" t="n">
        <v>0.11</v>
      </c>
      <c r="F55" s="349" t="n">
        <v>110</v>
      </c>
      <c r="G55" s="241">
        <f>ROUND(E55*F55,2)</f>
        <v/>
      </c>
      <c r="H55" s="239">
        <f>G55/$G$65</f>
        <v/>
      </c>
      <c r="I55" s="241">
        <f>ROUND(F55*Прил.10!$D$13,2)</f>
        <v/>
      </c>
      <c r="J55" s="241">
        <f>ROUND(I55*E55,2)</f>
        <v/>
      </c>
    </row>
    <row r="56" hidden="1" outlineLevel="1" ht="38.25" customFormat="1" customHeight="1" s="294">
      <c r="A56" s="338" t="n">
        <v>28</v>
      </c>
      <c r="B56" s="338" t="inlineStr">
        <is>
          <t>01.7.06.05-0041</t>
        </is>
      </c>
      <c r="C56" s="347" t="inlineStr">
        <is>
          <t>Лента изоляционная прорезиненная односторонняя, ширина 20 мм, толщина 0,25-0,35 мм</t>
        </is>
      </c>
      <c r="D56" s="338" t="inlineStr">
        <is>
          <t>кг</t>
        </is>
      </c>
      <c r="E56" s="417" t="n">
        <v>0.352</v>
      </c>
      <c r="F56" s="349" t="n">
        <v>30.4</v>
      </c>
      <c r="G56" s="241">
        <f>ROUND(E56*F56,2)</f>
        <v/>
      </c>
      <c r="H56" s="239">
        <f>G56/$G$65</f>
        <v/>
      </c>
      <c r="I56" s="241">
        <f>ROUND(F56*Прил.10!$D$13,2)</f>
        <v/>
      </c>
      <c r="J56" s="241">
        <f>ROUND(I56*E56,2)</f>
        <v/>
      </c>
    </row>
    <row r="57" hidden="1" outlineLevel="1" ht="14.25" customFormat="1" customHeight="1" s="294">
      <c r="A57" s="338" t="n">
        <v>29</v>
      </c>
      <c r="B57" s="338" t="inlineStr">
        <is>
          <t>01.7.20.03-0012</t>
        </is>
      </c>
      <c r="C57" s="347" t="inlineStr">
        <is>
          <t>Мешковина джутовая</t>
        </is>
      </c>
      <c r="D57" s="338" t="inlineStr">
        <is>
          <t>м2</t>
        </is>
      </c>
      <c r="E57" s="417" t="n">
        <v>0.9</v>
      </c>
      <c r="F57" s="349" t="n">
        <v>8.33</v>
      </c>
      <c r="G57" s="241">
        <f>ROUND(E57*F57,2)</f>
        <v/>
      </c>
      <c r="H57" s="239">
        <f>G57/$G$65</f>
        <v/>
      </c>
      <c r="I57" s="241">
        <f>ROUND(F57*Прил.10!$D$13,2)</f>
        <v/>
      </c>
      <c r="J57" s="241">
        <f>ROUND(I57*E57,2)</f>
        <v/>
      </c>
    </row>
    <row r="58" hidden="1" outlineLevel="1" ht="14.25" customFormat="1" customHeight="1" s="294">
      <c r="A58" s="338" t="n">
        <v>30</v>
      </c>
      <c r="B58" s="338" t="inlineStr">
        <is>
          <t>20.2.02.01-0012</t>
        </is>
      </c>
      <c r="C58" s="347" t="inlineStr">
        <is>
          <t>Втулки, диаметр 22 мм</t>
        </is>
      </c>
      <c r="D58" s="338" t="inlineStr">
        <is>
          <t>1000 шт</t>
        </is>
      </c>
      <c r="E58" s="417" t="n">
        <v>0.02684</v>
      </c>
      <c r="F58" s="349" t="n">
        <v>119</v>
      </c>
      <c r="G58" s="241">
        <f>ROUND(E58*F58,2)</f>
        <v/>
      </c>
      <c r="H58" s="239">
        <f>G58/$G$65</f>
        <v/>
      </c>
      <c r="I58" s="241">
        <f>ROUND(F58*Прил.10!$D$13,2)</f>
        <v/>
      </c>
      <c r="J58" s="241">
        <f>ROUND(I58*E58,2)</f>
        <v/>
      </c>
    </row>
    <row r="59" hidden="1" outlineLevel="1" ht="14.25" customFormat="1" customHeight="1" s="294">
      <c r="A59" s="338" t="n">
        <v>31</v>
      </c>
      <c r="B59" s="338" t="inlineStr">
        <is>
          <t>01.7.07.20-0002</t>
        </is>
      </c>
      <c r="C59" s="347" t="inlineStr">
        <is>
          <t>Тальк молотый, сорт I</t>
        </is>
      </c>
      <c r="D59" s="338" t="inlineStr">
        <is>
          <t>т</t>
        </is>
      </c>
      <c r="E59" s="417" t="n">
        <v>0.00132</v>
      </c>
      <c r="F59" s="349" t="n">
        <v>1820</v>
      </c>
      <c r="G59" s="241">
        <f>ROUND(E59*F59,2)</f>
        <v/>
      </c>
      <c r="H59" s="239">
        <f>G59/$G$65</f>
        <v/>
      </c>
      <c r="I59" s="241">
        <f>ROUND(F59*Прил.10!$D$13,2)</f>
        <v/>
      </c>
      <c r="J59" s="241">
        <f>ROUND(I59*E59,2)</f>
        <v/>
      </c>
    </row>
    <row r="60" hidden="1" outlineLevel="1" ht="14.25" customFormat="1" customHeight="1" s="294">
      <c r="A60" s="338" t="n">
        <v>32</v>
      </c>
      <c r="B60" s="338" t="inlineStr">
        <is>
          <t>14.4.02.09-0001</t>
        </is>
      </c>
      <c r="C60" s="347" t="inlineStr">
        <is>
          <t>Краска</t>
        </is>
      </c>
      <c r="D60" s="338" t="inlineStr">
        <is>
          <t>кг</t>
        </is>
      </c>
      <c r="E60" s="417" t="n">
        <v>0.044</v>
      </c>
      <c r="F60" s="349" t="n">
        <v>28.6</v>
      </c>
      <c r="G60" s="241">
        <f>ROUND(E60*F60,2)</f>
        <v/>
      </c>
      <c r="H60" s="239">
        <f>G60/$G$65</f>
        <v/>
      </c>
      <c r="I60" s="241">
        <f>ROUND(F60*Прил.10!$D$13,2)</f>
        <v/>
      </c>
      <c r="J60" s="241">
        <f>ROUND(I60*E60,2)</f>
        <v/>
      </c>
    </row>
    <row r="61" hidden="1" outlineLevel="1" ht="14.25" customFormat="1" customHeight="1" s="294">
      <c r="A61" s="338" t="n">
        <v>33</v>
      </c>
      <c r="B61" s="338" t="inlineStr">
        <is>
          <t>14.1.01.01-0003</t>
        </is>
      </c>
      <c r="C61" s="347" t="inlineStr">
        <is>
          <t>Клей столярный сухой</t>
        </is>
      </c>
      <c r="D61" s="338" t="inlineStr">
        <is>
          <t>кг</t>
        </is>
      </c>
      <c r="E61" s="417" t="n">
        <v>0.05</v>
      </c>
      <c r="F61" s="349" t="n">
        <v>16.95</v>
      </c>
      <c r="G61" s="241">
        <f>ROUND(E61*F61,2)</f>
        <v/>
      </c>
      <c r="H61" s="239">
        <f>G61/$G$65</f>
        <v/>
      </c>
      <c r="I61" s="241">
        <f>ROUND(F61*Прил.10!$D$13,2)</f>
        <v/>
      </c>
      <c r="J61" s="241">
        <f>ROUND(I61*E61,2)</f>
        <v/>
      </c>
    </row>
    <row r="62" hidden="1" outlineLevel="1" ht="25.5" customFormat="1" customHeight="1" s="294">
      <c r="A62" s="338" t="n">
        <v>34</v>
      </c>
      <c r="B62" s="338" t="inlineStr">
        <is>
          <t>01.7.15.04-0011</t>
        </is>
      </c>
      <c r="C62" s="347" t="inlineStr">
        <is>
          <t>Винты с полукруглой головкой, длина 50 мм</t>
        </is>
      </c>
      <c r="D62" s="338" t="inlineStr">
        <is>
          <t>т</t>
        </is>
      </c>
      <c r="E62" s="417" t="n">
        <v>4e-06</v>
      </c>
      <c r="F62" s="349" t="n">
        <v>12430</v>
      </c>
      <c r="G62" s="241">
        <f>ROUND(E62*F62,2)</f>
        <v/>
      </c>
      <c r="H62" s="239">
        <f>G62/$G$65</f>
        <v/>
      </c>
      <c r="I62" s="241">
        <f>ROUND(F62*Прил.10!$D$13,2)</f>
        <v/>
      </c>
      <c r="J62" s="241">
        <f>ROUND(I62*E62,2)</f>
        <v/>
      </c>
    </row>
    <row r="63" hidden="1" outlineLevel="1" ht="14.25" customFormat="1" customHeight="1" s="294">
      <c r="A63" s="338" t="n">
        <v>35</v>
      </c>
      <c r="B63" s="338" t="inlineStr">
        <is>
          <t>999-0005</t>
        </is>
      </c>
      <c r="C63" s="347" t="inlineStr">
        <is>
          <t>Масса</t>
        </is>
      </c>
      <c r="D63" s="338" t="inlineStr">
        <is>
          <t>т</t>
        </is>
      </c>
      <c r="E63" s="417" t="n">
        <v>0.0482</v>
      </c>
      <c r="F63" s="349" t="n"/>
      <c r="G63" s="241">
        <f>ROUND(E63*F63,2)</f>
        <v/>
      </c>
      <c r="H63" s="239">
        <f>G63/$G$65</f>
        <v/>
      </c>
      <c r="I63" s="241">
        <f>ROUND(F63*Прил.10!$D$13,2)</f>
        <v/>
      </c>
      <c r="J63" s="241">
        <f>ROUND(I63*E63,2)</f>
        <v/>
      </c>
    </row>
    <row r="64" collapsed="1" ht="14.25" customFormat="1" customHeight="1" s="294">
      <c r="A64" s="338" t="n"/>
      <c r="B64" s="338" t="n"/>
      <c r="C64" s="347" t="inlineStr">
        <is>
          <t>Итого прочие материалы</t>
        </is>
      </c>
      <c r="D64" s="338" t="n"/>
      <c r="E64" s="348" t="n"/>
      <c r="F64" s="349" t="n"/>
      <c r="G64" s="241">
        <f>SUM(G45:G63)</f>
        <v/>
      </c>
      <c r="H64" s="239">
        <f>G64/$G$65</f>
        <v/>
      </c>
      <c r="I64" s="241" t="n"/>
      <c r="J64" s="241">
        <f>SUM(J45:J63)</f>
        <v/>
      </c>
    </row>
    <row r="65" ht="14.25" customFormat="1" customHeight="1" s="294">
      <c r="A65" s="338" t="n"/>
      <c r="B65" s="338" t="n"/>
      <c r="C65" s="346" t="inlineStr">
        <is>
          <t>Итого по разделу «Материалы»</t>
        </is>
      </c>
      <c r="D65" s="338" t="n"/>
      <c r="E65" s="348" t="n"/>
      <c r="F65" s="349" t="n"/>
      <c r="G65" s="241">
        <f>G44+G64</f>
        <v/>
      </c>
      <c r="H65" s="350">
        <f>G65/$G$65</f>
        <v/>
      </c>
      <c r="I65" s="241" t="n"/>
      <c r="J65" s="241">
        <f>J44+J64</f>
        <v/>
      </c>
    </row>
    <row r="66" ht="14.25" customFormat="1" customHeight="1" s="294">
      <c r="A66" s="338" t="n"/>
      <c r="B66" s="338" t="n"/>
      <c r="C66" s="347" t="inlineStr">
        <is>
          <t>ИТОГО ПО РМ</t>
        </is>
      </c>
      <c r="D66" s="338" t="n"/>
      <c r="E66" s="348" t="n"/>
      <c r="F66" s="349" t="n"/>
      <c r="G66" s="241">
        <f>G14+G25+G65</f>
        <v/>
      </c>
      <c r="H66" s="350" t="n"/>
      <c r="I66" s="241" t="n"/>
      <c r="J66" s="241">
        <f>J14+J25+J65</f>
        <v/>
      </c>
    </row>
    <row r="67" ht="14.25" customFormat="1" customHeight="1" s="294">
      <c r="A67" s="338" t="n"/>
      <c r="B67" s="338" t="n"/>
      <c r="C67" s="347" t="inlineStr">
        <is>
          <t>Накладные расходы</t>
        </is>
      </c>
      <c r="D67" s="219">
        <f>ROUND(G67/(G$16+$G$14),2)</f>
        <v/>
      </c>
      <c r="E67" s="348" t="n"/>
      <c r="F67" s="349" t="n"/>
      <c r="G67" s="241" t="n">
        <v>3687.71</v>
      </c>
      <c r="H67" s="350" t="n"/>
      <c r="I67" s="241" t="n"/>
      <c r="J67" s="241">
        <f>ROUND(D67*(J14+J16),2)</f>
        <v/>
      </c>
    </row>
    <row r="68" ht="14.25" customFormat="1" customHeight="1" s="294">
      <c r="A68" s="338" t="n"/>
      <c r="B68" s="338" t="n"/>
      <c r="C68" s="347" t="inlineStr">
        <is>
          <t>Сметная прибыль</t>
        </is>
      </c>
      <c r="D68" s="219">
        <f>ROUND(G68/(G$14+G$16),2)</f>
        <v/>
      </c>
      <c r="E68" s="348" t="n"/>
      <c r="F68" s="349" t="n"/>
      <c r="G68" s="241" t="n">
        <v>1886.45</v>
      </c>
      <c r="H68" s="350" t="n"/>
      <c r="I68" s="241" t="n"/>
      <c r="J68" s="241">
        <f>ROUND(D68*(J14+J16),2)</f>
        <v/>
      </c>
    </row>
    <row r="69" ht="14.25" customFormat="1" customHeight="1" s="294">
      <c r="A69" s="338" t="n"/>
      <c r="B69" s="338" t="n"/>
      <c r="C69" s="347" t="inlineStr">
        <is>
          <t>Итого СМР (с НР и СП)</t>
        </is>
      </c>
      <c r="D69" s="338" t="n"/>
      <c r="E69" s="348" t="n"/>
      <c r="F69" s="349" t="n"/>
      <c r="G69" s="241">
        <f>G14+G25+G65+G67+G68</f>
        <v/>
      </c>
      <c r="H69" s="350" t="n"/>
      <c r="I69" s="241" t="n"/>
      <c r="J69" s="241">
        <f>J14+J25+J65+J67+J68</f>
        <v/>
      </c>
    </row>
    <row r="70" ht="14.25" customFormat="1" customHeight="1" s="294">
      <c r="A70" s="338" t="n"/>
      <c r="B70" s="338" t="n"/>
      <c r="C70" s="347" t="inlineStr">
        <is>
          <t>ВСЕГО СМР + ОБОРУДОВАНИЕ</t>
        </is>
      </c>
      <c r="D70" s="338" t="n"/>
      <c r="E70" s="348" t="n"/>
      <c r="F70" s="349" t="n"/>
      <c r="G70" s="241">
        <f>G69+G34</f>
        <v/>
      </c>
      <c r="H70" s="350" t="n"/>
      <c r="I70" s="241" t="n"/>
      <c r="J70" s="241">
        <f>J69+J34</f>
        <v/>
      </c>
    </row>
    <row r="71" ht="34.5" customFormat="1" customHeight="1" s="294">
      <c r="A71" s="338" t="n"/>
      <c r="B71" s="338" t="n"/>
      <c r="C71" s="347" t="inlineStr">
        <is>
          <t>ИТОГО ПОКАЗАТЕЛЬ НА ЕД. ИЗМ.</t>
        </is>
      </c>
      <c r="D71" s="338" t="inlineStr">
        <is>
          <t>компл.</t>
        </is>
      </c>
      <c r="E71" s="421" t="n">
        <v>1</v>
      </c>
      <c r="F71" s="349" t="n"/>
      <c r="G71" s="241">
        <f>G70/E71</f>
        <v/>
      </c>
      <c r="H71" s="350" t="n"/>
      <c r="I71" s="241" t="n"/>
      <c r="J71" s="241">
        <f>J70/E71</f>
        <v/>
      </c>
    </row>
    <row r="73" ht="14.25" customFormat="1" customHeight="1" s="294">
      <c r="A73" s="293" t="inlineStr">
        <is>
          <t>Составил ______________________    Д.Ю. Нефедова</t>
        </is>
      </c>
    </row>
    <row r="74" ht="14.25" customFormat="1" customHeight="1" s="294">
      <c r="A74" s="296" t="inlineStr">
        <is>
          <t xml:space="preserve">                         (подпись, инициалы, фамилия)</t>
        </is>
      </c>
    </row>
    <row r="75" ht="14.25" customFormat="1" customHeight="1" s="294">
      <c r="A75" s="293" t="n"/>
    </row>
    <row r="76" ht="14.25" customFormat="1" customHeight="1" s="294">
      <c r="A76" s="293" t="inlineStr">
        <is>
          <t>Проверил ______________________        А.В. Костянецкая</t>
        </is>
      </c>
    </row>
    <row r="77" ht="14.25" customFormat="1" customHeight="1" s="294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workbookViewId="0">
      <selection activeCell="C19" sqref="C19"/>
    </sheetView>
  </sheetViews>
  <sheetFormatPr baseColWidth="8" defaultRowHeight="15"/>
  <cols>
    <col width="5.7109375" customWidth="1" style="297" min="1" max="1"/>
    <col width="17.5703125" customWidth="1" style="297" min="2" max="2"/>
    <col width="39.140625" customWidth="1" style="297" min="3" max="3"/>
    <col width="10.7109375" customWidth="1" style="297" min="4" max="4"/>
    <col width="13.85546875" customWidth="1" style="297" min="5" max="5"/>
    <col width="14.5703125" customWidth="1" style="297" min="6" max="6"/>
    <col width="14.140625" customWidth="1" style="297" min="7" max="7"/>
  </cols>
  <sheetData>
    <row r="1">
      <c r="A1" s="355" t="inlineStr">
        <is>
          <t>Приложение №6</t>
        </is>
      </c>
    </row>
    <row r="2" ht="21.75" customHeight="1" s="297">
      <c r="A2" s="355" t="n"/>
      <c r="B2" s="355" t="n"/>
      <c r="C2" s="355" t="n"/>
      <c r="D2" s="355" t="n"/>
      <c r="E2" s="355" t="n"/>
      <c r="F2" s="355" t="n"/>
      <c r="G2" s="355" t="n"/>
    </row>
    <row r="3">
      <c r="A3" s="317" t="inlineStr">
        <is>
          <t>Расчет стоимости оборудования</t>
        </is>
      </c>
    </row>
    <row r="4" ht="25.5" customHeight="1" s="297">
      <c r="A4" s="320" t="inlineStr">
        <is>
          <t>Наименование разрабатываемого показателя УНЦ — Сети связи. УПАТС для ПС 220-750 кВ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" customHeight="1" s="297">
      <c r="A6" s="360" t="inlineStr">
        <is>
          <t>№ пп.</t>
        </is>
      </c>
      <c r="B6" s="360" t="inlineStr">
        <is>
          <t>Код ресурса</t>
        </is>
      </c>
      <c r="C6" s="360" t="inlineStr">
        <is>
          <t>Наименование</t>
        </is>
      </c>
      <c r="D6" s="360" t="inlineStr">
        <is>
          <t>Ед. изм.</t>
        </is>
      </c>
      <c r="E6" s="338" t="inlineStr">
        <is>
          <t>Кол-во единиц по проектным данным</t>
        </is>
      </c>
      <c r="F6" s="360" t="inlineStr">
        <is>
          <t>Сметная стоимость в ценах на 01.01.2000 (руб.)</t>
        </is>
      </c>
      <c r="G6" s="411" t="n"/>
    </row>
    <row r="7">
      <c r="A7" s="413" t="n"/>
      <c r="B7" s="413" t="n"/>
      <c r="C7" s="413" t="n"/>
      <c r="D7" s="413" t="n"/>
      <c r="E7" s="413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7">
      <c r="A9" s="186" t="n"/>
      <c r="B9" s="347" t="inlineStr">
        <is>
          <t>ИНЖЕНЕРНОЕ ОБОРУДОВАНИЕ</t>
        </is>
      </c>
      <c r="C9" s="410" t="n"/>
      <c r="D9" s="410" t="n"/>
      <c r="E9" s="410" t="n"/>
      <c r="F9" s="410" t="n"/>
      <c r="G9" s="411" t="n"/>
    </row>
    <row r="10" ht="27" customHeight="1" s="297">
      <c r="A10" s="338" t="n"/>
      <c r="B10" s="346" t="n"/>
      <c r="C10" s="347" t="inlineStr">
        <is>
          <t>ИТОГО ИНЖЕНЕРНОЕ ОБОРУДОВАНИЕ</t>
        </is>
      </c>
      <c r="D10" s="346" t="n"/>
      <c r="E10" s="188" t="n"/>
      <c r="F10" s="349" t="n"/>
      <c r="G10" s="241" t="n">
        <v>0</v>
      </c>
    </row>
    <row r="11">
      <c r="A11" s="338" t="n"/>
      <c r="B11" s="347" t="inlineStr">
        <is>
          <t>ТЕХНОЛОГИЧЕСКОЕ ОБОРУДОВАНИЕ</t>
        </is>
      </c>
      <c r="C11" s="410" t="n"/>
      <c r="D11" s="410" t="n"/>
      <c r="E11" s="410" t="n"/>
      <c r="F11" s="410" t="n"/>
      <c r="G11" s="411" t="n"/>
    </row>
    <row r="12" ht="25.5" customFormat="1" customHeight="1" s="299">
      <c r="A12" s="338" t="n">
        <v>1</v>
      </c>
      <c r="B12" s="347">
        <f>'Прил.5 Расчет СМР и ОБ'!B28</f>
        <v/>
      </c>
      <c r="C12" s="347">
        <f>'Прил.5 Расчет СМР и ОБ'!C28</f>
        <v/>
      </c>
      <c r="D12" s="338">
        <f>'Прил.5 Расчет СМР и ОБ'!D28</f>
        <v/>
      </c>
      <c r="E12" s="417">
        <f>'Прил.5 Расчет СМР и ОБ'!E28</f>
        <v/>
      </c>
      <c r="F12" s="417">
        <f>'Прил.5 Расчет СМР и ОБ'!F28</f>
        <v/>
      </c>
      <c r="G12" s="241">
        <f>ROUND(E12*F12,2)</f>
        <v/>
      </c>
    </row>
    <row r="13" ht="38.25" customFormat="1" customHeight="1" s="299">
      <c r="A13" s="338" t="n">
        <v>2</v>
      </c>
      <c r="B13" s="347">
        <f>'Прил.5 Расчет СМР и ОБ'!B30</f>
        <v/>
      </c>
      <c r="C13" s="347">
        <f>'Прил.5 Расчет СМР и ОБ'!C30</f>
        <v/>
      </c>
      <c r="D13" s="338">
        <f>'Прил.5 Расчет СМР и ОБ'!D30</f>
        <v/>
      </c>
      <c r="E13" s="417">
        <f>'Прил.5 Расчет СМР и ОБ'!E30</f>
        <v/>
      </c>
      <c r="F13" s="417">
        <f>'Прил.5 Расчет СМР и ОБ'!F30</f>
        <v/>
      </c>
      <c r="G13" s="241">
        <f>ROUND(E13*F13,2)</f>
        <v/>
      </c>
    </row>
    <row r="14" ht="25.5" customFormat="1" customHeight="1" s="299">
      <c r="A14" s="338" t="n">
        <v>3</v>
      </c>
      <c r="B14" s="347">
        <f>'Прил.5 Расчет СМР и ОБ'!B31</f>
        <v/>
      </c>
      <c r="C14" s="347">
        <f>'Прил.5 Расчет СМР и ОБ'!C31</f>
        <v/>
      </c>
      <c r="D14" s="338">
        <f>'Прил.5 Расчет СМР и ОБ'!D31</f>
        <v/>
      </c>
      <c r="E14" s="417">
        <f>'Прил.5 Расчет СМР и ОБ'!E31</f>
        <v/>
      </c>
      <c r="F14" s="417">
        <f>'Прил.5 Расчет СМР и ОБ'!F31</f>
        <v/>
      </c>
      <c r="G14" s="241">
        <f>ROUND(E14*F14,2)</f>
        <v/>
      </c>
    </row>
    <row r="15" ht="51" customFormat="1" customHeight="1" s="299">
      <c r="A15" s="338" t="n">
        <v>4</v>
      </c>
      <c r="B15" s="347">
        <f>'Прил.5 Расчет СМР и ОБ'!B32</f>
        <v/>
      </c>
      <c r="C15" s="347">
        <f>'Прил.5 Расчет СМР и ОБ'!C32</f>
        <v/>
      </c>
      <c r="D15" s="338">
        <f>'Прил.5 Расчет СМР и ОБ'!D32</f>
        <v/>
      </c>
      <c r="E15" s="417">
        <f>'Прил.5 Расчет СМР и ОБ'!E32</f>
        <v/>
      </c>
      <c r="F15" s="417">
        <f>'Прил.5 Расчет СМР и ОБ'!F32</f>
        <v/>
      </c>
      <c r="G15" s="241">
        <f>ROUND(E15*F15,2)</f>
        <v/>
      </c>
    </row>
    <row r="16" ht="25.5" customHeight="1" s="297">
      <c r="A16" s="338" t="n"/>
      <c r="B16" s="347" t="n"/>
      <c r="C16" s="347" t="inlineStr">
        <is>
          <t>ИТОГО ТЕХНОЛОГИЧЕСКОЕ ОБОРУДОВАНИЕ</t>
        </is>
      </c>
      <c r="D16" s="347" t="n"/>
      <c r="E16" s="359" t="n"/>
      <c r="F16" s="349" t="n"/>
      <c r="G16" s="241">
        <f>SUM(G12:G15)</f>
        <v/>
      </c>
    </row>
    <row r="17" ht="19.5" customHeight="1" s="297">
      <c r="A17" s="338" t="n"/>
      <c r="B17" s="347" t="n"/>
      <c r="C17" s="347" t="inlineStr">
        <is>
          <t>Всего по разделу «Оборудование»</t>
        </is>
      </c>
      <c r="D17" s="347" t="n"/>
      <c r="E17" s="359" t="n"/>
      <c r="F17" s="349" t="n"/>
      <c r="G17" s="241">
        <f>G10+G16</f>
        <v/>
      </c>
    </row>
    <row r="18">
      <c r="A18" s="295" t="n"/>
      <c r="B18" s="194" t="n"/>
      <c r="C18" s="295" t="n"/>
      <c r="D18" s="295" t="n"/>
      <c r="E18" s="295" t="n"/>
      <c r="F18" s="295" t="n"/>
      <c r="G18" s="295" t="n"/>
    </row>
    <row r="19">
      <c r="A19" s="293" t="inlineStr">
        <is>
          <t>Составил ______________________    Д.Ю. Нефедова</t>
        </is>
      </c>
      <c r="B19" s="294" t="n"/>
      <c r="C19" s="294" t="n"/>
      <c r="D19" s="295" t="n"/>
      <c r="E19" s="295" t="n"/>
      <c r="F19" s="295" t="n"/>
      <c r="G19" s="295" t="n"/>
    </row>
    <row r="20">
      <c r="A20" s="296" t="inlineStr">
        <is>
          <t xml:space="preserve">                         (подпись, инициалы, фамилия)</t>
        </is>
      </c>
      <c r="B20" s="294" t="n"/>
      <c r="C20" s="294" t="n"/>
      <c r="D20" s="295" t="n"/>
      <c r="E20" s="295" t="n"/>
      <c r="F20" s="295" t="n"/>
      <c r="G20" s="295" t="n"/>
    </row>
    <row r="21">
      <c r="A21" s="293" t="n"/>
      <c r="B21" s="294" t="n"/>
      <c r="C21" s="294" t="n"/>
      <c r="D21" s="295" t="n"/>
      <c r="E21" s="295" t="n"/>
      <c r="F21" s="295" t="n"/>
      <c r="G21" s="295" t="n"/>
    </row>
    <row r="22">
      <c r="A22" s="293" t="inlineStr">
        <is>
          <t>Проверил ______________________        А.В. Костянецкая</t>
        </is>
      </c>
      <c r="B22" s="294" t="n"/>
      <c r="C22" s="294" t="n"/>
      <c r="D22" s="295" t="n"/>
      <c r="E22" s="295" t="n"/>
      <c r="F22" s="295" t="n"/>
      <c r="G22" s="295" t="n"/>
    </row>
    <row r="23">
      <c r="A23" s="296" t="inlineStr">
        <is>
          <t xml:space="preserve">                        (подпись, инициалы, фамилия)</t>
        </is>
      </c>
      <c r="B23" s="294" t="n"/>
      <c r="C23" s="294" t="n"/>
      <c r="D23" s="295" t="n"/>
      <c r="E23" s="295" t="n"/>
      <c r="F23" s="295" t="n"/>
      <c r="G23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97" min="1" max="1"/>
    <col width="16.42578125" customWidth="1" style="297" min="2" max="2"/>
    <col width="37.140625" customWidth="1" style="297" min="3" max="3"/>
    <col width="49" customWidth="1" style="297" min="4" max="4"/>
    <col width="9.140625" customWidth="1" style="297" min="5" max="5"/>
  </cols>
  <sheetData>
    <row r="1" ht="15.75" customHeight="1" s="297">
      <c r="A1" s="299" t="n"/>
      <c r="B1" s="299" t="n"/>
      <c r="C1" s="299" t="n"/>
      <c r="D1" s="299" t="inlineStr">
        <is>
          <t>Приложение №7</t>
        </is>
      </c>
    </row>
    <row r="2" ht="15.75" customHeight="1" s="297">
      <c r="A2" s="299" t="n"/>
      <c r="B2" s="299" t="n"/>
      <c r="C2" s="299" t="n"/>
      <c r="D2" s="299" t="n"/>
    </row>
    <row r="3" ht="15.75" customHeight="1" s="297">
      <c r="A3" s="299" t="n"/>
      <c r="B3" s="288" t="inlineStr">
        <is>
          <t>Расчет показателя УНЦ</t>
        </is>
      </c>
      <c r="C3" s="299" t="n"/>
      <c r="D3" s="299" t="n"/>
    </row>
    <row r="4" ht="15.75" customHeight="1" s="297">
      <c r="A4" s="299" t="n"/>
      <c r="B4" s="299" t="n"/>
      <c r="C4" s="299" t="n"/>
      <c r="D4" s="299" t="n"/>
    </row>
    <row r="5" ht="15.75" customHeight="1" s="297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ОБ'!D6:J6</f>
        <v/>
      </c>
    </row>
    <row r="6" ht="15.75" customHeight="1" s="297">
      <c r="A6" s="299" t="inlineStr">
        <is>
          <t>Единица измерения  — 1 ед</t>
        </is>
      </c>
      <c r="B6" s="299" t="n"/>
      <c r="C6" s="299" t="n"/>
      <c r="D6" s="299" t="n"/>
    </row>
    <row r="7" ht="15.75" customHeight="1" s="297">
      <c r="A7" s="299" t="n"/>
      <c r="B7" s="299" t="n"/>
      <c r="C7" s="299" t="n"/>
      <c r="D7" s="299" t="n"/>
    </row>
    <row r="8">
      <c r="A8" s="329" t="inlineStr">
        <is>
          <t>Код показателя</t>
        </is>
      </c>
      <c r="B8" s="329" t="inlineStr">
        <is>
          <t>Наименование показателя</t>
        </is>
      </c>
      <c r="C8" s="329" t="inlineStr">
        <is>
          <t>Наименование РМ, входящих в состав показателя</t>
        </is>
      </c>
      <c r="D8" s="329" t="inlineStr">
        <is>
          <t>Норматив цены на 01.01.2023, тыс.руб.</t>
        </is>
      </c>
    </row>
    <row r="9">
      <c r="A9" s="413" t="n"/>
      <c r="B9" s="413" t="n"/>
      <c r="C9" s="413" t="n"/>
      <c r="D9" s="413" t="n"/>
    </row>
    <row r="10" ht="15.75" customHeight="1" s="297">
      <c r="A10" s="329" t="n">
        <v>1</v>
      </c>
      <c r="B10" s="329" t="n">
        <v>2</v>
      </c>
      <c r="C10" s="329" t="n">
        <v>3</v>
      </c>
      <c r="D10" s="329" t="n">
        <v>4</v>
      </c>
    </row>
    <row r="11" ht="31.5" customHeight="1" s="297">
      <c r="A11" s="329" t="inlineStr">
        <is>
          <t>И14-02</t>
        </is>
      </c>
      <c r="B11" s="329" t="inlineStr">
        <is>
          <t xml:space="preserve">УНЦ сети связи </t>
        </is>
      </c>
      <c r="C11" s="291">
        <f>D5</f>
        <v/>
      </c>
      <c r="D11" s="305">
        <f>'Прил.4 РМ'!C41/1000</f>
        <v/>
      </c>
    </row>
    <row r="13">
      <c r="A13" s="407" t="inlineStr">
        <is>
          <t>Составил ______________________      Д.Ю. Нефедова</t>
        </is>
      </c>
      <c r="B13" s="294" t="n"/>
      <c r="C13" s="294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4" t="n"/>
      <c r="C14" s="294" t="n"/>
      <c r="D14" s="295" t="n"/>
    </row>
    <row r="15">
      <c r="A15" s="293" t="n"/>
      <c r="B15" s="294" t="n"/>
      <c r="C15" s="294" t="n"/>
      <c r="D15" s="295" t="n"/>
    </row>
    <row r="16">
      <c r="A16" s="293" t="inlineStr">
        <is>
          <t>Проверил ______________________        А.В. Костянецкая</t>
        </is>
      </c>
      <c r="B16" s="294" t="n"/>
      <c r="C16" s="294" t="n"/>
      <c r="D16" s="295" t="n"/>
    </row>
    <row r="17">
      <c r="A17" s="296" t="inlineStr">
        <is>
          <t xml:space="preserve">                        (подпись, инициалы, фамилия)</t>
        </is>
      </c>
      <c r="B17" s="294" t="n"/>
      <c r="C17" s="294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zoomScale="60" zoomScaleNormal="85" workbookViewId="0">
      <selection activeCell="I16" sqref="I16"/>
    </sheetView>
  </sheetViews>
  <sheetFormatPr baseColWidth="8" defaultRowHeight="15"/>
  <cols>
    <col width="9.140625" customWidth="1" style="297" min="1" max="1"/>
    <col width="40.7109375" customWidth="1" style="297" min="2" max="2"/>
    <col width="37" customWidth="1" style="297" min="3" max="3"/>
    <col width="32" customWidth="1" style="297" min="4" max="4"/>
    <col width="9.140625" customWidth="1" style="297" min="5" max="5"/>
  </cols>
  <sheetData>
    <row r="4" ht="15.75" customHeight="1" s="297">
      <c r="B4" s="324" t="inlineStr">
        <is>
          <t>Приложение № 10</t>
        </is>
      </c>
    </row>
    <row r="5" ht="18.75" customHeight="1" s="297">
      <c r="B5" s="181" t="n"/>
    </row>
    <row r="6" ht="15.75" customHeight="1" s="297">
      <c r="B6" s="325" t="inlineStr">
        <is>
          <t>Используемые индексы изменений сметной стоимости и нормы сопутствующих затрат</t>
        </is>
      </c>
    </row>
    <row r="7">
      <c r="B7" s="362" t="n"/>
    </row>
    <row r="8">
      <c r="B8" s="362" t="n"/>
      <c r="C8" s="362" t="n"/>
      <c r="D8" s="362" t="n"/>
      <c r="E8" s="362" t="n"/>
    </row>
    <row r="9" ht="47.25" customHeight="1" s="297">
      <c r="B9" s="329" t="inlineStr">
        <is>
          <t>Наименование индекса / норм сопутствующих затрат</t>
        </is>
      </c>
      <c r="C9" s="329" t="inlineStr">
        <is>
          <t>Дата применения и обоснование индекса / норм сопутствующих затрат</t>
        </is>
      </c>
      <c r="D9" s="329" t="inlineStr">
        <is>
          <t>Размер индекса / норма сопутствующих затрат</t>
        </is>
      </c>
    </row>
    <row r="10" ht="15.75" customHeight="1" s="297">
      <c r="B10" s="329" t="n">
        <v>1</v>
      </c>
      <c r="C10" s="329" t="n">
        <v>2</v>
      </c>
      <c r="D10" s="329" t="n">
        <v>3</v>
      </c>
    </row>
    <row r="11" ht="45" customHeight="1" s="297">
      <c r="B11" s="329" t="inlineStr">
        <is>
          <t xml:space="preserve">Индекс изменения сметной стоимости на 1 квартал 2023 года. ОЗП </t>
        </is>
      </c>
      <c r="C11" s="329" t="inlineStr">
        <is>
          <t>Письмо Минстроя России от 30.03.2023г. №17106-ИФ/09 прил.1</t>
        </is>
      </c>
      <c r="D11" s="329" t="n">
        <v>44.29</v>
      </c>
    </row>
    <row r="12" ht="29.25" customHeight="1" s="297">
      <c r="B12" s="329" t="inlineStr">
        <is>
          <t>Индекс изменения сметной стоимости на 1 квартал 2023 года. ЭМ</t>
        </is>
      </c>
      <c r="C12" s="329" t="inlineStr">
        <is>
          <t>Письмо Минстроя России от 30.03.2023г. №17106-ИФ/09 прил.1</t>
        </is>
      </c>
      <c r="D12" s="329" t="n">
        <v>13.47</v>
      </c>
    </row>
    <row r="13" ht="29.25" customHeight="1" s="297">
      <c r="B13" s="329" t="inlineStr">
        <is>
          <t>Индекс изменения сметной стоимости на 1 квартал 2023 года. МАТ</t>
        </is>
      </c>
      <c r="C13" s="329" t="inlineStr">
        <is>
          <t>Письмо Минстроя России от 30.03.2023г. №17106-ИФ/09 прил.1</t>
        </is>
      </c>
      <c r="D13" s="329" t="n">
        <v>8.039999999999999</v>
      </c>
    </row>
    <row r="14" ht="30.75" customHeight="1" s="297">
      <c r="B14" s="329" t="inlineStr">
        <is>
          <t>Индекс изменения сметной стоимости на 1 квартал 2023 года. ОБ</t>
        </is>
      </c>
      <c r="C14" s="169" t="inlineStr">
        <is>
          <t>Письмо Минстроя России от 23.02.2023г. №9791-ИФ/09 прил.6</t>
        </is>
      </c>
      <c r="D14" s="329" t="n">
        <v>6.26</v>
      </c>
    </row>
    <row r="15" ht="89.25" customHeight="1" s="297">
      <c r="B15" s="329" t="inlineStr">
        <is>
          <t>Временные здания и сооружения</t>
        </is>
      </c>
      <c r="C15" s="32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2" t="n">
        <v>0.039</v>
      </c>
    </row>
    <row r="16" ht="78.75" customHeight="1" s="297">
      <c r="B16" s="329" t="inlineStr">
        <is>
          <t>Дополнительные затраты при производстве строительно-монтажных работ в зимнее время</t>
        </is>
      </c>
      <c r="C16" s="3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0.021</v>
      </c>
    </row>
    <row r="17" ht="34.5" customHeight="1" s="297">
      <c r="B17" s="329" t="inlineStr">
        <is>
          <t>Пусконаладочные работы*</t>
        </is>
      </c>
      <c r="C17" s="329" t="n"/>
      <c r="D17" s="329" t="inlineStr">
        <is>
          <t>Расчет</t>
        </is>
      </c>
    </row>
    <row r="18" ht="31.5" customHeight="1" s="297">
      <c r="B18" s="329" t="inlineStr">
        <is>
          <t>Строительный контроль</t>
        </is>
      </c>
      <c r="C18" s="329" t="inlineStr">
        <is>
          <t>Постановление Правительства РФ от 21.06.10 г. № 468</t>
        </is>
      </c>
      <c r="D18" s="182" t="n">
        <v>0.0214</v>
      </c>
    </row>
    <row r="19" ht="31.5" customHeight="1" s="297">
      <c r="B19" s="329" t="inlineStr">
        <is>
          <t>Авторский надзор - 0,2%</t>
        </is>
      </c>
      <c r="C19" s="329" t="inlineStr">
        <is>
          <t>Приказ от 4.08.2020 № 421/пр п.173</t>
        </is>
      </c>
      <c r="D19" s="182" t="n">
        <v>0.002</v>
      </c>
    </row>
    <row r="20" ht="24" customHeight="1" s="297">
      <c r="B20" s="329" t="inlineStr">
        <is>
          <t>Непредвиденные расходы</t>
        </is>
      </c>
      <c r="C20" s="329" t="inlineStr">
        <is>
          <t>Приказ от 4.08.2020 № 421/пр п.179</t>
        </is>
      </c>
      <c r="D20" s="182" t="n">
        <v>0.03</v>
      </c>
    </row>
    <row r="21" ht="18.75" customHeight="1" s="297">
      <c r="B21" s="183" t="n"/>
    </row>
    <row r="22" ht="18.75" customHeight="1" s="297">
      <c r="B22" s="183" t="n"/>
    </row>
    <row r="23" ht="18.75" customHeight="1" s="297">
      <c r="B23" s="183" t="n"/>
    </row>
    <row r="24" ht="18.75" customHeight="1" s="297">
      <c r="B24" s="183" t="n"/>
    </row>
    <row r="27">
      <c r="B27" s="293" t="inlineStr">
        <is>
          <t>Составил ______________________        Д.Ю. Нефедова</t>
        </is>
      </c>
      <c r="C27" s="294" t="n"/>
    </row>
    <row r="28">
      <c r="B28" s="296" t="inlineStr">
        <is>
          <t xml:space="preserve">                         (подпись, инициалы, фамилия)</t>
        </is>
      </c>
      <c r="C28" s="294" t="n"/>
    </row>
    <row r="29">
      <c r="B29" s="293" t="n"/>
      <c r="C29" s="294" t="n"/>
    </row>
    <row r="30">
      <c r="B30" s="293" t="inlineStr">
        <is>
          <t>Проверил ______________________        А.В. Костянецкая</t>
        </is>
      </c>
      <c r="C30" s="294" t="n"/>
    </row>
    <row r="31">
      <c r="B31" s="296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3" sqref="G12:G13"/>
    </sheetView>
  </sheetViews>
  <sheetFormatPr baseColWidth="8" defaultColWidth="9.140625" defaultRowHeight="15"/>
  <cols>
    <col width="44.85546875" customWidth="1" style="297" min="2" max="2"/>
    <col width="13" customWidth="1" style="297" min="3" max="3"/>
    <col width="22.85546875" customWidth="1" style="297" min="4" max="4"/>
    <col width="21.5703125" customWidth="1" style="297" min="5" max="5"/>
    <col width="43.85546875" customWidth="1" style="297" min="6" max="6"/>
  </cols>
  <sheetData>
    <row r="1" s="297"/>
    <row r="2" ht="17.25" customHeight="1" s="297">
      <c r="A2" s="325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00" t="inlineStr">
        <is>
          <t>№ пп.</t>
        </is>
      </c>
      <c r="B5" s="300" t="inlineStr">
        <is>
          <t>Наименование элемента</t>
        </is>
      </c>
      <c r="C5" s="300" t="inlineStr">
        <is>
          <t>Обозначение</t>
        </is>
      </c>
      <c r="D5" s="300" t="inlineStr">
        <is>
          <t>Формула</t>
        </is>
      </c>
      <c r="E5" s="300" t="inlineStr">
        <is>
          <t>Величина элемента</t>
        </is>
      </c>
      <c r="F5" s="300" t="inlineStr">
        <is>
          <t>Наименования обосновывающих документов</t>
        </is>
      </c>
      <c r="G5" s="299" t="n"/>
    </row>
    <row r="6" ht="15.75" customHeight="1" s="297">
      <c r="A6" s="300" t="n">
        <v>1</v>
      </c>
      <c r="B6" s="300" t="n">
        <v>2</v>
      </c>
      <c r="C6" s="300" t="n">
        <v>3</v>
      </c>
      <c r="D6" s="300" t="n">
        <v>4</v>
      </c>
      <c r="E6" s="300" t="n">
        <v>5</v>
      </c>
      <c r="F6" s="300" t="n">
        <v>6</v>
      </c>
      <c r="G6" s="299" t="n"/>
    </row>
    <row r="7" ht="110.25" customHeight="1" s="297">
      <c r="A7" s="301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9" t="inlineStr">
        <is>
          <t>С1ср</t>
        </is>
      </c>
      <c r="D7" s="329" t="inlineStr">
        <is>
          <t>-</t>
        </is>
      </c>
      <c r="E7" s="304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01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29" t="inlineStr">
        <is>
          <t>tср</t>
        </is>
      </c>
      <c r="D8" s="329" t="inlineStr">
        <is>
          <t>1973ч/12мес.</t>
        </is>
      </c>
      <c r="E8" s="305">
        <f>1973/12</f>
        <v/>
      </c>
      <c r="F8" s="306" t="inlineStr">
        <is>
          <t>Производственный календарь 2023 год
(40-часов.неделя)</t>
        </is>
      </c>
      <c r="G8" s="308" t="n"/>
    </row>
    <row r="9" ht="15.75" customHeight="1" s="297">
      <c r="A9" s="301" t="inlineStr">
        <is>
          <t>1.3</t>
        </is>
      </c>
      <c r="B9" s="306" t="inlineStr">
        <is>
          <t>Коэффициент увеличения</t>
        </is>
      </c>
      <c r="C9" s="329" t="inlineStr">
        <is>
          <t>Кув</t>
        </is>
      </c>
      <c r="D9" s="329" t="inlineStr">
        <is>
          <t>-</t>
        </is>
      </c>
      <c r="E9" s="305" t="n">
        <v>1</v>
      </c>
      <c r="F9" s="306" t="n"/>
      <c r="G9" s="308" t="n"/>
    </row>
    <row r="10" ht="15.75" customHeight="1" s="297">
      <c r="A10" s="301" t="inlineStr">
        <is>
          <t>1.4</t>
        </is>
      </c>
      <c r="B10" s="306" t="inlineStr">
        <is>
          <t>Средний разряд работ</t>
        </is>
      </c>
      <c r="C10" s="329" t="n"/>
      <c r="D10" s="329" t="n"/>
      <c r="E10" s="422" t="n">
        <v>4.1</v>
      </c>
      <c r="F10" s="306" t="inlineStr">
        <is>
          <t>РТМ</t>
        </is>
      </c>
      <c r="G10" s="308" t="n"/>
    </row>
    <row r="11" ht="78.75" customHeight="1" s="297">
      <c r="A11" s="301" t="inlineStr">
        <is>
          <t>1.5</t>
        </is>
      </c>
      <c r="B11" s="306" t="inlineStr">
        <is>
          <t>Тарифный коэффициент среднего разряда работ</t>
        </is>
      </c>
      <c r="C11" s="329" t="inlineStr">
        <is>
          <t>КТ</t>
        </is>
      </c>
      <c r="D11" s="329" t="inlineStr">
        <is>
          <t>-</t>
        </is>
      </c>
      <c r="E11" s="423" t="n">
        <v>1.359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01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329" t="inlineStr">
        <is>
          <t>Кинф</t>
        </is>
      </c>
      <c r="D12" s="329" t="inlineStr">
        <is>
          <t>-</t>
        </is>
      </c>
      <c r="E12" s="424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8" t="n"/>
    </row>
    <row r="13" ht="63" customHeight="1" s="297">
      <c r="A13" s="301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16">
        <f>((E7*E9/E8)*E11)*E12</f>
        <v/>
      </c>
      <c r="F13" s="3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2025-01-24T12:01:48Z</dcterms:modified>
  <cp:lastModifiedBy>Nikolay Ivanov</cp:lastModifiedBy>
  <cp:lastPrinted>2023-11-27T07:35:30Z</cp:lastPrinted>
</cp:coreProperties>
</file>