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табл'!$A$1:$F$32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'Прил.3'!$A$1:$H$142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ОБ'!$A$1:$J$154</definedName>
    <definedName name="_xlnm.Print_Area" localSheetId="5">'Прил.6 Расчет ОБ'!$A$1:$G$20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0"/>
    <numFmt numFmtId="166" formatCode="#,##0.0000"/>
    <numFmt numFmtId="167" formatCode="0.0000"/>
    <numFmt numFmtId="168" formatCode="0.000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color rgb="FF0000FF"/>
      <sz val="12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  <font>
      <name val="Arial"/>
      <charset val="204"/>
      <family val="2"/>
      <color rgb="FF000000"/>
      <sz val="10"/>
    </font>
    <font>
      <name val="Calibri"/>
      <charset val="204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10" fontId="16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/>
    </xf>
    <xf numFmtId="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9" fillId="0" borderId="1" applyAlignment="1" pivotButton="0" quotePrefix="0" xfId="0">
      <alignment vertical="top"/>
    </xf>
    <xf numFmtId="0" fontId="19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20" fillId="0" borderId="0" pivotButton="0" quotePrefix="0" xfId="0"/>
    <xf numFmtId="167" fontId="16" fillId="0" borderId="0" pivotButton="0" quotePrefix="0" xfId="0"/>
    <xf numFmtId="43" fontId="16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43" fontId="1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2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9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9" fillId="0" borderId="1" applyAlignment="1" pivotButton="0" quotePrefix="0" xfId="0">
      <alignment vertical="top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10" fontId="1" fillId="0" borderId="1" applyAlignment="1" pivotButton="0" quotePrefix="0" xfId="0">
      <alignment horizontal="right" vertical="center"/>
    </xf>
    <xf numFmtId="0" fontId="0" fillId="0" borderId="0" applyAlignment="1" pivotButton="0" quotePrefix="0" xfId="0">
      <alignment horizontal="left"/>
    </xf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168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4" fillId="0" borderId="5" pivotButton="0" quotePrefix="0" xfId="0"/>
    <xf numFmtId="2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66" fontId="1" fillId="0" borderId="3" applyAlignment="1" pivotButton="0" quotePrefix="0" xfId="0">
      <alignment horizontal="center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9" fillId="0" borderId="5" applyAlignment="1" pivotButton="0" quotePrefix="0" xfId="0">
      <alignment vertical="top"/>
    </xf>
    <xf numFmtId="4" fontId="19" fillId="0" borderId="5" applyAlignment="1" pivotButton="0" quotePrefix="0" xfId="0">
      <alignment vertical="top"/>
    </xf>
    <xf numFmtId="0" fontId="16" fillId="0" borderId="5" applyAlignment="1" pivotButton="0" quotePrefix="0" xfId="0">
      <alignment vertical="top"/>
    </xf>
    <xf numFmtId="0" fontId="16" fillId="0" borderId="5" applyAlignment="1" pivotButton="0" quotePrefix="0" xfId="0">
      <alignment vertical="top" wrapText="1"/>
    </xf>
    <xf numFmtId="0" fontId="16" fillId="0" borderId="5" applyAlignment="1" pivotButton="0" quotePrefix="0" xfId="0">
      <alignment horizontal="center" vertical="top"/>
    </xf>
    <xf numFmtId="4" fontId="16" fillId="0" borderId="5" applyAlignment="1" pivotButton="0" quotePrefix="0" xfId="0">
      <alignment vertical="top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 wrapText="1"/>
    </xf>
    <xf numFmtId="1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0" fontId="16" fillId="0" borderId="7" applyAlignment="1" pivotButton="0" quotePrefix="0" xfId="0">
      <alignment vertical="center" wrapText="1"/>
    </xf>
    <xf numFmtId="0" fontId="16" fillId="0" borderId="8" applyAlignment="1" pivotButton="0" quotePrefix="0" xfId="0">
      <alignment vertical="center" wrapText="1"/>
    </xf>
    <xf numFmtId="170" fontId="16" fillId="0" borderId="5" applyAlignment="1" pivotButton="0" quotePrefix="0" xfId="0">
      <alignment horizontal="center" vertical="center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9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9" fillId="0" borderId="5" applyAlignment="1" pivotButton="0" quotePrefix="0" xfId="0">
      <alignment vertical="top"/>
    </xf>
    <xf numFmtId="0" fontId="16" fillId="0" borderId="5" applyAlignment="1" pivotButton="0" quotePrefix="0" xfId="0">
      <alignment vertical="top"/>
    </xf>
    <xf numFmtId="0" fontId="16" fillId="0" borderId="5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43" fontId="16" fillId="0" borderId="0" pivotButton="0" quotePrefix="0" xfId="0"/>
    <xf numFmtId="165" fontId="16" fillId="0" borderId="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43" fontId="18" fillId="0" borderId="0" pivotButton="0" quotePrefix="0" xfId="0"/>
    <xf numFmtId="167" fontId="16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vertical="top" wrapText="1"/>
    </xf>
    <xf numFmtId="166" fontId="1" fillId="0" borderId="3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70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L32"/>
  <sheetViews>
    <sheetView view="pageBreakPreview" topLeftCell="A25" zoomScaleNormal="55" workbookViewId="0">
      <selection activeCell="C28" sqref="C28"/>
    </sheetView>
  </sheetViews>
  <sheetFormatPr baseColWidth="8" defaultColWidth="9.140625" defaultRowHeight="15.75"/>
  <cols>
    <col width="9.140625" customWidth="1" style="320" min="1" max="2"/>
    <col width="36.85546875" customWidth="1" style="320" min="3" max="3"/>
    <col width="39.42578125" customWidth="1" style="320" min="4" max="4"/>
    <col hidden="1" width="36.5703125" customWidth="1" style="320" min="5" max="6"/>
    <col width="9.140625" customWidth="1" style="320" min="7" max="11"/>
    <col width="14.7109375" customWidth="1" style="320" min="12" max="12"/>
    <col width="17.7109375" customWidth="1" style="320" min="13" max="13"/>
    <col width="9.140625" customWidth="1" style="320" min="14" max="14"/>
  </cols>
  <sheetData>
    <row r="3">
      <c r="B3" s="355" t="inlineStr">
        <is>
          <t>Приложение № 1</t>
        </is>
      </c>
    </row>
    <row r="4">
      <c r="B4" s="356" t="inlineStr">
        <is>
          <t>Сравнительная таблица отбора объекта-представителя</t>
        </is>
      </c>
    </row>
    <row r="5">
      <c r="B5" s="156" t="n"/>
      <c r="C5" s="156" t="n"/>
      <c r="D5" s="156" t="n"/>
      <c r="E5" s="156" t="n"/>
      <c r="F5" s="156" t="n"/>
    </row>
    <row r="6">
      <c r="B6" s="156" t="n"/>
      <c r="C6" s="156" t="n"/>
      <c r="D6" s="156" t="n"/>
      <c r="E6" s="156" t="n"/>
      <c r="F6" s="156" t="n"/>
    </row>
    <row r="7" ht="48.75" customHeight="1" s="318">
      <c r="B7" s="357" t="inlineStr">
        <is>
          <t>Наименование разрабатываемого показателя УНЦ — Сети связи. УПАТС для предприятия электрических сетей</t>
        </is>
      </c>
    </row>
    <row r="8" ht="31.5" customHeight="1" s="318">
      <c r="B8" s="357" t="inlineStr">
        <is>
          <t>Сопоставимый уровень цен: 4 кв 2018</t>
        </is>
      </c>
    </row>
    <row r="9">
      <c r="B9" s="357" t="inlineStr">
        <is>
          <t>Единица измерения  — 1 компл.</t>
        </is>
      </c>
    </row>
    <row r="10">
      <c r="B10" s="357" t="n"/>
    </row>
    <row r="11">
      <c r="B11" s="360" t="inlineStr">
        <is>
          <t>№ п/п</t>
        </is>
      </c>
      <c r="C11" s="360" t="inlineStr">
        <is>
          <t>Параметр</t>
        </is>
      </c>
      <c r="D11" s="332" t="inlineStr">
        <is>
          <t>Объект-представитель 1</t>
        </is>
      </c>
      <c r="E11" s="332" t="n"/>
      <c r="F11" s="332" t="n"/>
    </row>
    <row r="12" ht="110.25" customHeight="1" s="318">
      <c r="B12" s="360" t="n">
        <v>1</v>
      </c>
      <c r="C12" s="332" t="inlineStr">
        <is>
          <t>Наименование объекта-представителя</t>
        </is>
      </c>
      <c r="D12" s="360" t="inlineStr">
        <is>
          <t>Строительство ПС 500 кВ Белобережская с заходами ВЛ 500 кВ Новобрянская–Елецкая, ВЛ 220 кВ Белобережская – Цементная, ВЛ 220 кВ Белобережская –Машзавод и ВЛ 220 кВ Белобережская – Брянская (2 и 3 этапы)</t>
        </is>
      </c>
      <c r="E12" s="332" t="n"/>
      <c r="F12" s="332" t="n"/>
    </row>
    <row r="13" ht="31.5" customHeight="1" s="318">
      <c r="B13" s="360" t="n">
        <v>2</v>
      </c>
      <c r="C13" s="332" t="inlineStr">
        <is>
          <t>Наименование субъекта Российской Федерации</t>
        </is>
      </c>
      <c r="D13" s="360" t="inlineStr">
        <is>
          <t>Брянская область</t>
        </is>
      </c>
      <c r="E13" s="332" t="n"/>
      <c r="F13" s="332" t="n"/>
    </row>
    <row r="14">
      <c r="B14" s="360" t="n">
        <v>3</v>
      </c>
      <c r="C14" s="332" t="inlineStr">
        <is>
          <t>Климатический район и подрайон</t>
        </is>
      </c>
      <c r="D14" s="360" t="inlineStr">
        <is>
          <t>IIIВ</t>
        </is>
      </c>
      <c r="E14" s="332" t="n"/>
      <c r="F14" s="332" t="n"/>
    </row>
    <row r="15">
      <c r="B15" s="360" t="n">
        <v>4</v>
      </c>
      <c r="C15" s="332" t="inlineStr">
        <is>
          <t>Мощность объекта</t>
        </is>
      </c>
      <c r="D15" s="360" t="n">
        <v>1</v>
      </c>
      <c r="E15" s="327" t="n"/>
      <c r="F15" s="327" t="n"/>
    </row>
    <row r="16" ht="393.75" customHeight="1" s="318">
      <c r="B16" s="360" t="n">
        <v>5</v>
      </c>
      <c r="C16" s="1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0" t="inlineStr">
        <is>
          <t>Цифровая УПАТС DX-500 с функциями диспетчерского коммутатора в составе:
Базовый блок на 50 номеров - 1 компл
Модуль аналоговых абонентов на 24 порта - 1 компл
Модуль цифровых абонентов на 24 порат - 1 компл
Модуль 2-х проводных аналоговых СЛ (8 портов) - 1 шт
Модуль 4-х проводных каналов ТЧ (АДАСЭ) - 2 шт
Модуль 4-х проводных каналов ТЧ (ЕМ) - 1 шт
Модуль цифровых интерфейсов - 2 шт
Комплект мкросотовой связи - 1 шт
Модуль цифровых интерфейсов ISDN-BRi (8 портов) - 1 шт
Шлюз IP телеофнии - 1 шт
Система голосовой почты - 1 компл
Тарификатор - 1 шт
Компьютер -1 компл
ПО - 1 компл</t>
        </is>
      </c>
      <c r="E16" s="332" t="n"/>
      <c r="F16" s="332" t="n"/>
    </row>
    <row r="17" ht="78.75" customHeight="1" s="318">
      <c r="B17" s="360" t="n">
        <v>6</v>
      </c>
      <c r="C17" s="1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60">
        <f>SUM(D18:D21)</f>
        <v/>
      </c>
      <c r="E17" s="160" t="n"/>
      <c r="F17" s="160" t="n"/>
    </row>
    <row r="18">
      <c r="B18" s="161" t="inlineStr">
        <is>
          <t>6.1</t>
        </is>
      </c>
      <c r="C18" s="332" t="inlineStr">
        <is>
          <t>строительно-монтажные работы</t>
        </is>
      </c>
      <c r="D18" s="160" t="n">
        <v>872.822</v>
      </c>
      <c r="E18" s="160" t="n"/>
      <c r="F18" s="160" t="n"/>
    </row>
    <row r="19" ht="15.75" customHeight="1" s="318">
      <c r="B19" s="161" t="inlineStr">
        <is>
          <t>6.2</t>
        </is>
      </c>
      <c r="C19" s="332" t="inlineStr">
        <is>
          <t>оборудование и инвентарь</t>
        </is>
      </c>
      <c r="D19" s="160" t="n">
        <v>13223.321</v>
      </c>
      <c r="E19" s="160" t="n"/>
      <c r="F19" s="160" t="n"/>
    </row>
    <row r="20" ht="16.5" customHeight="1" s="318">
      <c r="B20" s="161" t="inlineStr">
        <is>
          <t>6.3</t>
        </is>
      </c>
      <c r="C20" s="332" t="inlineStr">
        <is>
          <t>пусконаладочные работы</t>
        </is>
      </c>
      <c r="D20" s="160">
        <f>D19/(65236.2+83927.68)*(13432.43+17281.04)</f>
        <v/>
      </c>
      <c r="E20" s="160" t="n"/>
      <c r="F20" s="160" t="n"/>
      <c r="L20" s="441" t="n"/>
    </row>
    <row r="21" ht="35.25" customHeight="1" s="318">
      <c r="B21" s="161" t="inlineStr">
        <is>
          <t>6.4</t>
        </is>
      </c>
      <c r="C21" s="162" t="inlineStr">
        <is>
          <t>прочие и лимитированные затраты</t>
        </is>
      </c>
      <c r="D21" s="160">
        <f>D18*3.9%+(D18+D18*3.9%)*2.1%*0.9</f>
        <v/>
      </c>
      <c r="E21" s="160" t="n"/>
      <c r="F21" s="160" t="n"/>
    </row>
    <row r="22">
      <c r="B22" s="360" t="n">
        <v>7</v>
      </c>
      <c r="C22" s="162" t="inlineStr">
        <is>
          <t>Сопоставимый уровень цен</t>
        </is>
      </c>
      <c r="D22" s="360" t="inlineStr">
        <is>
          <t>4 кв 2018</t>
        </is>
      </c>
      <c r="E22" s="360" t="n"/>
      <c r="F22" s="160" t="n"/>
      <c r="G22" s="222" t="n"/>
    </row>
    <row r="23" ht="123" customHeight="1" s="318">
      <c r="B23" s="360" t="n">
        <v>8</v>
      </c>
      <c r="C23" s="1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60">
        <f>(D18+D21)/7.84*8.38+D19/4.58*4.58+D20/16.84*20.23</f>
        <v/>
      </c>
      <c r="E23" s="160" t="n"/>
      <c r="F23" s="442" t="n"/>
    </row>
    <row r="24" ht="60.75" customHeight="1" s="318">
      <c r="B24" s="360" t="n">
        <v>9</v>
      </c>
      <c r="C24" s="159" t="inlineStr">
        <is>
          <t>Приведенная сметная стоимость на единицу мощности, тыс. руб. (строка 8/строку 4)</t>
        </is>
      </c>
      <c r="D24" s="160">
        <f>D23/D15</f>
        <v/>
      </c>
      <c r="E24" s="160" t="n"/>
      <c r="F24" s="160" t="n"/>
    </row>
    <row r="25" ht="110.25" customHeight="1" s="318">
      <c r="B25" s="360" t="n">
        <v>10</v>
      </c>
      <c r="C25" s="332" t="inlineStr">
        <is>
          <t>Примечание</t>
        </is>
      </c>
      <c r="D25" s="360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компл.</t>
        </is>
      </c>
      <c r="E25" s="332" t="n"/>
      <c r="F25" s="332" t="n"/>
    </row>
    <row r="26">
      <c r="B26" s="165" t="n"/>
      <c r="C26" s="166" t="n"/>
      <c r="D26" s="166" t="n"/>
      <c r="E26" s="166" t="n"/>
      <c r="F26" s="166" t="n"/>
    </row>
    <row r="27" ht="37.5" customHeight="1" s="318">
      <c r="B27" s="167" t="n"/>
    </row>
    <row r="28">
      <c r="B28" s="320" t="inlineStr">
        <is>
          <t>Составил ______________________        Д.Ю. Нефедова</t>
        </is>
      </c>
    </row>
    <row r="29">
      <c r="B29" s="167" t="inlineStr">
        <is>
          <t xml:space="preserve">                         (подпись, инициалы, фамилия)</t>
        </is>
      </c>
    </row>
    <row r="31">
      <c r="B31" s="320" t="inlineStr">
        <is>
          <t>Проверил ______________________        А.В. Костянецкая</t>
        </is>
      </c>
    </row>
    <row r="32">
      <c r="B32" s="167" t="inlineStr">
        <is>
          <t xml:space="preserve">                        (подпись, инициалы, фамилия)</t>
        </is>
      </c>
    </row>
  </sheetData>
  <mergeCells count="5">
    <mergeCell ref="B4:F4"/>
    <mergeCell ref="B7:F7"/>
    <mergeCell ref="B3:F3"/>
    <mergeCell ref="B8:F8"/>
    <mergeCell ref="B9:F9"/>
  </mergeCells>
  <pageMargins left="0.7" right="0.7" top="0.75" bottom="0.75" header="0.3" footer="0.3"/>
  <pageSetup orientation="portrait" paperSize="9" scale="92" fitToHeight="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41"/>
  <sheetViews>
    <sheetView view="pageBreakPreview" topLeftCell="A9" zoomScale="70" zoomScaleNormal="70" workbookViewId="0">
      <selection activeCell="C22" sqref="C22"/>
    </sheetView>
  </sheetViews>
  <sheetFormatPr baseColWidth="8" defaultColWidth="9.140625" defaultRowHeight="15.75"/>
  <cols>
    <col width="5.5703125" customWidth="1" style="320" min="1" max="1"/>
    <col width="9.140625" customWidth="1" style="320" min="2" max="2"/>
    <col width="35.28515625" customWidth="1" style="320" min="3" max="3"/>
    <col width="13.85546875" customWidth="1" style="320" min="4" max="4"/>
    <col width="24.85546875" customWidth="1" style="320" min="5" max="5"/>
    <col width="15.5703125" customWidth="1" style="320" min="6" max="6"/>
    <col width="14.85546875" customWidth="1" style="320" min="7" max="7"/>
    <col width="16.7109375" customWidth="1" style="320" min="8" max="8"/>
    <col width="13" customWidth="1" style="320" min="9" max="10"/>
    <col width="9.140625" customWidth="1" style="320" min="11" max="11"/>
  </cols>
  <sheetData>
    <row r="3">
      <c r="B3" s="355" t="inlineStr">
        <is>
          <t>Приложение № 2</t>
        </is>
      </c>
    </row>
    <row r="4">
      <c r="B4" s="356" t="inlineStr">
        <is>
          <t>Расчет стоимости основных видов работ для выбора объекта-представителя</t>
        </is>
      </c>
    </row>
    <row r="5">
      <c r="B5" s="156" t="n"/>
      <c r="C5" s="156" t="n"/>
      <c r="D5" s="156" t="n"/>
      <c r="E5" s="156" t="n"/>
      <c r="F5" s="156" t="n"/>
      <c r="G5" s="156" t="n"/>
      <c r="H5" s="156" t="n"/>
      <c r="I5" s="156" t="n"/>
      <c r="J5" s="156" t="n"/>
    </row>
    <row r="6" ht="30" customHeight="1" s="318">
      <c r="B6" s="359" t="inlineStr">
        <is>
          <t>Наименование разрабатываемого показателя УНЦ — Сети связи. УПАТС для предприятия электрических сетей</t>
        </is>
      </c>
    </row>
    <row r="7">
      <c r="B7" s="357" t="inlineStr">
        <is>
          <t>Единица измерения  — 1 компл.</t>
        </is>
      </c>
    </row>
    <row r="8">
      <c r="B8" s="357" t="n"/>
    </row>
    <row r="9" ht="15.75" customHeight="1" s="318">
      <c r="B9" s="360" t="inlineStr">
        <is>
          <t>№ п/п</t>
        </is>
      </c>
      <c r="C9" s="36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0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18">
      <c r="B10" s="445" t="n"/>
      <c r="C10" s="445" t="n"/>
      <c r="D10" s="360" t="inlineStr">
        <is>
          <t>Номер сметы</t>
        </is>
      </c>
      <c r="E10" s="360" t="inlineStr">
        <is>
          <t>Наименование сметы</t>
        </is>
      </c>
      <c r="F10" s="360" t="inlineStr">
        <is>
          <t>Сметная стоимость в уровне цен 4 кв. 2018 г., тыс. руб.</t>
        </is>
      </c>
      <c r="G10" s="443" t="n"/>
      <c r="H10" s="443" t="n"/>
      <c r="I10" s="443" t="n"/>
      <c r="J10" s="444" t="n"/>
    </row>
    <row r="11" ht="31.5" customHeight="1" s="318">
      <c r="B11" s="446" t="n"/>
      <c r="C11" s="446" t="n"/>
      <c r="D11" s="446" t="n"/>
      <c r="E11" s="446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</row>
    <row r="12" ht="409.5" customHeight="1" s="318">
      <c r="B12" s="168" t="n">
        <v>1</v>
      </c>
      <c r="C12" s="337" t="inlineStr">
        <is>
          <t>Цифровая УПАТС DX-500 с функциями диспетчерского коммутатора в составе:
Базовый блок на 50 номеров - 1 компл
Модуль аналоговых абонентов на 24 порта - 1 компл
Модуль цифровых абонентов на 24 порат - 1 компл
Модуль 2-х проводных аналоговых СЛ (8 портов) - 1 шт
Модуль 4-х проводных каналов ТЧ (АДАСЭ) - 2 шт
Модуль 4-х проводных каналов ТЧ (ЕМ) - 1 шт
Модуль цифровых интерфейсов - 2 шт
Комплект мкросотовой связи - 1 шт
Модуль цифровых интерфейсов ISDN-BRi (8 портов) - 1 шт
Шлюз IP телеофнии - 1 шт
Система голосовой почты - 1 компл
Тарификатор - 1 шт
Компьютер -1 компл
ПО - 1 компл</t>
        </is>
      </c>
      <c r="D12" s="272" t="inlineStr">
        <is>
          <t>05-05-04</t>
        </is>
      </c>
      <c r="E12" s="332" t="inlineStr">
        <is>
          <t xml:space="preserve">Внутриобъектовая связь (ПС 500 кВ Белобережская) </t>
        </is>
      </c>
      <c r="F12" s="249" t="n"/>
      <c r="G12" s="249" t="n">
        <v>872.822</v>
      </c>
      <c r="H12" s="249" t="n">
        <v>13223.321</v>
      </c>
      <c r="I12" s="250" t="n"/>
      <c r="J12" s="251">
        <f>SUM(F12:I12)</f>
        <v/>
      </c>
    </row>
    <row r="13" ht="15.75" customHeight="1" s="318">
      <c r="B13" s="358" t="inlineStr">
        <is>
          <t>Всего по объекту:</t>
        </is>
      </c>
      <c r="C13" s="443" t="n"/>
      <c r="D13" s="443" t="n"/>
      <c r="E13" s="444" t="n"/>
      <c r="F13" s="252">
        <f>SUM(F12:F12)</f>
        <v/>
      </c>
      <c r="G13" s="252">
        <f>SUM(G12:G12)</f>
        <v/>
      </c>
      <c r="H13" s="252">
        <f>SUM(H12:H12)</f>
        <v/>
      </c>
      <c r="I13" s="344" t="n"/>
      <c r="J13" s="254">
        <f>SUM(F13:I13)</f>
        <v/>
      </c>
    </row>
    <row r="14" ht="28.5" customHeight="1" s="318">
      <c r="B14" s="358" t="inlineStr">
        <is>
          <t>Всего по объекту в сопоставимом уровне цен 4 кв. 2018 г:</t>
        </is>
      </c>
      <c r="C14" s="443" t="n"/>
      <c r="D14" s="443" t="n"/>
      <c r="E14" s="444" t="n"/>
      <c r="F14" s="252">
        <f>F13</f>
        <v/>
      </c>
      <c r="G14" s="252">
        <f>G13</f>
        <v/>
      </c>
      <c r="H14" s="252">
        <f>H13</f>
        <v/>
      </c>
      <c r="I14" s="344" t="n"/>
      <c r="J14" s="254">
        <f>SUM(F14:I14)</f>
        <v/>
      </c>
    </row>
    <row r="15">
      <c r="B15" s="357" t="n"/>
    </row>
    <row r="18">
      <c r="B18" s="369" t="inlineStr">
        <is>
          <t>*</t>
        </is>
      </c>
      <c r="C18" s="320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320" t="inlineStr">
        <is>
          <t>Составил ______________________        Д.Ю. Нефедова</t>
        </is>
      </c>
    </row>
    <row r="23">
      <c r="B23" s="167" t="inlineStr">
        <is>
          <t xml:space="preserve">                         (подпись, инициалы, фамилия)</t>
        </is>
      </c>
    </row>
    <row r="25">
      <c r="B25" s="320" t="inlineStr">
        <is>
          <t>Проверил ______________________        А.В. Костянецкая</t>
        </is>
      </c>
    </row>
    <row r="26">
      <c r="B26" s="167" t="inlineStr">
        <is>
          <t xml:space="preserve">                        (подпись, инициалы, фамилия)</t>
        </is>
      </c>
    </row>
    <row r="28">
      <c r="G28" s="441" t="n"/>
      <c r="H28" s="441" t="n"/>
      <c r="I28" s="441" t="n"/>
      <c r="J28" s="447" t="n"/>
    </row>
    <row r="41">
      <c r="I41" s="44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142"/>
  <sheetViews>
    <sheetView view="pageBreakPreview" topLeftCell="A127" zoomScaleSheetLayoutView="100" workbookViewId="0">
      <selection activeCell="D162" sqref="D162"/>
    </sheetView>
  </sheetViews>
  <sheetFormatPr baseColWidth="8" defaultColWidth="9.140625" defaultRowHeight="15.75"/>
  <cols>
    <col width="9.140625" customWidth="1" style="320" min="1" max="1"/>
    <col width="12.5703125" customWidth="1" style="320" min="2" max="2"/>
    <col width="22.42578125" customWidth="1" style="320" min="3" max="3"/>
    <col width="58.7109375" customWidth="1" style="320" min="4" max="4"/>
    <col width="10.140625" customWidth="1" style="212" min="5" max="5"/>
    <col width="20.7109375" customWidth="1" style="320" min="6" max="6"/>
    <col width="16.140625" customWidth="1" style="320" min="7" max="7"/>
    <col width="16.7109375" customWidth="1" style="320" min="8" max="8"/>
    <col width="9.140625" customWidth="1" style="320" min="9" max="9"/>
    <col width="10.140625" customWidth="1" style="320" min="10" max="10"/>
    <col width="14" customWidth="1" style="320" min="11" max="11"/>
    <col width="9.140625" customWidth="1" style="320" min="12" max="12"/>
  </cols>
  <sheetData>
    <row r="2">
      <c r="A2" s="355" t="inlineStr">
        <is>
          <t xml:space="preserve">Приложение № 3 </t>
        </is>
      </c>
    </row>
    <row r="3">
      <c r="A3" s="356" t="inlineStr">
        <is>
          <t>Объектная ресурсная ведомость</t>
        </is>
      </c>
    </row>
    <row r="4">
      <c r="A4" s="357" t="n"/>
    </row>
    <row r="5" ht="41.25" customHeight="1" s="318">
      <c r="A5" s="359" t="inlineStr">
        <is>
          <t>Наименование разрабатываемого показателя УНЦ - Сети связи. УПАТС для предприятия электрических сетей</t>
        </is>
      </c>
    </row>
    <row r="6" s="318">
      <c r="A6" s="213" t="n"/>
      <c r="B6" s="213" t="n"/>
      <c r="C6" s="213" t="n"/>
      <c r="D6" s="213" t="n"/>
      <c r="E6" s="156" t="n"/>
      <c r="F6" s="213" t="n"/>
      <c r="G6" s="213" t="n"/>
      <c r="H6" s="213" t="n"/>
      <c r="I6" s="320" t="n"/>
      <c r="J6" s="154" t="n"/>
      <c r="K6" s="320" t="n"/>
      <c r="L6" s="320" t="n"/>
    </row>
    <row r="7" s="318">
      <c r="A7" s="213" t="n"/>
      <c r="B7" s="213" t="n"/>
      <c r="C7" s="213" t="n"/>
      <c r="D7" s="213" t="n"/>
      <c r="E7" s="156" t="n"/>
      <c r="F7" s="213" t="n"/>
      <c r="G7" s="213" t="n"/>
      <c r="H7" s="213" t="n"/>
      <c r="I7" s="320" t="n"/>
      <c r="J7" s="154" t="n"/>
      <c r="K7" s="320" t="n"/>
      <c r="L7" s="320" t="n"/>
    </row>
    <row r="8">
      <c r="A8" s="213" t="n"/>
      <c r="B8" s="213" t="n"/>
      <c r="C8" s="213" t="n"/>
      <c r="D8" s="213" t="n"/>
      <c r="E8" s="156" t="n"/>
      <c r="F8" s="213" t="n"/>
      <c r="G8" s="213" t="n"/>
      <c r="H8" s="213" t="n"/>
      <c r="J8" s="154" t="n"/>
    </row>
    <row r="9" ht="38.25" customHeight="1" s="318">
      <c r="A9" s="360" t="inlineStr">
        <is>
          <t>п/п</t>
        </is>
      </c>
      <c r="B9" s="360" t="inlineStr">
        <is>
          <t>№ЛСР</t>
        </is>
      </c>
      <c r="C9" s="360" t="inlineStr">
        <is>
          <t>Код ресурса</t>
        </is>
      </c>
      <c r="D9" s="360" t="inlineStr">
        <is>
          <t>Наименование ресурса</t>
        </is>
      </c>
      <c r="E9" s="360" t="inlineStr">
        <is>
          <t>Ед. изм.</t>
        </is>
      </c>
      <c r="F9" s="360" t="inlineStr">
        <is>
          <t>Кол-во единиц по данным объекта-представителя</t>
        </is>
      </c>
      <c r="G9" s="360" t="inlineStr">
        <is>
          <t>Сметная стоимость в ценах на 01.01.2000 (руб.)</t>
        </is>
      </c>
      <c r="H9" s="444" t="n"/>
      <c r="J9" s="154" t="n"/>
    </row>
    <row r="10" ht="40.5" customHeight="1" s="318">
      <c r="A10" s="446" t="n"/>
      <c r="B10" s="446" t="n"/>
      <c r="C10" s="446" t="n"/>
      <c r="D10" s="446" t="n"/>
      <c r="E10" s="446" t="n"/>
      <c r="F10" s="446" t="n"/>
      <c r="G10" s="360" t="inlineStr">
        <is>
          <t>на ед.изм.</t>
        </is>
      </c>
      <c r="H10" s="360" t="inlineStr">
        <is>
          <t>общая</t>
        </is>
      </c>
      <c r="J10" s="154" t="n"/>
    </row>
    <row r="11">
      <c r="A11" s="337" t="n">
        <v>1</v>
      </c>
      <c r="B11" s="337" t="n"/>
      <c r="C11" s="337" t="n">
        <v>2</v>
      </c>
      <c r="D11" s="337" t="inlineStr">
        <is>
          <t>З</t>
        </is>
      </c>
      <c r="E11" s="337" t="n">
        <v>4</v>
      </c>
      <c r="F11" s="337" t="n">
        <v>5</v>
      </c>
      <c r="G11" s="337" t="n">
        <v>6</v>
      </c>
      <c r="H11" s="337" t="n">
        <v>7</v>
      </c>
      <c r="J11" s="154" t="n"/>
    </row>
    <row r="12" customFormat="1" s="309">
      <c r="A12" s="361" t="inlineStr">
        <is>
          <t>Затраты труда рабочих</t>
        </is>
      </c>
      <c r="B12" s="443" t="n"/>
      <c r="C12" s="443" t="n"/>
      <c r="D12" s="443" t="n"/>
      <c r="E12" s="444" t="n"/>
      <c r="F12" s="215" t="n">
        <v>4008.0728</v>
      </c>
      <c r="G12" s="215" t="n"/>
      <c r="H12" s="215">
        <f>SUM(H13:H23)</f>
        <v/>
      </c>
      <c r="J12" s="154" t="n"/>
      <c r="K12" s="320" t="n"/>
      <c r="L12" s="320" t="n"/>
      <c r="M12" s="320" t="n"/>
    </row>
    <row r="13">
      <c r="A13" s="362" t="n">
        <v>1</v>
      </c>
      <c r="B13" s="218" t="inlineStr">
        <is>
          <t> </t>
        </is>
      </c>
      <c r="C13" s="219" t="inlineStr">
        <is>
          <t>10-3-1</t>
        </is>
      </c>
      <c r="D13" s="363" t="inlineStr">
        <is>
          <t>Инженер I категории</t>
        </is>
      </c>
      <c r="E13" s="221" t="inlineStr">
        <is>
          <t>чел.-ч</t>
        </is>
      </c>
      <c r="F13" s="362" t="n">
        <v>1780.5</v>
      </c>
      <c r="G13" s="169" t="n">
        <v>15.49</v>
      </c>
      <c r="H13" s="169">
        <f>ROUND(F13*G13,2)</f>
        <v/>
      </c>
      <c r="J13" s="154" t="n"/>
    </row>
    <row r="14">
      <c r="A14" s="362" t="n">
        <v>2</v>
      </c>
      <c r="B14" s="218" t="inlineStr">
        <is>
          <t> </t>
        </is>
      </c>
      <c r="C14" s="219" t="inlineStr">
        <is>
          <t>1-4-0</t>
        </is>
      </c>
      <c r="D14" s="363" t="inlineStr">
        <is>
          <t>Затраты труда рабочих (ср 4)</t>
        </is>
      </c>
      <c r="E14" s="221" t="inlineStr">
        <is>
          <t>чел.-ч</t>
        </is>
      </c>
      <c r="F14" s="362" t="n">
        <v>795.47</v>
      </c>
      <c r="G14" s="169" t="n">
        <v>9.619999999999999</v>
      </c>
      <c r="H14" s="169">
        <f>ROUND(F14*G14,2)</f>
        <v/>
      </c>
      <c r="J14" s="154" t="n"/>
    </row>
    <row r="15">
      <c r="A15" s="362" t="n">
        <v>3</v>
      </c>
      <c r="B15" s="218" t="inlineStr">
        <is>
          <t> </t>
        </is>
      </c>
      <c r="C15" s="219" t="inlineStr">
        <is>
          <t>1-5-0</t>
        </is>
      </c>
      <c r="D15" s="363" t="inlineStr">
        <is>
          <t>Затраты труда рабочих (ср 5)</t>
        </is>
      </c>
      <c r="E15" s="221" t="inlineStr">
        <is>
          <t>чел.-ч</t>
        </is>
      </c>
      <c r="F15" s="362" t="n">
        <v>390.54</v>
      </c>
      <c r="G15" s="169" t="n">
        <v>11.09</v>
      </c>
      <c r="H15" s="169">
        <f>ROUND(F15*G15,2)</f>
        <v/>
      </c>
      <c r="J15" s="154" t="n"/>
    </row>
    <row r="16">
      <c r="A16" s="362" t="n">
        <v>4</v>
      </c>
      <c r="B16" s="218" t="inlineStr">
        <is>
          <t> </t>
        </is>
      </c>
      <c r="C16" s="219" t="inlineStr">
        <is>
          <t>1-3-8</t>
        </is>
      </c>
      <c r="D16" s="363" t="inlineStr">
        <is>
          <t>Затраты труда рабочих (ср 3,8)</t>
        </is>
      </c>
      <c r="E16" s="221" t="inlineStr">
        <is>
          <t>чел.-ч</t>
        </is>
      </c>
      <c r="F16" s="362" t="n">
        <v>427.2328</v>
      </c>
      <c r="G16" s="169" t="n">
        <v>9.4</v>
      </c>
      <c r="H16" s="169">
        <f>ROUND(F16*G16,2)</f>
        <v/>
      </c>
      <c r="J16" s="154" t="n"/>
    </row>
    <row r="17">
      <c r="A17" s="362" t="n">
        <v>5</v>
      </c>
      <c r="B17" s="218" t="inlineStr">
        <is>
          <t> </t>
        </is>
      </c>
      <c r="C17" s="219" t="inlineStr">
        <is>
          <t>10-3-2</t>
        </is>
      </c>
      <c r="D17" s="363" t="inlineStr">
        <is>
          <t>Инженер II категории</t>
        </is>
      </c>
      <c r="E17" s="221" t="inlineStr">
        <is>
          <t>чел.-ч</t>
        </is>
      </c>
      <c r="F17" s="362" t="n">
        <v>192</v>
      </c>
      <c r="G17" s="169" t="n">
        <v>14.09</v>
      </c>
      <c r="H17" s="169">
        <f>ROUND(F17*G17,2)</f>
        <v/>
      </c>
      <c r="J17" s="154" t="n"/>
    </row>
    <row r="18">
      <c r="A18" s="362" t="n">
        <v>6</v>
      </c>
      <c r="B18" s="218" t="inlineStr">
        <is>
          <t> </t>
        </is>
      </c>
      <c r="C18" s="219" t="inlineStr">
        <is>
          <t>1-3-5</t>
        </is>
      </c>
      <c r="D18" s="363" t="inlineStr">
        <is>
          <t>Затраты труда рабочих (ср 3,5)</t>
        </is>
      </c>
      <c r="E18" s="221" t="inlineStr">
        <is>
          <t>чел.-ч</t>
        </is>
      </c>
      <c r="F18" s="362" t="n">
        <v>234.08</v>
      </c>
      <c r="G18" s="169" t="n">
        <v>9.07</v>
      </c>
      <c r="H18" s="169">
        <f>ROUND(F18*G18,2)</f>
        <v/>
      </c>
      <c r="J18" s="154" t="n"/>
    </row>
    <row r="19">
      <c r="A19" s="362" t="n">
        <v>7</v>
      </c>
      <c r="B19" s="218" t="inlineStr">
        <is>
          <t> </t>
        </is>
      </c>
      <c r="C19" s="219" t="inlineStr">
        <is>
          <t>1-3-0</t>
        </is>
      </c>
      <c r="D19" s="363" t="inlineStr">
        <is>
          <t>Затраты труда рабочих (ср 3)</t>
        </is>
      </c>
      <c r="E19" s="221" t="inlineStr">
        <is>
          <t>чел.-ч</t>
        </is>
      </c>
      <c r="F19" s="362" t="n">
        <v>73</v>
      </c>
      <c r="G19" s="169" t="n">
        <v>8.529999999999999</v>
      </c>
      <c r="H19" s="169">
        <f>ROUND(F19*G19,2)</f>
        <v/>
      </c>
      <c r="J19" s="154" t="n"/>
    </row>
    <row r="20">
      <c r="A20" s="362" t="n">
        <v>8</v>
      </c>
      <c r="B20" s="218" t="inlineStr">
        <is>
          <t> </t>
        </is>
      </c>
      <c r="C20" s="219" t="inlineStr">
        <is>
          <t>1-4-2</t>
        </is>
      </c>
      <c r="D20" s="363" t="inlineStr">
        <is>
          <t>Затраты труда рабочих (ср 4,2)</t>
        </is>
      </c>
      <c r="E20" s="221" t="inlineStr">
        <is>
          <t>чел.-ч</t>
        </is>
      </c>
      <c r="F20" s="362" t="n">
        <v>41.24</v>
      </c>
      <c r="G20" s="169" t="n">
        <v>9.92</v>
      </c>
      <c r="H20" s="169">
        <f>ROUND(F20*G20,2)</f>
        <v/>
      </c>
      <c r="J20" s="154" t="n"/>
    </row>
    <row r="21">
      <c r="A21" s="362" t="n">
        <v>9</v>
      </c>
      <c r="B21" s="218" t="inlineStr">
        <is>
          <t> </t>
        </is>
      </c>
      <c r="C21" s="219" t="inlineStr">
        <is>
          <t>1-3-1</t>
        </is>
      </c>
      <c r="D21" s="363" t="inlineStr">
        <is>
          <t>Затраты труда рабочих (ср 3,1)</t>
        </is>
      </c>
      <c r="E21" s="221" t="inlineStr">
        <is>
          <t>чел.-ч</t>
        </is>
      </c>
      <c r="F21" s="362" t="n">
        <v>36.05</v>
      </c>
      <c r="G21" s="169" t="n">
        <v>8.640000000000001</v>
      </c>
      <c r="H21" s="169">
        <f>ROUND(F21*G21,2)</f>
        <v/>
      </c>
      <c r="J21" s="154" t="n"/>
    </row>
    <row r="22">
      <c r="A22" s="362" t="n">
        <v>10</v>
      </c>
      <c r="B22" s="218" t="inlineStr">
        <is>
          <t> </t>
        </is>
      </c>
      <c r="C22" s="219" t="inlineStr">
        <is>
          <t>1-4-5</t>
        </is>
      </c>
      <c r="D22" s="363" t="inlineStr">
        <is>
          <t>Затраты труда рабочих (ср 4,5)</t>
        </is>
      </c>
      <c r="E22" s="221" t="inlineStr">
        <is>
          <t>чел.-ч</t>
        </is>
      </c>
      <c r="F22" s="362" t="n">
        <v>26</v>
      </c>
      <c r="G22" s="169" t="n">
        <v>10.35</v>
      </c>
      <c r="H22" s="169">
        <f>ROUND(F22*G22,2)</f>
        <v/>
      </c>
      <c r="J22" s="154" t="n"/>
    </row>
    <row r="23">
      <c r="A23" s="362" t="n">
        <v>11</v>
      </c>
      <c r="B23" s="218" t="inlineStr">
        <is>
          <t> </t>
        </is>
      </c>
      <c r="C23" s="219" t="inlineStr">
        <is>
          <t>1-3-2</t>
        </is>
      </c>
      <c r="D23" s="363" t="inlineStr">
        <is>
          <t>Затраты труда рабочих (ср 3,2)</t>
        </is>
      </c>
      <c r="E23" s="221" t="inlineStr">
        <is>
          <t>чел.-ч</t>
        </is>
      </c>
      <c r="F23" s="362" t="n">
        <v>11.96</v>
      </c>
      <c r="G23" s="169" t="n">
        <v>8.74</v>
      </c>
      <c r="H23" s="169">
        <f>ROUND(F23*G23,2)</f>
        <v/>
      </c>
      <c r="J23" s="154" t="n"/>
    </row>
    <row r="24">
      <c r="A24" s="361" t="inlineStr">
        <is>
          <t>Затраты труда машинистов</t>
        </is>
      </c>
      <c r="B24" s="443" t="n"/>
      <c r="C24" s="443" t="n"/>
      <c r="D24" s="443" t="n"/>
      <c r="E24" s="444" t="n"/>
      <c r="F24" s="361" t="n">
        <v>74.02160000000001</v>
      </c>
      <c r="G24" s="215" t="n"/>
      <c r="H24" s="215">
        <f>H25</f>
        <v/>
      </c>
      <c r="J24" s="154" t="n"/>
    </row>
    <row r="25">
      <c r="A25" s="362" t="n">
        <v>12</v>
      </c>
      <c r="B25" s="362" t="inlineStr">
        <is>
          <t> </t>
        </is>
      </c>
      <c r="C25" s="363" t="n">
        <v>2</v>
      </c>
      <c r="D25" s="363" t="inlineStr">
        <is>
          <t>Затраты труда машинистов</t>
        </is>
      </c>
      <c r="E25" s="221" t="inlineStr">
        <is>
          <t>чел.-ч</t>
        </is>
      </c>
      <c r="F25" s="362" t="n">
        <v>74.02160000000001</v>
      </c>
      <c r="G25" s="169" t="n"/>
      <c r="H25" s="169" t="n">
        <v>839.77</v>
      </c>
      <c r="J25" s="154" t="n"/>
    </row>
    <row r="26" customFormat="1" s="309">
      <c r="A26" s="361" t="inlineStr">
        <is>
          <t>Машины и механизмы</t>
        </is>
      </c>
      <c r="B26" s="443" t="n"/>
      <c r="C26" s="443" t="n"/>
      <c r="D26" s="443" t="n"/>
      <c r="E26" s="444" t="n"/>
      <c r="F26" s="361" t="n"/>
      <c r="G26" s="215" t="n"/>
      <c r="H26" s="215">
        <f>SUM(H27:H41)</f>
        <v/>
      </c>
      <c r="J26" s="154" t="n"/>
      <c r="K26" s="320" t="n"/>
      <c r="L26" s="320" t="n"/>
      <c r="M26" s="320" t="n"/>
    </row>
    <row r="27" ht="31.5" customHeight="1" s="318">
      <c r="A27" s="362" t="n">
        <v>13</v>
      </c>
      <c r="B27" s="362" t="inlineStr">
        <is>
          <t> </t>
        </is>
      </c>
      <c r="C27" s="363" t="inlineStr">
        <is>
          <t>91.11.01-012</t>
        </is>
      </c>
      <c r="D27" s="363" t="inlineStr">
        <is>
          <t>Машины монтажные для выполнения работ при прокладке и монтаже кабеля на базе автомобиля</t>
        </is>
      </c>
      <c r="E27" s="221" t="inlineStr">
        <is>
          <t>маш.час</t>
        </is>
      </c>
      <c r="F27" s="362" t="n">
        <v>40.12</v>
      </c>
      <c r="G27" s="169" t="n">
        <v>110.86</v>
      </c>
      <c r="H27" s="169">
        <f>ROUND(F27*G27,2)</f>
        <v/>
      </c>
      <c r="J27" s="154" t="n"/>
    </row>
    <row r="28">
      <c r="A28" s="362" t="n">
        <v>14</v>
      </c>
      <c r="B28" s="362" t="inlineStr">
        <is>
          <t> </t>
        </is>
      </c>
      <c r="C28" s="363" t="inlineStr">
        <is>
          <t>91.06.05-011</t>
        </is>
      </c>
      <c r="D28" s="363" t="inlineStr">
        <is>
          <t>Погрузчики, грузоподъемность 5 т</t>
        </is>
      </c>
      <c r="E28" s="221" t="inlineStr">
        <is>
          <t>маш.час</t>
        </is>
      </c>
      <c r="F28" s="362" t="n">
        <v>13.78</v>
      </c>
      <c r="G28" s="169" t="n">
        <v>89.98999999999999</v>
      </c>
      <c r="H28" s="169">
        <f>ROUND(F28*G28,2)</f>
        <v/>
      </c>
      <c r="J28" s="154" t="n"/>
    </row>
    <row r="29">
      <c r="A29" s="362" t="n">
        <v>15</v>
      </c>
      <c r="B29" s="362" t="inlineStr">
        <is>
          <t> </t>
        </is>
      </c>
      <c r="C29" s="363" t="inlineStr">
        <is>
          <t>91.05.05-015</t>
        </is>
      </c>
      <c r="D29" s="363" t="inlineStr">
        <is>
          <t>Краны на автомобильном ходу, грузоподъемность 16 т</t>
        </is>
      </c>
      <c r="E29" s="221" t="inlineStr">
        <is>
          <t>маш.час</t>
        </is>
      </c>
      <c r="F29" s="362" t="n">
        <v>6.57</v>
      </c>
      <c r="G29" s="169" t="n">
        <v>115.4</v>
      </c>
      <c r="H29" s="169">
        <f>ROUND(F29*G29,2)</f>
        <v/>
      </c>
      <c r="J29" s="154" t="n"/>
    </row>
    <row r="30">
      <c r="A30" s="362" t="n">
        <v>16</v>
      </c>
      <c r="B30" s="362" t="inlineStr">
        <is>
          <t> </t>
        </is>
      </c>
      <c r="C30" s="363" t="inlineStr">
        <is>
          <t>91.14.02-001</t>
        </is>
      </c>
      <c r="D30" s="363" t="inlineStr">
        <is>
          <t>Автомобили бортовые, грузоподъемность до 5 т</t>
        </is>
      </c>
      <c r="E30" s="221" t="inlineStr">
        <is>
          <t>маш.час</t>
        </is>
      </c>
      <c r="F30" s="362" t="n">
        <v>6.884</v>
      </c>
      <c r="G30" s="169" t="n">
        <v>65.70999999999999</v>
      </c>
      <c r="H30" s="169">
        <f>ROUND(F30*G30,2)</f>
        <v/>
      </c>
      <c r="J30" s="154" t="n"/>
    </row>
    <row r="31" ht="31.5" customHeight="1" s="318">
      <c r="A31" s="362" t="n">
        <v>17</v>
      </c>
      <c r="B31" s="362" t="inlineStr">
        <is>
          <t> </t>
        </is>
      </c>
      <c r="C31" s="363" t="inlineStr">
        <is>
          <t>91.06.03-061</t>
        </is>
      </c>
      <c r="D31" s="363" t="inlineStr">
        <is>
          <t>Лебедки электрические тяговым усилием до 12,26 кН (1,25 т)</t>
        </is>
      </c>
      <c r="E31" s="221" t="inlineStr">
        <is>
          <t>маш.час</t>
        </is>
      </c>
      <c r="F31" s="362" t="n">
        <v>66.75360000000001</v>
      </c>
      <c r="G31" s="169" t="n">
        <v>3.28</v>
      </c>
      <c r="H31" s="169">
        <f>ROUND(F31*G31,2)</f>
        <v/>
      </c>
      <c r="J31" s="154" t="n"/>
    </row>
    <row r="32">
      <c r="A32" s="362" t="n">
        <v>18</v>
      </c>
      <c r="B32" s="362" t="inlineStr">
        <is>
          <t> </t>
        </is>
      </c>
      <c r="C32" s="363" t="inlineStr">
        <is>
          <t>91.06.06-042</t>
        </is>
      </c>
      <c r="D32" s="363" t="inlineStr">
        <is>
          <t>Подъемники гидравлические, высота подъема 10 м</t>
        </is>
      </c>
      <c r="E32" s="221" t="inlineStr">
        <is>
          <t>маш.час</t>
        </is>
      </c>
      <c r="F32" s="362" t="n">
        <v>5.8176</v>
      </c>
      <c r="G32" s="169" t="n">
        <v>29.6</v>
      </c>
      <c r="H32" s="169">
        <f>ROUND(F32*G32,2)</f>
        <v/>
      </c>
      <c r="J32" s="154" t="n"/>
    </row>
    <row r="33" ht="31.5" customHeight="1" s="318">
      <c r="A33" s="362" t="n">
        <v>19</v>
      </c>
      <c r="B33" s="362" t="inlineStr">
        <is>
          <t> </t>
        </is>
      </c>
      <c r="C33" s="363" t="inlineStr">
        <is>
          <t>91.17.04-233</t>
        </is>
      </c>
      <c r="D33" s="363" t="inlineStr">
        <is>
          <t>Установки для сварки ручной дуговой (постоянного тока)</t>
        </is>
      </c>
      <c r="E33" s="221" t="inlineStr">
        <is>
          <t>маш.час</t>
        </is>
      </c>
      <c r="F33" s="362" t="n">
        <v>7.7498</v>
      </c>
      <c r="G33" s="169" t="n">
        <v>8.1</v>
      </c>
      <c r="H33" s="169">
        <f>ROUND(F33*G33,2)</f>
        <v/>
      </c>
      <c r="J33" s="154" t="n"/>
    </row>
    <row r="34">
      <c r="A34" s="362" t="n">
        <v>20</v>
      </c>
      <c r="B34" s="362" t="inlineStr">
        <is>
          <t> </t>
        </is>
      </c>
      <c r="C34" s="363" t="inlineStr">
        <is>
          <t>91.06.01-003</t>
        </is>
      </c>
      <c r="D34" s="363" t="inlineStr">
        <is>
          <t>Домкраты гидравлические, грузоподъемность 63-100 т</t>
        </is>
      </c>
      <c r="E34" s="221" t="inlineStr">
        <is>
          <t>маш.час</t>
        </is>
      </c>
      <c r="F34" s="362" t="n">
        <v>66.75360000000001</v>
      </c>
      <c r="G34" s="169" t="n">
        <v>0.9</v>
      </c>
      <c r="H34" s="169">
        <f>ROUND(F34*G34,2)</f>
        <v/>
      </c>
      <c r="J34" s="154" t="n"/>
    </row>
    <row r="35">
      <c r="A35" s="362" t="n">
        <v>21</v>
      </c>
      <c r="B35" s="362" t="inlineStr">
        <is>
          <t> </t>
        </is>
      </c>
      <c r="C35" s="363" t="inlineStr">
        <is>
          <t>91.21.12-002</t>
        </is>
      </c>
      <c r="D35" s="363" t="inlineStr">
        <is>
          <t>Ножницы листовые кривошипные гильотинные</t>
        </is>
      </c>
      <c r="E35" s="221" t="inlineStr">
        <is>
          <t>маш.час</t>
        </is>
      </c>
      <c r="F35" s="362" t="n">
        <v>0.385</v>
      </c>
      <c r="G35" s="169" t="n">
        <v>70</v>
      </c>
      <c r="H35" s="169">
        <f>ROUND(F35*G35,2)</f>
        <v/>
      </c>
      <c r="J35" s="154" t="n"/>
    </row>
    <row r="36">
      <c r="A36" s="362" t="n">
        <v>22</v>
      </c>
      <c r="B36" s="362" t="inlineStr">
        <is>
          <t> </t>
        </is>
      </c>
      <c r="C36" s="363" t="inlineStr">
        <is>
          <t>91.21.16-014</t>
        </is>
      </c>
      <c r="D36" s="363" t="inlineStr">
        <is>
          <t>Прессы листогибочные кривошипные 1000 кН (100 тс)</t>
        </is>
      </c>
      <c r="E36" s="221" t="inlineStr">
        <is>
          <t>маш.час</t>
        </is>
      </c>
      <c r="F36" s="362" t="n">
        <v>0.385</v>
      </c>
      <c r="G36" s="169" t="n">
        <v>56.24</v>
      </c>
      <c r="H36" s="169">
        <f>ROUND(F36*G36,2)</f>
        <v/>
      </c>
      <c r="J36" s="154" t="n"/>
    </row>
    <row r="37" ht="31.5" customHeight="1" s="318">
      <c r="A37" s="362" t="n">
        <v>23</v>
      </c>
      <c r="B37" s="362" t="inlineStr">
        <is>
          <t> </t>
        </is>
      </c>
      <c r="C37" s="363" t="inlineStr">
        <is>
          <t>91.06.03-060</t>
        </is>
      </c>
      <c r="D37" s="363" t="inlineStr">
        <is>
          <t>Лебедки электрические тяговым усилием до 5,79 кН (0,59 т)</t>
        </is>
      </c>
      <c r="E37" s="221" t="inlineStr">
        <is>
          <t>маш.час</t>
        </is>
      </c>
      <c r="F37" s="362" t="n">
        <v>5.32</v>
      </c>
      <c r="G37" s="169" t="n">
        <v>1.7</v>
      </c>
      <c r="H37" s="169">
        <f>ROUND(F37*G37,2)</f>
        <v/>
      </c>
      <c r="J37" s="154" t="n"/>
    </row>
    <row r="38">
      <c r="A38" s="362" t="n">
        <v>24</v>
      </c>
      <c r="B38" s="362" t="inlineStr">
        <is>
          <t> </t>
        </is>
      </c>
      <c r="C38" s="363" t="inlineStr">
        <is>
          <t>91.14.02-002</t>
        </is>
      </c>
      <c r="D38" s="363" t="inlineStr">
        <is>
          <t>Автомобили бортовые, грузоподъемность до 8 т</t>
        </is>
      </c>
      <c r="E38" s="221" t="inlineStr">
        <is>
          <t>маш.час</t>
        </is>
      </c>
      <c r="F38" s="362" t="n">
        <v>0.08</v>
      </c>
      <c r="G38" s="169" t="n">
        <v>85.84</v>
      </c>
      <c r="H38" s="169">
        <f>ROUND(F38*G38,2)</f>
        <v/>
      </c>
      <c r="J38" s="154" t="n"/>
    </row>
    <row r="39">
      <c r="A39" s="362" t="n">
        <v>25</v>
      </c>
      <c r="B39" s="362" t="inlineStr">
        <is>
          <t> </t>
        </is>
      </c>
      <c r="C39" s="363" t="inlineStr">
        <is>
          <t>91.21.16-013</t>
        </is>
      </c>
      <c r="D39" s="363" t="inlineStr">
        <is>
          <t>Прессы кривошипные простого действия 25 кН (2,5 тс)</t>
        </is>
      </c>
      <c r="E39" s="221" t="inlineStr">
        <is>
          <t>маш.час</t>
        </is>
      </c>
      <c r="F39" s="362" t="n">
        <v>0.385</v>
      </c>
      <c r="G39" s="169" t="n">
        <v>16.92</v>
      </c>
      <c r="H39" s="169">
        <f>ROUND(F39*G39,2)</f>
        <v/>
      </c>
      <c r="J39" s="154" t="n"/>
    </row>
    <row r="40" ht="31.5" customHeight="1" s="318">
      <c r="A40" s="362" t="n">
        <v>26</v>
      </c>
      <c r="B40" s="362" t="inlineStr">
        <is>
          <t> </t>
        </is>
      </c>
      <c r="C40" s="363" t="inlineStr">
        <is>
          <t>91.21.01-012</t>
        </is>
      </c>
      <c r="D40" s="363" t="inlineStr">
        <is>
          <t>Агрегаты окрасочные высокого давления для окраски поверхностей конструкций, мощность 1 кВт</t>
        </is>
      </c>
      <c r="E40" s="221" t="inlineStr">
        <is>
          <t>маш.час</t>
        </is>
      </c>
      <c r="F40" s="362" t="n">
        <v>0.77</v>
      </c>
      <c r="G40" s="169" t="n">
        <v>6.82</v>
      </c>
      <c r="H40" s="169">
        <f>ROUND(F40*G40,2)</f>
        <v/>
      </c>
      <c r="J40" s="154" t="n"/>
    </row>
    <row r="41">
      <c r="A41" s="362" t="n">
        <v>27</v>
      </c>
      <c r="B41" s="362" t="inlineStr">
        <is>
          <t> </t>
        </is>
      </c>
      <c r="C41" s="363" t="inlineStr">
        <is>
          <t>91.21.19-031</t>
        </is>
      </c>
      <c r="D41" s="363" t="inlineStr">
        <is>
          <t>Станки сверлильные</t>
        </is>
      </c>
      <c r="E41" s="221" t="inlineStr">
        <is>
          <t>маш.час</t>
        </is>
      </c>
      <c r="F41" s="362" t="n">
        <v>0.385</v>
      </c>
      <c r="G41" s="169" t="n">
        <v>2.36</v>
      </c>
      <c r="H41" s="169">
        <f>ROUND(F41*G41,2)</f>
        <v/>
      </c>
      <c r="J41" s="154" t="n"/>
    </row>
    <row r="42">
      <c r="A42" s="364" t="inlineStr">
        <is>
          <t>Оборудование</t>
        </is>
      </c>
      <c r="B42" s="449" t="n"/>
      <c r="C42" s="449" t="n"/>
      <c r="D42" s="449" t="n"/>
      <c r="E42" s="450" t="n"/>
      <c r="F42" s="364" t="n"/>
      <c r="G42" s="290" t="n"/>
      <c r="H42" s="290">
        <f>SUM(H43:H43)</f>
        <v/>
      </c>
      <c r="J42" s="154" t="n"/>
    </row>
    <row r="43" customFormat="1" s="309">
      <c r="A43" s="365" t="n">
        <v>28</v>
      </c>
      <c r="B43" s="365" t="inlineStr">
        <is>
          <t> </t>
        </is>
      </c>
      <c r="C43" s="366" t="inlineStr">
        <is>
          <t>Прайс из СД ОП</t>
        </is>
      </c>
      <c r="D43" s="363" t="inlineStr">
        <is>
          <t>Внутриобъектная связь</t>
        </is>
      </c>
      <c r="E43" s="293" t="inlineStr">
        <is>
          <t>к-т.</t>
        </is>
      </c>
      <c r="F43" s="365" t="n">
        <v>1</v>
      </c>
      <c r="G43" s="294" t="n">
        <v>2552808.3</v>
      </c>
      <c r="H43" s="294">
        <f>ROUND(F43*G43,2)</f>
        <v/>
      </c>
      <c r="J43" s="154" t="n"/>
      <c r="K43" s="320" t="n"/>
      <c r="L43" s="320" t="n"/>
      <c r="M43" s="320" t="n"/>
    </row>
    <row r="44">
      <c r="A44" s="361" t="inlineStr">
        <is>
          <t>Материалы</t>
        </is>
      </c>
      <c r="B44" s="443" t="n"/>
      <c r="C44" s="443" t="n"/>
      <c r="D44" s="443" t="n"/>
      <c r="E44" s="444" t="n"/>
      <c r="F44" s="361" t="n"/>
      <c r="G44" s="215" t="n"/>
      <c r="H44" s="215">
        <f>SUM(H45:H135)</f>
        <v/>
      </c>
      <c r="J44" s="154" t="n"/>
    </row>
    <row r="45" ht="31.5" customHeight="1" s="318">
      <c r="A45" s="362" t="n">
        <v>29</v>
      </c>
      <c r="B45" s="362" t="inlineStr">
        <is>
          <t> </t>
        </is>
      </c>
      <c r="C45" s="363" t="inlineStr">
        <is>
          <t>07.2.07.04-0007</t>
        </is>
      </c>
      <c r="D45" s="363" t="inlineStr">
        <is>
          <t>Конструкции стальные индивидуальные решетчатые сварные, масса до 0,1 т</t>
        </is>
      </c>
      <c r="E45" s="221" t="inlineStr">
        <is>
          <t>т</t>
        </is>
      </c>
      <c r="F45" s="362" t="n">
        <v>0.3</v>
      </c>
      <c r="G45" s="169" t="n">
        <v>11500</v>
      </c>
      <c r="H45" s="169">
        <f>ROUND(F45*G45,2)</f>
        <v/>
      </c>
      <c r="J45" s="154" t="n"/>
    </row>
    <row r="46" ht="31.5" customHeight="1" s="318">
      <c r="A46" s="362" t="n">
        <v>30</v>
      </c>
      <c r="B46" s="362" t="inlineStr">
        <is>
          <t> </t>
        </is>
      </c>
      <c r="C46" s="363" t="inlineStr">
        <is>
          <t>999-9950</t>
        </is>
      </c>
      <c r="D46" s="363" t="inlineStr">
        <is>
          <t>Вспомогательные ненормируемые ресурсы (2% от Оплаты труда рабочих)</t>
        </is>
      </c>
      <c r="E46" s="221" t="inlineStr">
        <is>
          <t>руб</t>
        </is>
      </c>
      <c r="F46" s="362" t="n">
        <v>1001.9273</v>
      </c>
      <c r="G46" s="169" t="n">
        <v>1</v>
      </c>
      <c r="H46" s="169">
        <f>ROUND(F46*G46,2)</f>
        <v/>
      </c>
      <c r="J46" s="154" t="n"/>
    </row>
    <row r="47" ht="63" customHeight="1" s="318">
      <c r="A47" s="362" t="n">
        <v>31</v>
      </c>
      <c r="B47" s="362" t="inlineStr">
        <is>
          <t> </t>
        </is>
      </c>
      <c r="C47" s="363" t="inlineStr">
        <is>
          <t>21.2.03.02-0001</t>
        </is>
      </c>
      <c r="D47" s="363" t="inlineStr">
        <is>
          <t>Провод монтажный низковольтный с гибкой многопроволочной жилой изолированные хлопчатобумажной пряжей из поливинилхлоридного пластиката, марка ПМВГ, сечение 0,35 мм2</t>
        </is>
      </c>
      <c r="E47" s="221" t="inlineStr">
        <is>
          <t>1000 м</t>
        </is>
      </c>
      <c r="F47" s="362" t="n">
        <v>0.3</v>
      </c>
      <c r="G47" s="169" t="n">
        <v>3005.8</v>
      </c>
      <c r="H47" s="169">
        <f>ROUND(F47*G47,2)</f>
        <v/>
      </c>
      <c r="J47" s="154" t="n"/>
    </row>
    <row r="48">
      <c r="A48" s="362" t="n">
        <v>32</v>
      </c>
      <c r="B48" s="362" t="inlineStr">
        <is>
          <t> </t>
        </is>
      </c>
      <c r="C48" s="363" t="inlineStr">
        <is>
          <t>01.3.01.01-0001</t>
        </is>
      </c>
      <c r="D48" s="363" t="inlineStr">
        <is>
          <t>Бензин авиационный Б-70</t>
        </is>
      </c>
      <c r="E48" s="221" t="inlineStr">
        <is>
          <t>т</t>
        </is>
      </c>
      <c r="F48" s="362" t="n">
        <v>0.1962</v>
      </c>
      <c r="G48" s="169" t="n">
        <v>4488.4</v>
      </c>
      <c r="H48" s="169">
        <f>ROUND(F48*G48,2)</f>
        <v/>
      </c>
      <c r="J48" s="154" t="n"/>
    </row>
    <row r="49" ht="31.5" customHeight="1" s="318">
      <c r="A49" s="362" t="n">
        <v>33</v>
      </c>
      <c r="B49" s="362" t="inlineStr">
        <is>
          <t> </t>
        </is>
      </c>
      <c r="C49" s="363" t="inlineStr">
        <is>
          <t>10.3.02.03-0011</t>
        </is>
      </c>
      <c r="D49" s="363" t="inlineStr">
        <is>
          <t>Припои оловянно-свинцовые бессурьмянистые, марка ПОС30</t>
        </is>
      </c>
      <c r="E49" s="221" t="inlineStr">
        <is>
          <t>т</t>
        </is>
      </c>
      <c r="F49" s="362" t="n">
        <v>0.01274</v>
      </c>
      <c r="G49" s="169" t="n">
        <v>68050</v>
      </c>
      <c r="H49" s="169">
        <f>ROUND(F49*G49,2)</f>
        <v/>
      </c>
      <c r="J49" s="154" t="n"/>
    </row>
    <row r="50">
      <c r="A50" s="362" t="n">
        <v>34</v>
      </c>
      <c r="B50" s="362" t="inlineStr">
        <is>
          <t> </t>
        </is>
      </c>
      <c r="C50" s="363" t="inlineStr">
        <is>
          <t>20.5.04.03-0011</t>
        </is>
      </c>
      <c r="D50" s="363" t="inlineStr">
        <is>
          <t>Зажимы наборные</t>
        </is>
      </c>
      <c r="E50" s="221" t="inlineStr">
        <is>
          <t>шт</t>
        </is>
      </c>
      <c r="F50" s="362" t="n">
        <v>204</v>
      </c>
      <c r="G50" s="169" t="n">
        <v>3.5</v>
      </c>
      <c r="H50" s="169">
        <f>ROUND(F50*G50,2)</f>
        <v/>
      </c>
      <c r="J50" s="154" t="n"/>
    </row>
    <row r="51">
      <c r="A51" s="362" t="n">
        <v>35</v>
      </c>
      <c r="B51" s="362" t="inlineStr">
        <is>
          <t> </t>
        </is>
      </c>
      <c r="C51" s="363" t="inlineStr">
        <is>
          <t>21.2.03.09-0105</t>
        </is>
      </c>
      <c r="D51" s="363" t="inlineStr">
        <is>
          <t>Провод силовой ПРТО 1х1,5-660</t>
        </is>
      </c>
      <c r="E51" s="221" t="inlineStr">
        <is>
          <t>1000 м</t>
        </is>
      </c>
      <c r="F51" s="362" t="n">
        <v>0.387</v>
      </c>
      <c r="G51" s="169" t="n">
        <v>1819.3</v>
      </c>
      <c r="H51" s="169">
        <f>ROUND(F51*G51,2)</f>
        <v/>
      </c>
      <c r="J51" s="154" t="n"/>
    </row>
    <row r="52" ht="31.5" customHeight="1" s="318">
      <c r="A52" s="362" t="n">
        <v>36</v>
      </c>
      <c r="B52" s="362" t="inlineStr">
        <is>
          <t> </t>
        </is>
      </c>
      <c r="C52" s="363" t="inlineStr">
        <is>
          <t>20.2.10.03-0002</t>
        </is>
      </c>
      <c r="D52" s="363" t="inlineStr">
        <is>
          <t>Наконечники кабельные медные для электротехнических установок</t>
        </is>
      </c>
      <c r="E52" s="221" t="inlineStr">
        <is>
          <t>100 шт</t>
        </is>
      </c>
      <c r="F52" s="362" t="n">
        <v>0.11</v>
      </c>
      <c r="G52" s="169" t="n">
        <v>3986</v>
      </c>
      <c r="H52" s="169">
        <f>ROUND(F52*G52,2)</f>
        <v/>
      </c>
      <c r="J52" s="154" t="n"/>
    </row>
    <row r="53" ht="31.5" customHeight="1" s="318">
      <c r="A53" s="362" t="n">
        <v>37</v>
      </c>
      <c r="B53" s="362" t="inlineStr">
        <is>
          <t> </t>
        </is>
      </c>
      <c r="C53" s="363" t="inlineStr">
        <is>
          <t>10.3.02.03-0012</t>
        </is>
      </c>
      <c r="D53" s="363" t="inlineStr">
        <is>
          <t>Припои оловянно-свинцовые бессурьмянистые, марка ПОС40</t>
        </is>
      </c>
      <c r="E53" s="221" t="inlineStr">
        <is>
          <t>т</t>
        </is>
      </c>
      <c r="F53" s="362" t="n">
        <v>0.00625</v>
      </c>
      <c r="G53" s="169" t="n">
        <v>65750</v>
      </c>
      <c r="H53" s="169">
        <f>ROUND(F53*G53,2)</f>
        <v/>
      </c>
      <c r="J53" s="154" t="n"/>
    </row>
    <row r="54" ht="31.5" customHeight="1" s="318">
      <c r="A54" s="362" t="n">
        <v>38</v>
      </c>
      <c r="B54" s="362" t="inlineStr">
        <is>
          <t> </t>
        </is>
      </c>
      <c r="C54" s="363" t="inlineStr">
        <is>
          <t>08.3.08.02-0091</t>
        </is>
      </c>
      <c r="D54" s="363" t="inlineStr">
        <is>
          <t>Уголок перфорированный, марка стали Ст3, размер 35х35 мм</t>
        </is>
      </c>
      <c r="E54" s="221" t="inlineStr">
        <is>
          <t>м</t>
        </is>
      </c>
      <c r="F54" s="362" t="n">
        <v>21.85</v>
      </c>
      <c r="G54" s="169" t="n">
        <v>15.13</v>
      </c>
      <c r="H54" s="169">
        <f>ROUND(F54*G54,2)</f>
        <v/>
      </c>
      <c r="J54" s="154" t="n"/>
    </row>
    <row r="55">
      <c r="A55" s="362" t="n">
        <v>39</v>
      </c>
      <c r="B55" s="362" t="inlineStr">
        <is>
          <t> </t>
        </is>
      </c>
      <c r="C55" s="363" t="inlineStr">
        <is>
          <t>01.7.20.04-0003</t>
        </is>
      </c>
      <c r="D55" s="363" t="inlineStr">
        <is>
          <t>Нитки суровые</t>
        </is>
      </c>
      <c r="E55" s="221" t="inlineStr">
        <is>
          <t>кг</t>
        </is>
      </c>
      <c r="F55" s="362" t="n">
        <v>1.864</v>
      </c>
      <c r="G55" s="169" t="n">
        <v>155</v>
      </c>
      <c r="H55" s="169">
        <f>ROUND(F55*G55,2)</f>
        <v/>
      </c>
      <c r="J55" s="154" t="n"/>
    </row>
    <row r="56">
      <c r="A56" s="362" t="n">
        <v>40</v>
      </c>
      <c r="B56" s="362" t="inlineStr">
        <is>
          <t> </t>
        </is>
      </c>
      <c r="C56" s="363" t="inlineStr">
        <is>
          <t>20.2.10.03-0020</t>
        </is>
      </c>
      <c r="D56" s="363" t="inlineStr">
        <is>
          <t>Наконечники кабельные П2.5-4Д-МУ3</t>
        </is>
      </c>
      <c r="E56" s="221" t="inlineStr">
        <is>
          <t>100 шт</t>
        </is>
      </c>
      <c r="F56" s="362" t="n">
        <v>1.4</v>
      </c>
      <c r="G56" s="169" t="n">
        <v>203</v>
      </c>
      <c r="H56" s="169">
        <f>ROUND(F56*G56,2)</f>
        <v/>
      </c>
      <c r="J56" s="154" t="n"/>
    </row>
    <row r="57">
      <c r="A57" s="362" t="n">
        <v>41</v>
      </c>
      <c r="B57" s="362" t="inlineStr">
        <is>
          <t> </t>
        </is>
      </c>
      <c r="C57" s="363" t="inlineStr">
        <is>
          <t>14.4.04.12-0008</t>
        </is>
      </c>
      <c r="D57" s="363" t="inlineStr">
        <is>
          <t>Эмаль эпоксидная ЭП-140, защитная</t>
        </is>
      </c>
      <c r="E57" s="221" t="inlineStr">
        <is>
          <t>т</t>
        </is>
      </c>
      <c r="F57" s="362" t="n">
        <v>0.0036</v>
      </c>
      <c r="G57" s="169" t="n">
        <v>75000</v>
      </c>
      <c r="H57" s="169">
        <f>ROUND(F57*G57,2)</f>
        <v/>
      </c>
      <c r="J57" s="154" t="n"/>
    </row>
    <row r="58">
      <c r="A58" s="362" t="n">
        <v>42</v>
      </c>
      <c r="B58" s="362" t="inlineStr">
        <is>
          <t> </t>
        </is>
      </c>
      <c r="C58" s="363" t="inlineStr">
        <is>
          <t>01.7.15.07-0012</t>
        </is>
      </c>
      <c r="D58" s="363" t="inlineStr">
        <is>
          <t>Дюбели пластмассовые с шурупами, размер 12х70 мм</t>
        </is>
      </c>
      <c r="E58" s="221" t="inlineStr">
        <is>
          <t>100 шт</t>
        </is>
      </c>
      <c r="F58" s="362" t="n">
        <v>2.74</v>
      </c>
      <c r="G58" s="169" t="n">
        <v>83</v>
      </c>
      <c r="H58" s="169">
        <f>ROUND(F58*G58,2)</f>
        <v/>
      </c>
      <c r="J58" s="154" t="n"/>
    </row>
    <row r="59">
      <c r="A59" s="362" t="n">
        <v>43</v>
      </c>
      <c r="B59" s="362" t="inlineStr">
        <is>
          <t> </t>
        </is>
      </c>
      <c r="C59" s="363" t="inlineStr">
        <is>
          <t>20.2.10.03-0006</t>
        </is>
      </c>
      <c r="D59" s="363" t="inlineStr">
        <is>
          <t>Наконечники кабельные медные соединительные</t>
        </is>
      </c>
      <c r="E59" s="221" t="inlineStr">
        <is>
          <t>100 шт</t>
        </is>
      </c>
      <c r="F59" s="362" t="n">
        <v>0.62</v>
      </c>
      <c r="G59" s="169" t="n">
        <v>365</v>
      </c>
      <c r="H59" s="169">
        <f>ROUND(F59*G59,2)</f>
        <v/>
      </c>
      <c r="J59" s="154" t="n"/>
    </row>
    <row r="60">
      <c r="A60" s="362" t="n">
        <v>44</v>
      </c>
      <c r="B60" s="362" t="inlineStr">
        <is>
          <t> </t>
        </is>
      </c>
      <c r="C60" s="363" t="inlineStr">
        <is>
          <t>25.2.01.01-0017</t>
        </is>
      </c>
      <c r="D60" s="363" t="inlineStr">
        <is>
          <t>Бирки маркировочные пластмассовые</t>
        </is>
      </c>
      <c r="E60" s="221" t="inlineStr">
        <is>
          <t>100 шт</t>
        </is>
      </c>
      <c r="F60" s="362" t="n">
        <v>7.34</v>
      </c>
      <c r="G60" s="169" t="n">
        <v>30.74</v>
      </c>
      <c r="H60" s="169">
        <f>ROUND(F60*G60,2)</f>
        <v/>
      </c>
      <c r="J60" s="154" t="n"/>
    </row>
    <row r="61" ht="47.25" customHeight="1" s="318">
      <c r="A61" s="362" t="n">
        <v>45</v>
      </c>
      <c r="B61" s="362" t="inlineStr">
        <is>
          <t> </t>
        </is>
      </c>
      <c r="C61" s="363" t="inlineStr">
        <is>
          <t>01.7.06.05-0042</t>
        </is>
      </c>
      <c r="D61" s="363" t="inlineStr">
        <is>
          <t>Лента липкая изоляционная на поликасиновом компаунде, ширина 20-30 мм, толщина от 0,14 до 0,19 мм</t>
        </is>
      </c>
      <c r="E61" s="221" t="inlineStr">
        <is>
          <t>кг</t>
        </is>
      </c>
      <c r="F61" s="362" t="n">
        <v>1.98</v>
      </c>
      <c r="G61" s="169" t="n">
        <v>91.29000000000001</v>
      </c>
      <c r="H61" s="169">
        <f>ROUND(F61*G61,2)</f>
        <v/>
      </c>
      <c r="J61" s="154" t="n"/>
    </row>
    <row r="62" ht="31.5" customHeight="1" s="318">
      <c r="A62" s="362" t="n">
        <v>46</v>
      </c>
      <c r="B62" s="362" t="inlineStr">
        <is>
          <t> </t>
        </is>
      </c>
      <c r="C62" s="363" t="inlineStr">
        <is>
          <t>11.2.11.05-0002</t>
        </is>
      </c>
      <c r="D62" s="363" t="inlineStr">
        <is>
          <t>Фанера клееная обрезная, сорт В/ВВ, ФК, ФБА, толщина 4 мм</t>
        </is>
      </c>
      <c r="E62" s="221" t="inlineStr">
        <is>
          <t>м3</t>
        </is>
      </c>
      <c r="F62" s="362" t="n">
        <v>0.032</v>
      </c>
      <c r="G62" s="169" t="n">
        <v>4949.4</v>
      </c>
      <c r="H62" s="169">
        <f>ROUND(F62*G62,2)</f>
        <v/>
      </c>
      <c r="J62" s="154" t="n"/>
    </row>
    <row r="63">
      <c r="A63" s="362" t="n">
        <v>47</v>
      </c>
      <c r="B63" s="362" t="inlineStr">
        <is>
          <t> </t>
        </is>
      </c>
      <c r="C63" s="363" t="inlineStr">
        <is>
          <t>20.1.02.06-0001</t>
        </is>
      </c>
      <c r="D63" s="363" t="inlineStr">
        <is>
          <t>Жир паяльный</t>
        </is>
      </c>
      <c r="E63" s="221" t="inlineStr">
        <is>
          <t>кг</t>
        </is>
      </c>
      <c r="F63" s="362" t="n">
        <v>1.56</v>
      </c>
      <c r="G63" s="169" t="n">
        <v>100.8</v>
      </c>
      <c r="H63" s="169">
        <f>ROUND(F63*G63,2)</f>
        <v/>
      </c>
      <c r="J63" s="154" t="n"/>
    </row>
    <row r="64">
      <c r="A64" s="362" t="n">
        <v>48</v>
      </c>
      <c r="B64" s="362" t="inlineStr">
        <is>
          <t> </t>
        </is>
      </c>
      <c r="C64" s="363" t="inlineStr">
        <is>
          <t>14.4.04.01-0001</t>
        </is>
      </c>
      <c r="D64" s="363" t="inlineStr">
        <is>
          <t>Нитроэмаль НЦ-132К</t>
        </is>
      </c>
      <c r="E64" s="221" t="inlineStr">
        <is>
          <t>кг</t>
        </is>
      </c>
      <c r="F64" s="362" t="n">
        <v>5</v>
      </c>
      <c r="G64" s="169" t="n">
        <v>29.75</v>
      </c>
      <c r="H64" s="169">
        <f>ROUND(F64*G64,2)</f>
        <v/>
      </c>
      <c r="J64" s="154" t="n"/>
    </row>
    <row r="65" ht="63" customHeight="1" s="318">
      <c r="A65" s="362" t="n">
        <v>49</v>
      </c>
      <c r="B65" s="362" t="inlineStr">
        <is>
          <t> </t>
        </is>
      </c>
      <c r="C65" s="363" t="inlineStr">
        <is>
          <t>01.7.15.10-0056</t>
        </is>
      </c>
      <c r="D65" s="363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E65" s="221" t="inlineStr">
        <is>
          <t>10 шт</t>
        </is>
      </c>
      <c r="F65" s="362" t="n">
        <v>6.2</v>
      </c>
      <c r="G65" s="169" t="n">
        <v>22.61</v>
      </c>
      <c r="H65" s="169">
        <f>ROUND(F65*G65,2)</f>
        <v/>
      </c>
      <c r="J65" s="154" t="n"/>
    </row>
    <row r="66" ht="31.5" customHeight="1" s="318">
      <c r="A66" s="362" t="n">
        <v>50</v>
      </c>
      <c r="B66" s="362" t="inlineStr">
        <is>
          <t> </t>
        </is>
      </c>
      <c r="C66" s="363" t="inlineStr">
        <is>
          <t>08.3.05.02-0052</t>
        </is>
      </c>
      <c r="D66" s="363" t="inlineStr">
        <is>
          <t>Прокат толстолистовой горячекатаный марка стали Ст3, толщина 2-6 мм</t>
        </is>
      </c>
      <c r="E66" s="221" t="inlineStr">
        <is>
          <t>т</t>
        </is>
      </c>
      <c r="F66" s="362" t="n">
        <v>0.023</v>
      </c>
      <c r="G66" s="169" t="n">
        <v>5941.89</v>
      </c>
      <c r="H66" s="169">
        <f>ROUND(F66*G66,2)</f>
        <v/>
      </c>
      <c r="J66" s="154" t="n"/>
    </row>
    <row r="67">
      <c r="A67" s="362" t="n">
        <v>51</v>
      </c>
      <c r="B67" s="362" t="inlineStr">
        <is>
          <t> </t>
        </is>
      </c>
      <c r="C67" s="363" t="inlineStr">
        <is>
          <t>01.7.15.14-0165</t>
        </is>
      </c>
      <c r="D67" s="363" t="inlineStr">
        <is>
          <t>Шурупы с полукруглой головкой 4х40 мм</t>
        </is>
      </c>
      <c r="E67" s="221" t="inlineStr">
        <is>
          <t>т</t>
        </is>
      </c>
      <c r="F67" s="362" t="n">
        <v>0.0107448</v>
      </c>
      <c r="G67" s="169" t="n">
        <v>12430</v>
      </c>
      <c r="H67" s="169">
        <f>ROUND(F67*G67,2)</f>
        <v/>
      </c>
      <c r="J67" s="154" t="n"/>
    </row>
    <row r="68">
      <c r="A68" s="362" t="n">
        <v>52</v>
      </c>
      <c r="B68" s="362" t="inlineStr">
        <is>
          <t> </t>
        </is>
      </c>
      <c r="C68" s="363" t="inlineStr">
        <is>
          <t>01.7.15.03-0042</t>
        </is>
      </c>
      <c r="D68" s="363" t="inlineStr">
        <is>
          <t>Болты с гайками и шайбами строительные</t>
        </is>
      </c>
      <c r="E68" s="221" t="inlineStr">
        <is>
          <t>кг</t>
        </is>
      </c>
      <c r="F68" s="362" t="n">
        <v>14.576</v>
      </c>
      <c r="G68" s="169" t="n">
        <v>9.039999999999999</v>
      </c>
      <c r="H68" s="169">
        <f>ROUND(F68*G68,2)</f>
        <v/>
      </c>
      <c r="J68" s="154" t="n"/>
    </row>
    <row r="69">
      <c r="A69" s="362" t="n">
        <v>53</v>
      </c>
      <c r="B69" s="362" t="inlineStr">
        <is>
          <t> </t>
        </is>
      </c>
      <c r="C69" s="363" t="inlineStr">
        <is>
          <t>22.2.02.23-0011</t>
        </is>
      </c>
      <c r="D69" s="363" t="inlineStr">
        <is>
          <t>Глухари</t>
        </is>
      </c>
      <c r="E69" s="221" t="inlineStr">
        <is>
          <t>100 шт</t>
        </is>
      </c>
      <c r="F69" s="362" t="n">
        <v>0.8006</v>
      </c>
      <c r="G69" s="169" t="n">
        <v>164</v>
      </c>
      <c r="H69" s="169">
        <f>ROUND(F69*G69,2)</f>
        <v/>
      </c>
      <c r="J69" s="154" t="n"/>
    </row>
    <row r="70">
      <c r="A70" s="362" t="n">
        <v>54</v>
      </c>
      <c r="B70" s="362" t="inlineStr">
        <is>
          <t> </t>
        </is>
      </c>
      <c r="C70" s="363" t="inlineStr">
        <is>
          <t>01.7.02.07-0011</t>
        </is>
      </c>
      <c r="D70" s="363" t="inlineStr">
        <is>
          <t>Прессшпан листовой, марка А</t>
        </is>
      </c>
      <c r="E70" s="221" t="inlineStr">
        <is>
          <t>кг</t>
        </is>
      </c>
      <c r="F70" s="362" t="n">
        <v>2.65</v>
      </c>
      <c r="G70" s="169" t="n">
        <v>47.57</v>
      </c>
      <c r="H70" s="169">
        <f>ROUND(F70*G70,2)</f>
        <v/>
      </c>
      <c r="J70" s="154" t="n"/>
    </row>
    <row r="71" ht="31.5" customHeight="1" s="318">
      <c r="A71" s="362" t="n">
        <v>55</v>
      </c>
      <c r="B71" s="362" t="inlineStr">
        <is>
          <t> </t>
        </is>
      </c>
      <c r="C71" s="363" t="inlineStr">
        <is>
          <t>08.3.07.01-0064</t>
        </is>
      </c>
      <c r="D71" s="363" t="inlineStr">
        <is>
          <t>Прокат полосовой горячекатаный перфорированный, ширина 30-40 мм, марка стали Ст3, толщина 2-6 мм</t>
        </is>
      </c>
      <c r="E71" s="221" t="inlineStr">
        <is>
          <t>т</t>
        </is>
      </c>
      <c r="F71" s="362" t="n">
        <v>0.01311</v>
      </c>
      <c r="G71" s="169" t="n">
        <v>8084.97</v>
      </c>
      <c r="H71" s="169">
        <f>ROUND(F71*G71,2)</f>
        <v/>
      </c>
      <c r="J71" s="154" t="n"/>
    </row>
    <row r="72">
      <c r="A72" s="362" t="n">
        <v>56</v>
      </c>
      <c r="B72" s="362" t="inlineStr">
        <is>
          <t> </t>
        </is>
      </c>
      <c r="C72" s="363" t="inlineStr">
        <is>
          <t>01.7.06.03-0023</t>
        </is>
      </c>
      <c r="D72" s="363" t="inlineStr">
        <is>
          <t>Лента полиэтиленовая с липким слоем, марка А</t>
        </is>
      </c>
      <c r="E72" s="221" t="inlineStr">
        <is>
          <t>кг</t>
        </is>
      </c>
      <c r="F72" s="362" t="n">
        <v>2.67</v>
      </c>
      <c r="G72" s="169" t="n">
        <v>39.02</v>
      </c>
      <c r="H72" s="169">
        <f>ROUND(F72*G72,2)</f>
        <v/>
      </c>
      <c r="J72" s="154" t="n"/>
    </row>
    <row r="73">
      <c r="A73" s="362" t="n">
        <v>57</v>
      </c>
      <c r="B73" s="362" t="inlineStr">
        <is>
          <t> </t>
        </is>
      </c>
      <c r="C73" s="363" t="inlineStr">
        <is>
          <t>14.4.03.03-0002</t>
        </is>
      </c>
      <c r="D73" s="363" t="inlineStr">
        <is>
          <t>Лак битумный БТ-123</t>
        </is>
      </c>
      <c r="E73" s="221" t="inlineStr">
        <is>
          <t>т</t>
        </is>
      </c>
      <c r="F73" s="362" t="n">
        <v>0.0126648</v>
      </c>
      <c r="G73" s="169" t="n">
        <v>7826.9</v>
      </c>
      <c r="H73" s="169">
        <f>ROUND(F73*G73,2)</f>
        <v/>
      </c>
      <c r="J73" s="154" t="n"/>
    </row>
    <row r="74">
      <c r="A74" s="362" t="n">
        <v>58</v>
      </c>
      <c r="B74" s="362" t="inlineStr">
        <is>
          <t> </t>
        </is>
      </c>
      <c r="C74" s="363" t="inlineStr">
        <is>
          <t>01.3.02.09-0022</t>
        </is>
      </c>
      <c r="D74" s="363" t="inlineStr">
        <is>
          <t>Пропан-бутан смесь техническая</t>
        </is>
      </c>
      <c r="E74" s="221" t="inlineStr">
        <is>
          <t>кг</t>
        </is>
      </c>
      <c r="F74" s="362" t="n">
        <v>15.754</v>
      </c>
      <c r="G74" s="169" t="n">
        <v>6.09</v>
      </c>
      <c r="H74" s="169">
        <f>ROUND(F74*G74,2)</f>
        <v/>
      </c>
      <c r="J74" s="154" t="n"/>
    </row>
    <row r="75">
      <c r="A75" s="362" t="n">
        <v>59</v>
      </c>
      <c r="B75" s="362" t="inlineStr">
        <is>
          <t> </t>
        </is>
      </c>
      <c r="C75" s="363" t="inlineStr">
        <is>
          <t>01.3.05.17-0002</t>
        </is>
      </c>
      <c r="D75" s="363" t="inlineStr">
        <is>
          <t>Канифоль сосновая</t>
        </is>
      </c>
      <c r="E75" s="221" t="inlineStr">
        <is>
          <t>кг</t>
        </is>
      </c>
      <c r="F75" s="362" t="n">
        <v>3.37</v>
      </c>
      <c r="G75" s="169" t="n">
        <v>27.74</v>
      </c>
      <c r="H75" s="169">
        <f>ROUND(F75*G75,2)</f>
        <v/>
      </c>
      <c r="J75" s="154" t="n"/>
    </row>
    <row r="76">
      <c r="A76" s="362" t="n">
        <v>60</v>
      </c>
      <c r="B76" s="362" t="inlineStr">
        <is>
          <t> </t>
        </is>
      </c>
      <c r="C76" s="363" t="inlineStr">
        <is>
          <t>01.7.03.01-0005</t>
        </is>
      </c>
      <c r="D76" s="363" t="inlineStr">
        <is>
          <t>Вода дистиллированная</t>
        </is>
      </c>
      <c r="E76" s="221" t="inlineStr">
        <is>
          <t>кг</t>
        </is>
      </c>
      <c r="F76" s="362" t="n">
        <v>22.4</v>
      </c>
      <c r="G76" s="169" t="n">
        <v>4.16</v>
      </c>
      <c r="H76" s="169">
        <f>ROUND(F76*G76,2)</f>
        <v/>
      </c>
      <c r="J76" s="154" t="n"/>
    </row>
    <row r="77" ht="31.5" customHeight="1" s="318">
      <c r="A77" s="362" t="n">
        <v>61</v>
      </c>
      <c r="B77" s="362" t="inlineStr">
        <is>
          <t> </t>
        </is>
      </c>
      <c r="C77" s="363" t="inlineStr">
        <is>
          <t>08.4.03.02-0001</t>
        </is>
      </c>
      <c r="D77" s="363" t="inlineStr">
        <is>
          <t>Сталь арматурная, горячекатаная, гладкая, класс А-I, диаметр 6 мм</t>
        </is>
      </c>
      <c r="E77" s="221" t="inlineStr">
        <is>
          <t>т</t>
        </is>
      </c>
      <c r="F77" s="362" t="n">
        <v>0.012</v>
      </c>
      <c r="G77" s="169" t="n">
        <v>7418.82</v>
      </c>
      <c r="H77" s="169">
        <f>ROUND(F77*G77,2)</f>
        <v/>
      </c>
      <c r="J77" s="154" t="n"/>
    </row>
    <row r="78" ht="31.5" customHeight="1" s="318">
      <c r="A78" s="362" t="n">
        <v>62</v>
      </c>
      <c r="B78" s="362" t="inlineStr">
        <is>
          <t> </t>
        </is>
      </c>
      <c r="C78" s="363" t="inlineStr">
        <is>
          <t>24.3.01.01-0004</t>
        </is>
      </c>
      <c r="D78" s="363" t="inlineStr">
        <is>
          <t>Трубка электроизоляционная ПВХ-305, диаметр 6-10 мм</t>
        </is>
      </c>
      <c r="E78" s="221" t="inlineStr">
        <is>
          <t>кг</t>
        </is>
      </c>
      <c r="F78" s="362" t="n">
        <v>2.14</v>
      </c>
      <c r="G78" s="169" t="n">
        <v>38.34</v>
      </c>
      <c r="H78" s="169">
        <f>ROUND(F78*G78,2)</f>
        <v/>
      </c>
      <c r="J78" s="154" t="n"/>
    </row>
    <row r="79">
      <c r="A79" s="362" t="n">
        <v>63</v>
      </c>
      <c r="B79" s="362" t="inlineStr">
        <is>
          <t> </t>
        </is>
      </c>
      <c r="C79" s="363" t="inlineStr">
        <is>
          <t>01.7.15.07-0014</t>
        </is>
      </c>
      <c r="D79" s="363" t="inlineStr">
        <is>
          <t>Дюбели распорные полипропиленовые</t>
        </is>
      </c>
      <c r="E79" s="221" t="inlineStr">
        <is>
          <t>100 шт</t>
        </is>
      </c>
      <c r="F79" s="362" t="n">
        <v>0.9</v>
      </c>
      <c r="G79" s="169" t="n">
        <v>86</v>
      </c>
      <c r="H79" s="169">
        <f>ROUND(F79*G79,2)</f>
        <v/>
      </c>
      <c r="J79" s="154" t="n"/>
    </row>
    <row r="80" ht="31.5" customHeight="1" s="318">
      <c r="A80" s="362" t="n">
        <v>64</v>
      </c>
      <c r="B80" s="362" t="inlineStr">
        <is>
          <t> </t>
        </is>
      </c>
      <c r="C80" s="363" t="inlineStr">
        <is>
          <t>10.2.02.08-0001</t>
        </is>
      </c>
      <c r="D80" s="363" t="inlineStr">
        <is>
          <t>Проволока медная, круглая, мягкая, электротехническая, диаметр 1,0-3,0 мм и выше</t>
        </is>
      </c>
      <c r="E80" s="221" t="inlineStr">
        <is>
          <t>т</t>
        </is>
      </c>
      <c r="F80" s="362" t="n">
        <v>0.00202</v>
      </c>
      <c r="G80" s="169" t="n">
        <v>37517</v>
      </c>
      <c r="H80" s="169">
        <f>ROUND(F80*G80,2)</f>
        <v/>
      </c>
      <c r="J80" s="154" t="n"/>
    </row>
    <row r="81">
      <c r="A81" s="362" t="n">
        <v>65</v>
      </c>
      <c r="B81" s="362" t="inlineStr">
        <is>
          <t> </t>
        </is>
      </c>
      <c r="C81" s="363" t="inlineStr">
        <is>
          <t>11.2.04.03-0001</t>
        </is>
      </c>
      <c r="D81" s="363" t="inlineStr">
        <is>
          <t>Подрозетники деревянные</t>
        </is>
      </c>
      <c r="E81" s="221" t="inlineStr">
        <is>
          <t>100 шт</t>
        </is>
      </c>
      <c r="F81" s="362" t="n">
        <v>0.31</v>
      </c>
      <c r="G81" s="169" t="n">
        <v>216</v>
      </c>
      <c r="H81" s="169">
        <f>ROUND(F81*G81,2)</f>
        <v/>
      </c>
      <c r="J81" s="154" t="n"/>
    </row>
    <row r="82">
      <c r="A82" s="362" t="n">
        <v>66</v>
      </c>
      <c r="B82" s="362" t="inlineStr">
        <is>
          <t> </t>
        </is>
      </c>
      <c r="C82" s="363" t="inlineStr">
        <is>
          <t>01.7.11.07-0034</t>
        </is>
      </c>
      <c r="D82" s="363" t="inlineStr">
        <is>
          <t>Электроды сварочные Э42А, диаметр 4 мм</t>
        </is>
      </c>
      <c r="E82" s="221" t="inlineStr">
        <is>
          <t>кг</t>
        </is>
      </c>
      <c r="F82" s="362" t="n">
        <v>6.1848</v>
      </c>
      <c r="G82" s="169" t="n">
        <v>10.57</v>
      </c>
      <c r="H82" s="169">
        <f>ROUND(F82*G82,2)</f>
        <v/>
      </c>
      <c r="J82" s="154" t="n"/>
    </row>
    <row r="83">
      <c r="A83" s="362" t="n">
        <v>67</v>
      </c>
      <c r="B83" s="362" t="inlineStr">
        <is>
          <t> </t>
        </is>
      </c>
      <c r="C83" s="363" t="inlineStr">
        <is>
          <t>01.3.03.05-0002</t>
        </is>
      </c>
      <c r="D83" s="363" t="inlineStr">
        <is>
          <t>Кислота серная аккумуляторная, сорт высший</t>
        </is>
      </c>
      <c r="E83" s="221" t="inlineStr">
        <is>
          <t>т</t>
        </is>
      </c>
      <c r="F83" s="362" t="n">
        <v>0.008</v>
      </c>
      <c r="G83" s="169" t="n">
        <v>6720</v>
      </c>
      <c r="H83" s="169">
        <f>ROUND(F83*G83,2)</f>
        <v/>
      </c>
      <c r="J83" s="154" t="n"/>
    </row>
    <row r="84">
      <c r="A84" s="362" t="n">
        <v>68</v>
      </c>
      <c r="B84" s="362" t="inlineStr">
        <is>
          <t> </t>
        </is>
      </c>
      <c r="C84" s="363" t="inlineStr">
        <is>
          <t>20.2.08.07-0033</t>
        </is>
      </c>
      <c r="D84" s="363" t="inlineStr">
        <is>
          <t>Скоба У1078</t>
        </is>
      </c>
      <c r="E84" s="221" t="inlineStr">
        <is>
          <t>100 шт</t>
        </is>
      </c>
      <c r="F84" s="362" t="n">
        <v>0.07920000000000001</v>
      </c>
      <c r="G84" s="169" t="n">
        <v>617</v>
      </c>
      <c r="H84" s="169">
        <f>ROUND(F84*G84,2)</f>
        <v/>
      </c>
      <c r="J84" s="154" t="n"/>
    </row>
    <row r="85">
      <c r="A85" s="362" t="n">
        <v>69</v>
      </c>
      <c r="B85" s="362" t="inlineStr">
        <is>
          <t> </t>
        </is>
      </c>
      <c r="C85" s="363" t="inlineStr">
        <is>
          <t>14.4.02.09-0001</t>
        </is>
      </c>
      <c r="D85" s="363" t="inlineStr">
        <is>
          <t>Краска</t>
        </is>
      </c>
      <c r="E85" s="221" t="inlineStr">
        <is>
          <t>кг</t>
        </is>
      </c>
      <c r="F85" s="362" t="n">
        <v>1.6</v>
      </c>
      <c r="G85" s="169" t="n">
        <v>28.6</v>
      </c>
      <c r="H85" s="169">
        <f>ROUND(F85*G85,2)</f>
        <v/>
      </c>
      <c r="J85" s="154" t="n"/>
    </row>
    <row r="86" ht="31.5" customHeight="1" s="318">
      <c r="A86" s="362" t="n">
        <v>70</v>
      </c>
      <c r="B86" s="362" t="inlineStr">
        <is>
          <t> </t>
        </is>
      </c>
      <c r="C86" s="363" t="inlineStr">
        <is>
          <t>01.7.06.05-0041</t>
        </is>
      </c>
      <c r="D86" s="363" t="inlineStr">
        <is>
          <t>Лента изоляционная прорезиненная односторонняя, ширина 20 мм, толщина 0,25-0,35 мм</t>
        </is>
      </c>
      <c r="E86" s="221" t="inlineStr">
        <is>
          <t>кг</t>
        </is>
      </c>
      <c r="F86" s="362" t="n">
        <v>1.246</v>
      </c>
      <c r="G86" s="169" t="n">
        <v>30.4</v>
      </c>
      <c r="H86" s="169">
        <f>ROUND(F86*G86,2)</f>
        <v/>
      </c>
      <c r="J86" s="154" t="n"/>
    </row>
    <row r="87">
      <c r="A87" s="362" t="n">
        <v>71</v>
      </c>
      <c r="B87" s="362" t="inlineStr">
        <is>
          <t> </t>
        </is>
      </c>
      <c r="C87" s="363" t="inlineStr">
        <is>
          <t>01.7.06.07-0002</t>
        </is>
      </c>
      <c r="D87" s="363" t="inlineStr">
        <is>
          <t>Лента монтажная, тип ЛМ-5</t>
        </is>
      </c>
      <c r="E87" s="221" t="inlineStr">
        <is>
          <t>10 м</t>
        </is>
      </c>
      <c r="F87" s="362" t="n">
        <v>5.4084</v>
      </c>
      <c r="G87" s="169" t="n">
        <v>6.9</v>
      </c>
      <c r="H87" s="169">
        <f>ROUND(F87*G87,2)</f>
        <v/>
      </c>
      <c r="J87" s="154" t="n"/>
    </row>
    <row r="88">
      <c r="A88" s="362" t="n">
        <v>72</v>
      </c>
      <c r="B88" s="362" t="inlineStr">
        <is>
          <t> </t>
        </is>
      </c>
      <c r="C88" s="363" t="inlineStr">
        <is>
          <t>01.7.15.13-0002</t>
        </is>
      </c>
      <c r="D88" s="363" t="inlineStr">
        <is>
          <t>Шплинты проволочные</t>
        </is>
      </c>
      <c r="E88" s="221" t="inlineStr">
        <is>
          <t>кг</t>
        </is>
      </c>
      <c r="F88" s="362" t="n">
        <v>2.4</v>
      </c>
      <c r="G88" s="169" t="n">
        <v>12.66</v>
      </c>
      <c r="H88" s="169">
        <f>ROUND(F88*G88,2)</f>
        <v/>
      </c>
      <c r="J88" s="154" t="n"/>
    </row>
    <row r="89">
      <c r="A89" s="362" t="n">
        <v>73</v>
      </c>
      <c r="B89" s="362" t="inlineStr">
        <is>
          <t> </t>
        </is>
      </c>
      <c r="C89" s="363" t="inlineStr">
        <is>
          <t>14.4.04.09-0017</t>
        </is>
      </c>
      <c r="D89" s="363" t="inlineStr">
        <is>
          <t>Эмаль ХВ-124, защитная, зеленая</t>
        </is>
      </c>
      <c r="E89" s="221" t="inlineStr">
        <is>
          <t>т</t>
        </is>
      </c>
      <c r="F89" s="362" t="n">
        <v>0.00107</v>
      </c>
      <c r="G89" s="169" t="n">
        <v>28300.4</v>
      </c>
      <c r="H89" s="169">
        <f>ROUND(F89*G89,2)</f>
        <v/>
      </c>
      <c r="J89" s="154" t="n"/>
    </row>
    <row r="90" ht="31.5" customHeight="1" s="318">
      <c r="A90" s="362" t="n">
        <v>74</v>
      </c>
      <c r="B90" s="362" t="inlineStr">
        <is>
          <t> </t>
        </is>
      </c>
      <c r="C90" s="363" t="inlineStr">
        <is>
          <t>08.3.07.01-0076</t>
        </is>
      </c>
      <c r="D90" s="363" t="inlineStr">
        <is>
          <t>Прокат полосовой, горячекатаный, марка стали Ст3сп, ширина 50-200 мм, толщина 4-5 мм</t>
        </is>
      </c>
      <c r="E90" s="221" t="inlineStr">
        <is>
          <t>т</t>
        </is>
      </c>
      <c r="F90" s="362" t="n">
        <v>0.006</v>
      </c>
      <c r="G90" s="169" t="n">
        <v>5000</v>
      </c>
      <c r="H90" s="169">
        <f>ROUND(F90*G90,2)</f>
        <v/>
      </c>
      <c r="J90" s="154" t="n"/>
    </row>
    <row r="91">
      <c r="A91" s="362" t="n">
        <v>75</v>
      </c>
      <c r="B91" s="362" t="inlineStr">
        <is>
          <t> </t>
        </is>
      </c>
      <c r="C91" s="363" t="inlineStr">
        <is>
          <t>14.4.03.08-0001</t>
        </is>
      </c>
      <c r="D91" s="363" t="inlineStr">
        <is>
          <t>Лак пропиточный без растворителей АС-9115</t>
        </is>
      </c>
      <c r="E91" s="221" t="inlineStr">
        <is>
          <t>т</t>
        </is>
      </c>
      <c r="F91" s="362" t="n">
        <v>0.00052</v>
      </c>
      <c r="G91" s="169" t="n">
        <v>52539.7</v>
      </c>
      <c r="H91" s="169">
        <f>ROUND(F91*G91,2)</f>
        <v/>
      </c>
      <c r="J91" s="154" t="n"/>
    </row>
    <row r="92">
      <c r="A92" s="362" t="n">
        <v>76</v>
      </c>
      <c r="B92" s="362" t="inlineStr">
        <is>
          <t> </t>
        </is>
      </c>
      <c r="C92" s="363" t="inlineStr">
        <is>
          <t>01.7.15.07-0031</t>
        </is>
      </c>
      <c r="D92" s="363" t="inlineStr">
        <is>
          <t>Дюбели распорные с гайкой</t>
        </is>
      </c>
      <c r="E92" s="221" t="inlineStr">
        <is>
          <t>100 шт</t>
        </is>
      </c>
      <c r="F92" s="362" t="n">
        <v>0.24</v>
      </c>
      <c r="G92" s="169" t="n">
        <v>110</v>
      </c>
      <c r="H92" s="169">
        <f>ROUND(F92*G92,2)</f>
        <v/>
      </c>
      <c r="J92" s="154" t="n"/>
    </row>
    <row r="93" ht="31.5" customHeight="1" s="318">
      <c r="A93" s="362" t="n">
        <v>77</v>
      </c>
      <c r="B93" s="362" t="inlineStr">
        <is>
          <t> </t>
        </is>
      </c>
      <c r="C93" s="363" t="inlineStr">
        <is>
          <t>03.2.01.01-0003</t>
        </is>
      </c>
      <c r="D93" s="363" t="inlineStr">
        <is>
          <t>Портландцемент общестроительного назначения бездобавочный М500 Д0 (ЦЕМ I 42,5Н)</t>
        </is>
      </c>
      <c r="E93" s="221" t="inlineStr">
        <is>
          <t>т</t>
        </is>
      </c>
      <c r="F93" s="362" t="n">
        <v>0.054</v>
      </c>
      <c r="G93" s="169" t="n">
        <v>480</v>
      </c>
      <c r="H93" s="169">
        <f>ROUND(F93*G93,2)</f>
        <v/>
      </c>
      <c r="J93" s="154" t="n"/>
    </row>
    <row r="94" ht="31.5" customHeight="1" s="318">
      <c r="A94" s="362" t="n">
        <v>78</v>
      </c>
      <c r="B94" s="362" t="inlineStr">
        <is>
          <t> </t>
        </is>
      </c>
      <c r="C94" s="363" t="inlineStr">
        <is>
          <t>11.1.03.05-0081</t>
        </is>
      </c>
      <c r="D94" s="363" t="inlineStr">
        <is>
          <t>Доска необрезная, хвойных пород, длина 4-6,5 м, все ширины, толщина 32-40 мм, сорт III</t>
        </is>
      </c>
      <c r="E94" s="221" t="inlineStr">
        <is>
          <t>м3</t>
        </is>
      </c>
      <c r="F94" s="362" t="n">
        <v>0.031</v>
      </c>
      <c r="G94" s="169" t="n">
        <v>832.7</v>
      </c>
      <c r="H94" s="169">
        <f>ROUND(F94*G94,2)</f>
        <v/>
      </c>
      <c r="J94" s="154" t="n"/>
    </row>
    <row r="95">
      <c r="A95" s="362" t="n">
        <v>79</v>
      </c>
      <c r="B95" s="362" t="inlineStr">
        <is>
          <t> </t>
        </is>
      </c>
      <c r="C95" s="363" t="inlineStr">
        <is>
          <t>14.4.03.17-0011</t>
        </is>
      </c>
      <c r="D95" s="363" t="inlineStr">
        <is>
          <t>Лак электроизоляционный 318</t>
        </is>
      </c>
      <c r="E95" s="221" t="inlineStr">
        <is>
          <t>кг</t>
        </is>
      </c>
      <c r="F95" s="362" t="n">
        <v>0.65</v>
      </c>
      <c r="G95" s="169" t="n">
        <v>35.63</v>
      </c>
      <c r="H95" s="169">
        <f>ROUND(F95*G95,2)</f>
        <v/>
      </c>
      <c r="J95" s="154" t="n"/>
    </row>
    <row r="96" ht="31.5" customHeight="1" s="318">
      <c r="A96" s="362" t="n">
        <v>80</v>
      </c>
      <c r="B96" s="362" t="inlineStr">
        <is>
          <t> </t>
        </is>
      </c>
      <c r="C96" s="363" t="inlineStr">
        <is>
          <t>14.4.02.04-0221</t>
        </is>
      </c>
      <c r="D96" s="363" t="inlineStr">
        <is>
          <t>Краска масляная готовая к применению для наружных и внутренних работ МА-15, белила цинковые</t>
        </is>
      </c>
      <c r="E96" s="221" t="inlineStr">
        <is>
          <t>т</t>
        </is>
      </c>
      <c r="F96" s="362" t="n">
        <v>0.00084</v>
      </c>
      <c r="G96" s="169" t="n">
        <v>26932.42</v>
      </c>
      <c r="H96" s="169">
        <f>ROUND(F96*G96,2)</f>
        <v/>
      </c>
      <c r="J96" s="154" t="n"/>
    </row>
    <row r="97">
      <c r="A97" s="362" t="n">
        <v>81</v>
      </c>
      <c r="B97" s="362" t="inlineStr">
        <is>
          <t> </t>
        </is>
      </c>
      <c r="C97" s="363" t="inlineStr">
        <is>
          <t>14.4.03.03-0102</t>
        </is>
      </c>
      <c r="D97" s="363" t="inlineStr">
        <is>
          <t>Лак битумный БТ-577</t>
        </is>
      </c>
      <c r="E97" s="221" t="inlineStr">
        <is>
          <t>т</t>
        </is>
      </c>
      <c r="F97" s="362" t="n">
        <v>0.00236</v>
      </c>
      <c r="G97" s="169" t="n">
        <v>9550.01</v>
      </c>
      <c r="H97" s="169">
        <f>ROUND(F97*G97,2)</f>
        <v/>
      </c>
      <c r="J97" s="154" t="n"/>
    </row>
    <row r="98">
      <c r="A98" s="362" t="n">
        <v>82</v>
      </c>
      <c r="B98" s="362" t="inlineStr">
        <is>
          <t> </t>
        </is>
      </c>
      <c r="C98" s="363" t="inlineStr">
        <is>
          <t>08.1.02.04-0012</t>
        </is>
      </c>
      <c r="D98" s="363" t="inlineStr">
        <is>
          <t>Жесть белая, толщина 0,25 мм</t>
        </is>
      </c>
      <c r="E98" s="221" t="inlineStr">
        <is>
          <t>кг</t>
        </is>
      </c>
      <c r="F98" s="362" t="n">
        <v>2</v>
      </c>
      <c r="G98" s="169" t="n">
        <v>10.97</v>
      </c>
      <c r="H98" s="169">
        <f>ROUND(F98*G98,2)</f>
        <v/>
      </c>
      <c r="J98" s="154" t="n"/>
    </row>
    <row r="99">
      <c r="A99" s="362" t="n">
        <v>83</v>
      </c>
      <c r="B99" s="362" t="inlineStr">
        <is>
          <t> </t>
        </is>
      </c>
      <c r="C99" s="363" t="inlineStr">
        <is>
          <t>14.4.04.04-0007</t>
        </is>
      </c>
      <c r="D99" s="363" t="inlineStr">
        <is>
          <t>Эмаль кремнийорганическая КО-811, черная</t>
        </is>
      </c>
      <c r="E99" s="221" t="inlineStr">
        <is>
          <t>т</t>
        </is>
      </c>
      <c r="F99" s="362" t="n">
        <v>0.00025</v>
      </c>
      <c r="G99" s="169" t="n">
        <v>74841.67</v>
      </c>
      <c r="H99" s="169">
        <f>ROUND(F99*G99,2)</f>
        <v/>
      </c>
      <c r="J99" s="154" t="n"/>
    </row>
    <row r="100">
      <c r="A100" s="362" t="n">
        <v>84</v>
      </c>
      <c r="B100" s="362" t="inlineStr">
        <is>
          <t> </t>
        </is>
      </c>
      <c r="C100" s="363" t="inlineStr">
        <is>
          <t>01.7.19.04-0002</t>
        </is>
      </c>
      <c r="D100" s="363" t="inlineStr">
        <is>
          <t>Пластина резиновая рулонная вулканизированная</t>
        </is>
      </c>
      <c r="E100" s="221" t="inlineStr">
        <is>
          <t>кг</t>
        </is>
      </c>
      <c r="F100" s="362" t="n">
        <v>1.29</v>
      </c>
      <c r="G100" s="169" t="n">
        <v>13.56</v>
      </c>
      <c r="H100" s="169">
        <f>ROUND(F100*G100,2)</f>
        <v/>
      </c>
      <c r="J100" s="154" t="n"/>
    </row>
    <row r="101">
      <c r="A101" s="362" t="n">
        <v>85</v>
      </c>
      <c r="B101" s="362" t="inlineStr">
        <is>
          <t> </t>
        </is>
      </c>
      <c r="C101" s="363" t="inlineStr">
        <is>
          <t>01.7.11.07-0032</t>
        </is>
      </c>
      <c r="D101" s="363" t="inlineStr">
        <is>
          <t>Электроды сварочные Э42, диаметр 4 мм</t>
        </is>
      </c>
      <c r="E101" s="221" t="inlineStr">
        <is>
          <t>т</t>
        </is>
      </c>
      <c r="F101" s="362" t="n">
        <v>0.00168</v>
      </c>
      <c r="G101" s="169" t="n">
        <v>10315.01</v>
      </c>
      <c r="H101" s="169">
        <f>ROUND(F101*G101,2)</f>
        <v/>
      </c>
      <c r="J101" s="154" t="n"/>
    </row>
    <row r="102">
      <c r="A102" s="362" t="n">
        <v>86</v>
      </c>
      <c r="B102" s="362" t="inlineStr">
        <is>
          <t> </t>
        </is>
      </c>
      <c r="C102" s="363" t="inlineStr">
        <is>
          <t>14.4.03.11-0005</t>
        </is>
      </c>
      <c r="D102" s="363" t="inlineStr">
        <is>
          <t>Лак нитроцеллюлозный НЦ-62</t>
        </is>
      </c>
      <c r="E102" s="221" t="inlineStr">
        <is>
          <t>т</t>
        </is>
      </c>
      <c r="F102" s="362" t="n">
        <v>0.00062</v>
      </c>
      <c r="G102" s="169" t="n">
        <v>27921.97</v>
      </c>
      <c r="H102" s="169">
        <f>ROUND(F102*G102,2)</f>
        <v/>
      </c>
      <c r="J102" s="154" t="n"/>
    </row>
    <row r="103">
      <c r="A103" s="362" t="n">
        <v>87</v>
      </c>
      <c r="B103" s="362" t="inlineStr">
        <is>
          <t> </t>
        </is>
      </c>
      <c r="C103" s="363" t="inlineStr">
        <is>
          <t>01.7.15.07-0007</t>
        </is>
      </c>
      <c r="D103" s="363" t="inlineStr">
        <is>
          <t>Дюбели пластмассовые, диаметр 14 мм</t>
        </is>
      </c>
      <c r="E103" s="221" t="inlineStr">
        <is>
          <t>100 шт</t>
        </is>
      </c>
      <c r="F103" s="362" t="n">
        <v>0.65</v>
      </c>
      <c r="G103" s="169" t="n">
        <v>26.6</v>
      </c>
      <c r="H103" s="169">
        <f>ROUND(F103*G103,2)</f>
        <v/>
      </c>
      <c r="J103" s="154" t="n"/>
    </row>
    <row r="104" ht="31.5" customHeight="1" s="318">
      <c r="A104" s="362" t="n">
        <v>88</v>
      </c>
      <c r="B104" s="362" t="inlineStr">
        <is>
          <t> </t>
        </is>
      </c>
      <c r="C104" s="363" t="inlineStr">
        <is>
          <t>10.3.02.03-0028</t>
        </is>
      </c>
      <c r="D104" s="363" t="inlineStr">
        <is>
          <t>Припои оловянно-свинцовые малосурьмянистые, марка ПОССу 61-0,5</t>
        </is>
      </c>
      <c r="E104" s="221" t="inlineStr">
        <is>
          <t>кг</t>
        </is>
      </c>
      <c r="F104" s="362" t="n">
        <v>0.1328</v>
      </c>
      <c r="G104" s="169" t="n">
        <v>125.46</v>
      </c>
      <c r="H104" s="169">
        <f>ROUND(F104*G104,2)</f>
        <v/>
      </c>
      <c r="J104" s="154" t="n"/>
    </row>
    <row r="105">
      <c r="A105" s="362" t="n">
        <v>89</v>
      </c>
      <c r="B105" s="362" t="inlineStr">
        <is>
          <t> </t>
        </is>
      </c>
      <c r="C105" s="363" t="inlineStr">
        <is>
          <t>01.7.15.04-0011</t>
        </is>
      </c>
      <c r="D105" s="363" t="inlineStr">
        <is>
          <t>Винты с полукруглой головкой, длина 50 мм</t>
        </is>
      </c>
      <c r="E105" s="221" t="inlineStr">
        <is>
          <t>т</t>
        </is>
      </c>
      <c r="F105" s="362" t="n">
        <v>0.001236</v>
      </c>
      <c r="G105" s="169" t="n">
        <v>12430</v>
      </c>
      <c r="H105" s="169">
        <f>ROUND(F105*G105,2)</f>
        <v/>
      </c>
      <c r="J105" s="154" t="n"/>
    </row>
    <row r="106">
      <c r="A106" s="362" t="n">
        <v>90</v>
      </c>
      <c r="B106" s="362" t="inlineStr">
        <is>
          <t> </t>
        </is>
      </c>
      <c r="C106" s="363" t="inlineStr">
        <is>
          <t>01.7.20.03-0012</t>
        </is>
      </c>
      <c r="D106" s="363" t="inlineStr">
        <is>
          <t>Мешковина джутовая</t>
        </is>
      </c>
      <c r="E106" s="221" t="inlineStr">
        <is>
          <t>м2</t>
        </is>
      </c>
      <c r="F106" s="362" t="n">
        <v>1.8</v>
      </c>
      <c r="G106" s="169" t="n">
        <v>8.33</v>
      </c>
      <c r="H106" s="169">
        <f>ROUND(F106*G106,2)</f>
        <v/>
      </c>
      <c r="J106" s="154" t="n"/>
    </row>
    <row r="107">
      <c r="A107" s="362" t="n">
        <v>91</v>
      </c>
      <c r="B107" s="362" t="inlineStr">
        <is>
          <t> </t>
        </is>
      </c>
      <c r="C107" s="363" t="inlineStr">
        <is>
          <t>01.7.15.14-0168</t>
        </is>
      </c>
      <c r="D107" s="363" t="inlineStr">
        <is>
          <t>Шурупы с полукруглой головкой 5х70 мм</t>
        </is>
      </c>
      <c r="E107" s="221" t="inlineStr">
        <is>
          <t>т</t>
        </is>
      </c>
      <c r="F107" s="362" t="n">
        <v>0.0012</v>
      </c>
      <c r="G107" s="169" t="n">
        <v>12430</v>
      </c>
      <c r="H107" s="169">
        <f>ROUND(F107*G107,2)</f>
        <v/>
      </c>
      <c r="J107" s="154" t="n"/>
    </row>
    <row r="108">
      <c r="A108" s="362" t="n">
        <v>92</v>
      </c>
      <c r="B108" s="362" t="inlineStr">
        <is>
          <t> </t>
        </is>
      </c>
      <c r="C108" s="363" t="inlineStr">
        <is>
          <t>24.3.01.01-0002</t>
        </is>
      </c>
      <c r="D108" s="363" t="inlineStr">
        <is>
          <t>Трубка полихлорвиниловая</t>
        </is>
      </c>
      <c r="E108" s="221" t="inlineStr">
        <is>
          <t>кг</t>
        </is>
      </c>
      <c r="F108" s="362" t="n">
        <v>0.4036</v>
      </c>
      <c r="G108" s="169" t="n">
        <v>35.7</v>
      </c>
      <c r="H108" s="169">
        <f>ROUND(F108*G108,2)</f>
        <v/>
      </c>
      <c r="J108" s="154" t="n"/>
    </row>
    <row r="109">
      <c r="A109" s="362" t="n">
        <v>93</v>
      </c>
      <c r="B109" s="362" t="inlineStr">
        <is>
          <t> </t>
        </is>
      </c>
      <c r="C109" s="363" t="inlineStr">
        <is>
          <t>14.4.01.01-0003</t>
        </is>
      </c>
      <c r="D109" s="363" t="inlineStr">
        <is>
          <t>Грунтовка ГФ-021</t>
        </is>
      </c>
      <c r="E109" s="221" t="inlineStr">
        <is>
          <t>т</t>
        </is>
      </c>
      <c r="F109" s="362" t="n">
        <v>0.00088</v>
      </c>
      <c r="G109" s="169" t="n">
        <v>15620</v>
      </c>
      <c r="H109" s="169">
        <f>ROUND(F109*G109,2)</f>
        <v/>
      </c>
      <c r="J109" s="154" t="n"/>
    </row>
    <row r="110">
      <c r="A110" s="362" t="n">
        <v>94</v>
      </c>
      <c r="B110" s="362" t="inlineStr">
        <is>
          <t> </t>
        </is>
      </c>
      <c r="C110" s="363" t="inlineStr">
        <is>
          <t>10.1.01.02-0011</t>
        </is>
      </c>
      <c r="D110" s="363" t="inlineStr">
        <is>
          <t>Сплавы алюминиевые литейные АК5М2</t>
        </is>
      </c>
      <c r="E110" s="221" t="inlineStr">
        <is>
          <t>т</t>
        </is>
      </c>
      <c r="F110" s="362" t="n">
        <v>0.00024</v>
      </c>
      <c r="G110" s="169" t="n">
        <v>41210</v>
      </c>
      <c r="H110" s="169">
        <f>ROUND(F110*G110,2)</f>
        <v/>
      </c>
      <c r="J110" s="154" t="n"/>
    </row>
    <row r="111">
      <c r="A111" s="362" t="n">
        <v>95</v>
      </c>
      <c r="B111" s="362" t="inlineStr">
        <is>
          <t> </t>
        </is>
      </c>
      <c r="C111" s="363" t="inlineStr">
        <is>
          <t>01.3.01.05-0009</t>
        </is>
      </c>
      <c r="D111" s="363" t="inlineStr">
        <is>
          <t>Парафин нефтяной твердый Т-1</t>
        </is>
      </c>
      <c r="E111" s="221" t="inlineStr">
        <is>
          <t>т</t>
        </is>
      </c>
      <c r="F111" s="362" t="n">
        <v>0.00102</v>
      </c>
      <c r="G111" s="169" t="n">
        <v>8105.71</v>
      </c>
      <c r="H111" s="169">
        <f>ROUND(F111*G111,2)</f>
        <v/>
      </c>
      <c r="J111" s="154" t="n"/>
    </row>
    <row r="112">
      <c r="A112" s="362" t="n">
        <v>96</v>
      </c>
      <c r="B112" s="362" t="inlineStr">
        <is>
          <t> </t>
        </is>
      </c>
      <c r="C112" s="363" t="inlineStr">
        <is>
          <t>03.1.01.01-0002</t>
        </is>
      </c>
      <c r="D112" s="363" t="inlineStr">
        <is>
          <t>Гипс строительный Г-3</t>
        </is>
      </c>
      <c r="E112" s="221" t="inlineStr">
        <is>
          <t>т</t>
        </is>
      </c>
      <c r="F112" s="362" t="n">
        <v>0.0102315</v>
      </c>
      <c r="G112" s="169" t="n">
        <v>729.98</v>
      </c>
      <c r="H112" s="169">
        <f>ROUND(F112*G112,2)</f>
        <v/>
      </c>
      <c r="J112" s="154" t="n"/>
    </row>
    <row r="113">
      <c r="A113" s="362" t="n">
        <v>97</v>
      </c>
      <c r="B113" s="362" t="inlineStr">
        <is>
          <t> </t>
        </is>
      </c>
      <c r="C113" s="363" t="inlineStr">
        <is>
          <t>22.2.02.15-0001</t>
        </is>
      </c>
      <c r="D113" s="363" t="inlineStr">
        <is>
          <t>Скрепы 10х2 мм</t>
        </is>
      </c>
      <c r="E113" s="221" t="inlineStr">
        <is>
          <t>кг</t>
        </is>
      </c>
      <c r="F113" s="362" t="n">
        <v>0.46</v>
      </c>
      <c r="G113" s="169" t="n">
        <v>15.37</v>
      </c>
      <c r="H113" s="169">
        <f>ROUND(F113*G113,2)</f>
        <v/>
      </c>
      <c r="J113" s="154" t="n"/>
    </row>
    <row r="114" ht="31.5" customHeight="1" s="318">
      <c r="A114" s="362" t="n">
        <v>98</v>
      </c>
      <c r="B114" s="362" t="inlineStr">
        <is>
          <t> </t>
        </is>
      </c>
      <c r="C114" s="363" t="inlineStr">
        <is>
          <t>01.7.15.03-0031</t>
        </is>
      </c>
      <c r="D114" s="363" t="inlineStr">
        <is>
          <t>Болты с гайками и шайбами оцинкованные, диаметр 6 мм</t>
        </is>
      </c>
      <c r="E114" s="221" t="inlineStr">
        <is>
          <t>кг</t>
        </is>
      </c>
      <c r="F114" s="362" t="n">
        <v>0.23</v>
      </c>
      <c r="G114" s="169" t="n">
        <v>28.22</v>
      </c>
      <c r="H114" s="169">
        <f>ROUND(F114*G114,2)</f>
        <v/>
      </c>
      <c r="J114" s="154" t="n"/>
    </row>
    <row r="115">
      <c r="A115" s="362" t="n">
        <v>99</v>
      </c>
      <c r="B115" s="362" t="inlineStr">
        <is>
          <t> </t>
        </is>
      </c>
      <c r="C115" s="363" t="inlineStr">
        <is>
          <t>01.7.11.06-0028</t>
        </is>
      </c>
      <c r="D115" s="363" t="inlineStr">
        <is>
          <t>Флюс ФКДТ</t>
        </is>
      </c>
      <c r="E115" s="221" t="inlineStr">
        <is>
          <t>кг</t>
        </is>
      </c>
      <c r="F115" s="362" t="n">
        <v>0.046</v>
      </c>
      <c r="G115" s="169" t="n">
        <v>138.76</v>
      </c>
      <c r="H115" s="169">
        <f>ROUND(F115*G115,2)</f>
        <v/>
      </c>
      <c r="J115" s="154" t="n"/>
    </row>
    <row r="116" ht="31.5" customHeight="1" s="318">
      <c r="A116" s="362" t="n">
        <v>100</v>
      </c>
      <c r="B116" s="362" t="inlineStr">
        <is>
          <t> </t>
        </is>
      </c>
      <c r="C116" s="363" t="inlineStr">
        <is>
          <t>14.3.02.01-0219</t>
        </is>
      </c>
      <c r="D116" s="363" t="inlineStr">
        <is>
          <t>Краска универсальная, акриловая для внутренних и наружных работ</t>
        </is>
      </c>
      <c r="E116" s="221" t="inlineStr">
        <is>
          <t>т</t>
        </is>
      </c>
      <c r="F116" s="362" t="n">
        <v>0.0004</v>
      </c>
      <c r="G116" s="169" t="n">
        <v>15481</v>
      </c>
      <c r="H116" s="169">
        <f>ROUND(F116*G116,2)</f>
        <v/>
      </c>
      <c r="J116" s="154" t="n"/>
    </row>
    <row r="117">
      <c r="A117" s="362" t="n">
        <v>101</v>
      </c>
      <c r="B117" s="362" t="inlineStr">
        <is>
          <t> </t>
        </is>
      </c>
      <c r="C117" s="363" t="inlineStr">
        <is>
          <t>14.5.09.07-0030</t>
        </is>
      </c>
      <c r="D117" s="363" t="inlineStr">
        <is>
          <t>Растворитель Р-4</t>
        </is>
      </c>
      <c r="E117" s="221" t="inlineStr">
        <is>
          <t>кг</t>
        </is>
      </c>
      <c r="F117" s="362" t="n">
        <v>0.65</v>
      </c>
      <c r="G117" s="169" t="n">
        <v>9.42</v>
      </c>
      <c r="H117" s="169">
        <f>ROUND(F117*G117,2)</f>
        <v/>
      </c>
      <c r="J117" s="154" t="n"/>
    </row>
    <row r="118">
      <c r="A118" s="362" t="n">
        <v>102</v>
      </c>
      <c r="B118" s="362" t="inlineStr">
        <is>
          <t> </t>
        </is>
      </c>
      <c r="C118" s="363" t="inlineStr">
        <is>
          <t>14.4.02.09-0402</t>
        </is>
      </c>
      <c r="D118" s="363" t="inlineStr">
        <is>
          <t>Краска маркировочная для электротехнических изделий</t>
        </is>
      </c>
      <c r="E118" s="221" t="inlineStr">
        <is>
          <t>кг</t>
        </is>
      </c>
      <c r="F118" s="362" t="n">
        <v>0.083</v>
      </c>
      <c r="G118" s="169" t="n">
        <v>68.87</v>
      </c>
      <c r="H118" s="169">
        <f>ROUND(F118*G118,2)</f>
        <v/>
      </c>
      <c r="J118" s="154" t="n"/>
    </row>
    <row r="119" ht="31.5" customHeight="1" s="318">
      <c r="A119" s="362" t="n">
        <v>103</v>
      </c>
      <c r="B119" s="362" t="inlineStr">
        <is>
          <t> </t>
        </is>
      </c>
      <c r="C119" s="363" t="inlineStr">
        <is>
          <t>10.3.02.03-0013</t>
        </is>
      </c>
      <c r="D119" s="363" t="inlineStr">
        <is>
          <t>Припои оловянно-свинцовые бессурьмянистые, марка ПОС61</t>
        </is>
      </c>
      <c r="E119" s="221" t="inlineStr">
        <is>
          <t>т</t>
        </is>
      </c>
      <c r="F119" s="362" t="n">
        <v>4.62e-05</v>
      </c>
      <c r="G119" s="169" t="n">
        <v>114220</v>
      </c>
      <c r="H119" s="169">
        <f>ROUND(F119*G119,2)</f>
        <v/>
      </c>
      <c r="J119" s="154" t="n"/>
    </row>
    <row r="120">
      <c r="A120" s="362" t="n">
        <v>104</v>
      </c>
      <c r="B120" s="362" t="inlineStr">
        <is>
          <t> </t>
        </is>
      </c>
      <c r="C120" s="363" t="inlineStr">
        <is>
          <t>01.3.05.23-0061</t>
        </is>
      </c>
      <c r="D120" s="363" t="inlineStr">
        <is>
          <t>Натрий едкий марка ТД, технический</t>
        </is>
      </c>
      <c r="E120" s="221" t="inlineStr">
        <is>
          <t>т</t>
        </is>
      </c>
      <c r="F120" s="362" t="n">
        <v>0.00088</v>
      </c>
      <c r="G120" s="169" t="n">
        <v>5850</v>
      </c>
      <c r="H120" s="169">
        <f>ROUND(F120*G120,2)</f>
        <v/>
      </c>
      <c r="J120" s="154" t="n"/>
    </row>
    <row r="121">
      <c r="A121" s="362" t="n">
        <v>105</v>
      </c>
      <c r="B121" s="362" t="inlineStr">
        <is>
          <t> </t>
        </is>
      </c>
      <c r="C121" s="363" t="inlineStr">
        <is>
          <t>20.1.02.23-0082</t>
        </is>
      </c>
      <c r="D121" s="363" t="inlineStr">
        <is>
          <t>Перемычки гибкие, тип ПГС-50</t>
        </is>
      </c>
      <c r="E121" s="221" t="inlineStr">
        <is>
          <t>10 шт</t>
        </is>
      </c>
      <c r="F121" s="362" t="n">
        <v>0.1</v>
      </c>
      <c r="G121" s="169" t="n">
        <v>39</v>
      </c>
      <c r="H121" s="169">
        <f>ROUND(F121*G121,2)</f>
        <v/>
      </c>
      <c r="J121" s="154" t="n"/>
    </row>
    <row r="122">
      <c r="A122" s="362" t="n">
        <v>106</v>
      </c>
      <c r="B122" s="362" t="inlineStr">
        <is>
          <t> </t>
        </is>
      </c>
      <c r="C122" s="363" t="inlineStr">
        <is>
          <t>24.3.01.01-0001</t>
        </is>
      </c>
      <c r="D122" s="363" t="inlineStr">
        <is>
          <t>Трубка ХВТ</t>
        </is>
      </c>
      <c r="E122" s="221" t="inlineStr">
        <is>
          <t>кг</t>
        </is>
      </c>
      <c r="F122" s="362" t="n">
        <v>0.07000000000000001</v>
      </c>
      <c r="G122" s="169" t="n">
        <v>41.7</v>
      </c>
      <c r="H122" s="169">
        <f>ROUND(F122*G122,2)</f>
        <v/>
      </c>
      <c r="J122" s="154" t="n"/>
    </row>
    <row r="123">
      <c r="A123" s="362" t="n">
        <v>107</v>
      </c>
      <c r="B123" s="362" t="inlineStr">
        <is>
          <t> </t>
        </is>
      </c>
      <c r="C123" s="363" t="inlineStr">
        <is>
          <t>01.7.15.14-0161</t>
        </is>
      </c>
      <c r="D123" s="363" t="inlineStr">
        <is>
          <t>Шурупы с полукруглой головкой 2,5х20 мм</t>
        </is>
      </c>
      <c r="E123" s="221" t="inlineStr">
        <is>
          <t>т</t>
        </is>
      </c>
      <c r="F123" s="362" t="n">
        <v>9.6e-05</v>
      </c>
      <c r="G123" s="169" t="n">
        <v>29800</v>
      </c>
      <c r="H123" s="169">
        <f>ROUND(F123*G123,2)</f>
        <v/>
      </c>
      <c r="J123" s="154" t="n"/>
    </row>
    <row r="124">
      <c r="A124" s="362" t="n">
        <v>108</v>
      </c>
      <c r="B124" s="362" t="inlineStr">
        <is>
          <t> </t>
        </is>
      </c>
      <c r="C124" s="363" t="inlineStr">
        <is>
          <t>02.3.01.02-1012</t>
        </is>
      </c>
      <c r="D124" s="363" t="inlineStr">
        <is>
          <t>Песок природный II класс, средний, круглые сита</t>
        </is>
      </c>
      <c r="E124" s="221" t="inlineStr">
        <is>
          <t>м3</t>
        </is>
      </c>
      <c r="F124" s="362" t="n">
        <v>0.045</v>
      </c>
      <c r="G124" s="169" t="n">
        <v>59.99</v>
      </c>
      <c r="H124" s="169">
        <f>ROUND(F124*G124,2)</f>
        <v/>
      </c>
      <c r="J124" s="154" t="n"/>
    </row>
    <row r="125" ht="31.5" customHeight="1" s="318">
      <c r="A125" s="362" t="n">
        <v>109</v>
      </c>
      <c r="B125" s="362" t="inlineStr">
        <is>
          <t> </t>
        </is>
      </c>
      <c r="C125" s="363" t="inlineStr">
        <is>
          <t>01.7.06.03-0004</t>
        </is>
      </c>
      <c r="D125" s="363" t="inlineStr">
        <is>
          <t>Лента поливинилхлоридная техническая с липким слоем, толщина 0,4 мм</t>
        </is>
      </c>
      <c r="E125" s="221" t="inlineStr">
        <is>
          <t>кг</t>
        </is>
      </c>
      <c r="F125" s="362" t="n">
        <v>0.08400000000000001</v>
      </c>
      <c r="G125" s="169" t="n">
        <v>21.3</v>
      </c>
      <c r="H125" s="169">
        <f>ROUND(F125*G125,2)</f>
        <v/>
      </c>
      <c r="J125" s="154" t="n"/>
    </row>
    <row r="126">
      <c r="A126" s="362" t="n">
        <v>110</v>
      </c>
      <c r="B126" s="362" t="inlineStr">
        <is>
          <t> </t>
        </is>
      </c>
      <c r="C126" s="363" t="inlineStr">
        <is>
          <t>14.1.01.01-0003</t>
        </is>
      </c>
      <c r="D126" s="363" t="inlineStr">
        <is>
          <t>Клей столярный сухой</t>
        </is>
      </c>
      <c r="E126" s="221" t="inlineStr">
        <is>
          <t>кг</t>
        </is>
      </c>
      <c r="F126" s="362" t="n">
        <v>0.1</v>
      </c>
      <c r="G126" s="169" t="n">
        <v>16.95</v>
      </c>
      <c r="H126" s="169">
        <f>ROUND(F126*G126,2)</f>
        <v/>
      </c>
      <c r="J126" s="154" t="n"/>
    </row>
    <row r="127">
      <c r="A127" s="362" t="n">
        <v>111</v>
      </c>
      <c r="B127" s="362" t="inlineStr">
        <is>
          <t> </t>
        </is>
      </c>
      <c r="C127" s="363" t="inlineStr">
        <is>
          <t>14.5.09.11-0102</t>
        </is>
      </c>
      <c r="D127" s="363" t="inlineStr">
        <is>
          <t>Уайт-спирит</t>
        </is>
      </c>
      <c r="E127" s="221" t="inlineStr">
        <is>
          <t>кг</t>
        </is>
      </c>
      <c r="F127" s="362" t="n">
        <v>0.23</v>
      </c>
      <c r="G127" s="169" t="n">
        <v>6.67</v>
      </c>
      <c r="H127" s="169">
        <f>ROUND(F127*G127,2)</f>
        <v/>
      </c>
      <c r="J127" s="154" t="n"/>
    </row>
    <row r="128">
      <c r="A128" s="362" t="n">
        <v>112</v>
      </c>
      <c r="B128" s="362" t="inlineStr">
        <is>
          <t> </t>
        </is>
      </c>
      <c r="C128" s="363" t="inlineStr">
        <is>
          <t>01.7.15.14-0174</t>
        </is>
      </c>
      <c r="D128" s="363" t="inlineStr">
        <is>
          <t>Шурупы с полукруглой головкой 8х100 мм</t>
        </is>
      </c>
      <c r="E128" s="221" t="inlineStr">
        <is>
          <t>т</t>
        </is>
      </c>
      <c r="F128" s="362" t="n">
        <v>0.00012</v>
      </c>
      <c r="G128" s="169" t="n">
        <v>11350</v>
      </c>
      <c r="H128" s="169">
        <f>ROUND(F128*G128,2)</f>
        <v/>
      </c>
      <c r="J128" s="154" t="n"/>
    </row>
    <row r="129">
      <c r="A129" s="362" t="n">
        <v>113</v>
      </c>
      <c r="B129" s="362" t="inlineStr">
        <is>
          <t> </t>
        </is>
      </c>
      <c r="C129" s="363" t="inlineStr">
        <is>
          <t>01.7.11.06-0029</t>
        </is>
      </c>
      <c r="D129" s="363" t="inlineStr">
        <is>
          <t>Флюс ФКСП</t>
        </is>
      </c>
      <c r="E129" s="221" t="inlineStr">
        <is>
          <t>кг</t>
        </is>
      </c>
      <c r="F129" s="362" t="n">
        <v>0.006</v>
      </c>
      <c r="G129" s="169" t="n">
        <v>135.6</v>
      </c>
      <c r="H129" s="169">
        <f>ROUND(F129*G129,2)</f>
        <v/>
      </c>
      <c r="J129" s="154" t="n"/>
    </row>
    <row r="130">
      <c r="A130" s="362" t="n">
        <v>114</v>
      </c>
      <c r="B130" s="362" t="inlineStr">
        <is>
          <t> </t>
        </is>
      </c>
      <c r="C130" s="363" t="inlineStr">
        <is>
          <t>01.7.20.04-0004</t>
        </is>
      </c>
      <c r="D130" s="363" t="inlineStr">
        <is>
          <t>Нитки хлопчатобумажные швейные</t>
        </is>
      </c>
      <c r="E130" s="221" t="inlineStr">
        <is>
          <t>кг</t>
        </is>
      </c>
      <c r="F130" s="362" t="n">
        <v>0.0062</v>
      </c>
      <c r="G130" s="169" t="n">
        <v>100.12</v>
      </c>
      <c r="H130" s="169">
        <f>ROUND(F130*G130,2)</f>
        <v/>
      </c>
      <c r="J130" s="154" t="n"/>
    </row>
    <row r="131">
      <c r="A131" s="362" t="n">
        <v>115</v>
      </c>
      <c r="B131" s="362" t="inlineStr">
        <is>
          <t> </t>
        </is>
      </c>
      <c r="C131" s="363" t="inlineStr">
        <is>
          <t>01.3.01.07-0009</t>
        </is>
      </c>
      <c r="D131" s="363" t="inlineStr">
        <is>
          <t>Спирт этиловый ректификованный технический, сорт I</t>
        </is>
      </c>
      <c r="E131" s="221" t="inlineStr">
        <is>
          <t>кг</t>
        </is>
      </c>
      <c r="F131" s="362" t="n">
        <v>0.0144</v>
      </c>
      <c r="G131" s="169" t="n">
        <v>38.89</v>
      </c>
      <c r="H131" s="169">
        <f>ROUND(F131*G131,2)</f>
        <v/>
      </c>
      <c r="J131" s="154" t="n"/>
    </row>
    <row r="132">
      <c r="A132" s="362" t="n">
        <v>116</v>
      </c>
      <c r="B132" s="362" t="inlineStr">
        <is>
          <t> </t>
        </is>
      </c>
      <c r="C132" s="363" t="inlineStr">
        <is>
          <t>01.7.03.04-0001</t>
        </is>
      </c>
      <c r="D132" s="363" t="inlineStr">
        <is>
          <t>Электроэнергия</t>
        </is>
      </c>
      <c r="E132" s="221" t="inlineStr">
        <is>
          <t>кВт-ч</t>
        </is>
      </c>
      <c r="F132" s="362" t="n">
        <v>0.46</v>
      </c>
      <c r="G132" s="169" t="n">
        <v>0.4</v>
      </c>
      <c r="H132" s="169">
        <f>ROUND(F132*G132,2)</f>
        <v/>
      </c>
      <c r="J132" s="154" t="n"/>
    </row>
    <row r="133">
      <c r="A133" s="362" t="n">
        <v>117</v>
      </c>
      <c r="B133" s="362" t="inlineStr">
        <is>
          <t> </t>
        </is>
      </c>
      <c r="C133" s="363" t="inlineStr">
        <is>
          <t>01.3.03.06-0003</t>
        </is>
      </c>
      <c r="D133" s="363" t="inlineStr">
        <is>
          <t>Кислота соляная техническая</t>
        </is>
      </c>
      <c r="E133" s="221" t="inlineStr">
        <is>
          <t>кг</t>
        </is>
      </c>
      <c r="F133" s="362" t="n">
        <v>0.1</v>
      </c>
      <c r="G133" s="169" t="n">
        <v>1.21</v>
      </c>
      <c r="H133" s="169">
        <f>ROUND(F133*G133,2)</f>
        <v/>
      </c>
      <c r="J133" s="154" t="n"/>
    </row>
    <row r="134">
      <c r="A134" s="362" t="n">
        <v>118</v>
      </c>
      <c r="B134" s="362" t="inlineStr">
        <is>
          <t> </t>
        </is>
      </c>
      <c r="C134" s="363" t="inlineStr">
        <is>
          <t>01.7.11.06-0006</t>
        </is>
      </c>
      <c r="D134" s="363" t="inlineStr">
        <is>
          <t>Флюс ВАМИ</t>
        </is>
      </c>
      <c r="E134" s="221" t="inlineStr">
        <is>
          <t>кг</t>
        </is>
      </c>
      <c r="F134" s="362" t="n">
        <v>0.007</v>
      </c>
      <c r="G134" s="169" t="n">
        <v>12.6</v>
      </c>
      <c r="H134" s="169">
        <f>ROUND(F134*G134,2)</f>
        <v/>
      </c>
      <c r="J134" s="154" t="n"/>
    </row>
    <row r="135">
      <c r="A135" s="362" t="n">
        <v>119</v>
      </c>
      <c r="B135" s="362" t="inlineStr">
        <is>
          <t> </t>
        </is>
      </c>
      <c r="C135" s="363" t="inlineStr">
        <is>
          <t>999-0005</t>
        </is>
      </c>
      <c r="D135" s="363" t="inlineStr">
        <is>
          <t>Масса</t>
        </is>
      </c>
      <c r="E135" s="221" t="inlineStr">
        <is>
          <t>т</t>
        </is>
      </c>
      <c r="F135" s="362" t="n">
        <v>0.7758</v>
      </c>
      <c r="G135" s="169" t="n"/>
      <c r="H135" s="169">
        <f>ROUND(F135*G135,2)</f>
        <v/>
      </c>
      <c r="J135" s="154" t="n"/>
    </row>
    <row r="138">
      <c r="B138" s="320" t="inlineStr">
        <is>
          <t>Составил ______________________        Д.Ю. Нефедова</t>
        </is>
      </c>
    </row>
    <row r="139">
      <c r="B139" s="167" t="inlineStr">
        <is>
          <t xml:space="preserve">                         (подпись, инициалы, фамилия)</t>
        </is>
      </c>
    </row>
    <row r="141">
      <c r="B141" s="320" t="inlineStr">
        <is>
          <t>Проверил ______________________        А.В. Костянецкая</t>
        </is>
      </c>
    </row>
    <row r="142">
      <c r="B142" s="16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A26:E26"/>
    <mergeCell ref="A24:E24"/>
    <mergeCell ref="E9:E10"/>
    <mergeCell ref="A9:A10"/>
    <mergeCell ref="F9:F10"/>
    <mergeCell ref="A2:H2"/>
    <mergeCell ref="A42:E42"/>
    <mergeCell ref="A5:H5"/>
    <mergeCell ref="A44:E4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78" fitToHeight="0" cellComments="atEnd"/>
  <rowBreaks count="1" manualBreakCount="1">
    <brk id="128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8" workbookViewId="0">
      <selection activeCell="E52" sqref="E52"/>
    </sheetView>
  </sheetViews>
  <sheetFormatPr baseColWidth="8" defaultRowHeight="15"/>
  <cols>
    <col width="4.140625" customWidth="1" style="318" min="1" max="1"/>
    <col width="36.28515625" customWidth="1" style="318" min="2" max="2"/>
    <col width="18.85546875" customWidth="1" style="318" min="3" max="3"/>
    <col width="18.28515625" customWidth="1" style="318" min="4" max="4"/>
    <col width="18.85546875" customWidth="1" style="318" min="5" max="5"/>
    <col width="11.42578125" customWidth="1" style="318" min="6" max="6"/>
    <col width="9.140625" customWidth="1" style="318" min="7" max="10"/>
    <col width="13.5703125" customWidth="1" style="318" min="11" max="11"/>
    <col width="9.140625" customWidth="1" style="318" min="12" max="12"/>
  </cols>
  <sheetData>
    <row r="1">
      <c r="B1" s="314" t="n"/>
      <c r="C1" s="314" t="n"/>
      <c r="D1" s="314" t="n"/>
      <c r="E1" s="314" t="n"/>
    </row>
    <row r="2">
      <c r="B2" s="314" t="n"/>
      <c r="C2" s="314" t="n"/>
      <c r="D2" s="314" t="n"/>
      <c r="E2" s="389" t="inlineStr">
        <is>
          <t>Приложение № 4</t>
        </is>
      </c>
    </row>
    <row r="3">
      <c r="B3" s="314" t="n"/>
      <c r="C3" s="314" t="n"/>
      <c r="D3" s="314" t="n"/>
      <c r="E3" s="314" t="n"/>
    </row>
    <row r="4">
      <c r="B4" s="314" t="n"/>
      <c r="C4" s="314" t="n"/>
      <c r="D4" s="314" t="n"/>
      <c r="E4" s="314" t="n"/>
    </row>
    <row r="5">
      <c r="B5" s="348" t="inlineStr">
        <is>
          <t>Ресурсная модель</t>
        </is>
      </c>
    </row>
    <row r="6">
      <c r="B6" s="240" t="n"/>
      <c r="C6" s="314" t="n"/>
      <c r="D6" s="314" t="n"/>
      <c r="E6" s="314" t="n"/>
    </row>
    <row r="7" ht="25.5" customHeight="1" s="318">
      <c r="B7" s="367" t="inlineStr">
        <is>
          <t>Наименование разрабатываемого показателя УНЦ — Сети связи. УПАТС для предприятия электрических сетей</t>
        </is>
      </c>
    </row>
    <row r="8">
      <c r="B8" s="368" t="inlineStr">
        <is>
          <t>Единица измерения  — 1 компл.</t>
        </is>
      </c>
    </row>
    <row r="9">
      <c r="B9" s="240" t="n"/>
      <c r="C9" s="314" t="n"/>
      <c r="D9" s="314" t="n"/>
      <c r="E9" s="314" t="n"/>
    </row>
    <row r="10" ht="51" customHeight="1" s="318">
      <c r="B10" s="372" t="inlineStr">
        <is>
          <t>Наименование</t>
        </is>
      </c>
      <c r="C10" s="372" t="inlineStr">
        <is>
          <t>Сметная стоимость в ценах на 01.01.2023
 (руб.)</t>
        </is>
      </c>
      <c r="D10" s="372" t="inlineStr">
        <is>
          <t>Удельный вес, 
(в СМР)</t>
        </is>
      </c>
      <c r="E10" s="372" t="inlineStr">
        <is>
          <t>Удельный вес, % 
(от всего по РМ)</t>
        </is>
      </c>
    </row>
    <row r="11">
      <c r="B11" s="207" t="inlineStr">
        <is>
          <t>Оплата труда рабочих</t>
        </is>
      </c>
      <c r="C11" s="208">
        <f>'Прил.5 Расчет СМР и ОБ'!J16</f>
        <v/>
      </c>
      <c r="D11" s="209">
        <f>C11/$C$24</f>
        <v/>
      </c>
      <c r="E11" s="209">
        <f>C11/$C$40</f>
        <v/>
      </c>
    </row>
    <row r="12">
      <c r="B12" s="207" t="inlineStr">
        <is>
          <t>Эксплуатация машин основных</t>
        </is>
      </c>
      <c r="C12" s="208">
        <f>'Прил.5 Расчет СМР и ОБ'!J24</f>
        <v/>
      </c>
      <c r="D12" s="209">
        <f>C12/$C$24</f>
        <v/>
      </c>
      <c r="E12" s="209">
        <f>C12/$C$40</f>
        <v/>
      </c>
    </row>
    <row r="13">
      <c r="B13" s="207" t="inlineStr">
        <is>
          <t>Эксплуатация машин прочих</t>
        </is>
      </c>
      <c r="C13" s="208">
        <f>'Прил.5 Расчет СМР и ОБ'!J37</f>
        <v/>
      </c>
      <c r="D13" s="209">
        <f>C13/$C$24</f>
        <v/>
      </c>
      <c r="E13" s="209">
        <f>C13/$C$40</f>
        <v/>
      </c>
    </row>
    <row r="14">
      <c r="B14" s="207" t="inlineStr">
        <is>
          <t>ЭКСПЛУАТАЦИЯ МАШИН, ВСЕГО:</t>
        </is>
      </c>
      <c r="C14" s="208">
        <f>C13+C12</f>
        <v/>
      </c>
      <c r="D14" s="209">
        <f>C14/$C$24</f>
        <v/>
      </c>
      <c r="E14" s="209">
        <f>C14/$C$40</f>
        <v/>
      </c>
    </row>
    <row r="15">
      <c r="B15" s="207" t="inlineStr">
        <is>
          <t>в том числе зарплата машинистов</t>
        </is>
      </c>
      <c r="C15" s="208">
        <f>'Прил.5 Расчет СМР и ОБ'!J18</f>
        <v/>
      </c>
      <c r="D15" s="209">
        <f>C15/$C$24</f>
        <v/>
      </c>
      <c r="E15" s="209">
        <f>C15/$C$40</f>
        <v/>
      </c>
    </row>
    <row r="16">
      <c r="B16" s="207" t="inlineStr">
        <is>
          <t>Материалы основные</t>
        </is>
      </c>
      <c r="C16" s="208">
        <f>'Прил.5 Расчет СМР и ОБ'!J72</f>
        <v/>
      </c>
      <c r="D16" s="209">
        <f>C16/$C$24</f>
        <v/>
      </c>
      <c r="E16" s="209">
        <f>C16/$C$40</f>
        <v/>
      </c>
    </row>
    <row r="17">
      <c r="B17" s="207" t="inlineStr">
        <is>
          <t>Материалы прочие</t>
        </is>
      </c>
      <c r="C17" s="208">
        <f>'Прил.5 Расчет СМР и ОБ'!J140</f>
        <v/>
      </c>
      <c r="D17" s="209">
        <f>C17/$C$24</f>
        <v/>
      </c>
      <c r="E17" s="209">
        <f>C17/$C$40</f>
        <v/>
      </c>
    </row>
    <row r="18">
      <c r="B18" s="207" t="inlineStr">
        <is>
          <t>МАТЕРИАЛЫ, ВСЕГО:</t>
        </is>
      </c>
      <c r="C18" s="208">
        <f>C17+C16</f>
        <v/>
      </c>
      <c r="D18" s="209">
        <f>C18/$C$24</f>
        <v/>
      </c>
      <c r="E18" s="209">
        <f>C18/$C$40</f>
        <v/>
      </c>
    </row>
    <row r="19">
      <c r="B19" s="207" t="inlineStr">
        <is>
          <t>ИТОГО</t>
        </is>
      </c>
      <c r="C19" s="208">
        <f>C18+C14+C11</f>
        <v/>
      </c>
      <c r="D19" s="209" t="n"/>
      <c r="E19" s="207" t="n"/>
    </row>
    <row r="20">
      <c r="B20" s="207" t="inlineStr">
        <is>
          <t>Сметная прибыль, руб.</t>
        </is>
      </c>
      <c r="C20" s="208">
        <f>ROUND(C21*(C11+C15),2)</f>
        <v/>
      </c>
      <c r="D20" s="209">
        <f>C20/$C$24</f>
        <v/>
      </c>
      <c r="E20" s="209">
        <f>C20/$C$40</f>
        <v/>
      </c>
    </row>
    <row r="21">
      <c r="B21" s="207" t="inlineStr">
        <is>
          <t>Сметная прибыль, %</t>
        </is>
      </c>
      <c r="C21" s="274">
        <f>'Прил.5 Расчет СМР и ОБ'!D144</f>
        <v/>
      </c>
      <c r="D21" s="209" t="n"/>
      <c r="E21" s="207" t="n"/>
    </row>
    <row r="22">
      <c r="B22" s="207" t="inlineStr">
        <is>
          <t>Накладные расходы, руб.</t>
        </is>
      </c>
      <c r="C22" s="208">
        <f>ROUND(C23*(C11+C15),2)</f>
        <v/>
      </c>
      <c r="D22" s="209">
        <f>C22/$C$24</f>
        <v/>
      </c>
      <c r="E22" s="209">
        <f>C22/$C$40</f>
        <v/>
      </c>
    </row>
    <row r="23">
      <c r="B23" s="207" t="inlineStr">
        <is>
          <t>Накладные расходы, %</t>
        </is>
      </c>
      <c r="C23" s="274">
        <f>'Прил.5 Расчет СМР и ОБ'!D143</f>
        <v/>
      </c>
      <c r="D23" s="209" t="n"/>
      <c r="E23" s="207" t="n"/>
    </row>
    <row r="24">
      <c r="B24" s="207" t="inlineStr">
        <is>
          <t>ВСЕГО СМР с НР и СП</t>
        </is>
      </c>
      <c r="C24" s="208">
        <f>C19+C20+C22</f>
        <v/>
      </c>
      <c r="D24" s="209">
        <f>C24/$C$24</f>
        <v/>
      </c>
      <c r="E24" s="209">
        <f>C24/$C$40</f>
        <v/>
      </c>
    </row>
    <row r="25" ht="25.5" customHeight="1" s="318">
      <c r="B25" s="207" t="inlineStr">
        <is>
          <t>ВСЕГО стоимость оборудования, в том числе</t>
        </is>
      </c>
      <c r="C25" s="208">
        <f>'Прил.5 Расчет СМР и ОБ'!J44</f>
        <v/>
      </c>
      <c r="D25" s="209" t="n"/>
      <c r="E25" s="209">
        <f>C25/$C$40</f>
        <v/>
      </c>
    </row>
    <row r="26" ht="25.5" customHeight="1" s="318">
      <c r="B26" s="207" t="inlineStr">
        <is>
          <t>стоимость оборудования технологического</t>
        </is>
      </c>
      <c r="C26" s="208">
        <f>'Прил.5 Расчет СМР и ОБ'!J45</f>
        <v/>
      </c>
      <c r="D26" s="209" t="n"/>
      <c r="E26" s="209">
        <f>C26/$C$40</f>
        <v/>
      </c>
    </row>
    <row r="27">
      <c r="B27" s="207" t="inlineStr">
        <is>
          <t>ИТОГО (СМР + ОБОРУДОВАНИЕ)</t>
        </is>
      </c>
      <c r="C27" s="210">
        <f>C24+C25</f>
        <v/>
      </c>
      <c r="D27" s="209" t="n"/>
      <c r="E27" s="209">
        <f>C27/$C$40</f>
        <v/>
      </c>
    </row>
    <row r="28" ht="33" customHeight="1" s="318">
      <c r="B28" s="207" t="inlineStr">
        <is>
          <t>ПРОЧ. ЗАТР., УЧТЕННЫЕ ПОКАЗАТЕЛЕМ,  в том числе</t>
        </is>
      </c>
      <c r="C28" s="207" t="n"/>
      <c r="D28" s="207" t="n"/>
      <c r="E28" s="207" t="n"/>
      <c r="F28" s="211" t="n"/>
    </row>
    <row r="29" ht="25.5" customHeight="1" s="318">
      <c r="B29" s="207" t="inlineStr">
        <is>
          <t>Временные здания и сооружения - 3,9%</t>
        </is>
      </c>
      <c r="C29" s="210">
        <f>ROUND(C24*3.9%,2)</f>
        <v/>
      </c>
      <c r="D29" s="207" t="n"/>
      <c r="E29" s="209">
        <f>C29/$C$40</f>
        <v/>
      </c>
    </row>
    <row r="30" ht="38.25" customHeight="1" s="318">
      <c r="B30" s="207" t="inlineStr">
        <is>
          <t>Дополнительные затраты при производстве строительно-монтажных работ в зимнее время - 2,1%</t>
        </is>
      </c>
      <c r="C30" s="210">
        <f>ROUND((C24+C29)*2.1%,2)</f>
        <v/>
      </c>
      <c r="D30" s="207" t="n"/>
      <c r="E30" s="209">
        <f>C30/$C$40</f>
        <v/>
      </c>
      <c r="F30" s="211" t="n"/>
    </row>
    <row r="31">
      <c r="B31" s="207" t="inlineStr">
        <is>
          <t>Пусконаладочные работы</t>
        </is>
      </c>
      <c r="C31" s="210" t="n">
        <v>1025730</v>
      </c>
      <c r="D31" s="207" t="n"/>
      <c r="E31" s="209">
        <f>C31/$C$40</f>
        <v/>
      </c>
    </row>
    <row r="32" ht="25.5" customHeight="1" s="318">
      <c r="B32" s="207" t="inlineStr">
        <is>
          <t>Затраты по перевозке работников к месту работы и обратно</t>
        </is>
      </c>
      <c r="C32" s="210" t="n">
        <v>0</v>
      </c>
      <c r="D32" s="207" t="n"/>
      <c r="E32" s="209">
        <f>C32/$C$40</f>
        <v/>
      </c>
      <c r="F32" s="275" t="n"/>
    </row>
    <row r="33" ht="25.5" customHeight="1" s="318">
      <c r="B33" s="207" t="inlineStr">
        <is>
          <t>Затраты, связанные с осуществлением работ вахтовым методом</t>
        </is>
      </c>
      <c r="C33" s="210" t="n">
        <v>0</v>
      </c>
      <c r="D33" s="207" t="n"/>
      <c r="E33" s="209">
        <f>C33/$C$40</f>
        <v/>
      </c>
    </row>
    <row r="34" ht="51" customHeight="1" s="318">
      <c r="B34" s="20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0" t="n">
        <v>0</v>
      </c>
      <c r="D34" s="207" t="n"/>
      <c r="E34" s="209">
        <f>C34/$C$40</f>
        <v/>
      </c>
      <c r="G34" s="276" t="n"/>
    </row>
    <row r="35" ht="76.5" customHeight="1" s="318">
      <c r="B35" s="20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0" t="n">
        <v>0</v>
      </c>
      <c r="D35" s="207" t="n"/>
      <c r="E35" s="209">
        <f>C35/$C$40</f>
        <v/>
      </c>
    </row>
    <row r="36" ht="25.5" customHeight="1" s="318">
      <c r="B36" s="207" t="inlineStr">
        <is>
          <t>Строительный контроль и содержание службы заказчика - 2,14%</t>
        </is>
      </c>
      <c r="C36" s="210">
        <f>ROUND((C27+C32+C33+C34+C35+C29+C31+C30)*2.14%,2)</f>
        <v/>
      </c>
      <c r="D36" s="207" t="n"/>
      <c r="E36" s="209">
        <f>C36/$C$40</f>
        <v/>
      </c>
      <c r="K36" s="211" t="n"/>
    </row>
    <row r="37">
      <c r="B37" s="207" t="inlineStr">
        <is>
          <t>Авторский надзор - 0,2%</t>
        </is>
      </c>
      <c r="C37" s="210">
        <f>ROUND((C27+C32+C33+C34+C35+C29+C31+C30)*0.2%,2)</f>
        <v/>
      </c>
      <c r="D37" s="207" t="n"/>
      <c r="E37" s="209">
        <f>C37/$C$40</f>
        <v/>
      </c>
      <c r="K37" s="211" t="n"/>
    </row>
    <row r="38" ht="38.25" customHeight="1" s="318">
      <c r="B38" s="207" t="inlineStr">
        <is>
          <t>ИТОГО (СМР+ОБОРУДОВАНИЕ+ПРОЧ. ЗАТР., УЧТЕННЫЕ ПОКАЗАТЕЛЕМ)</t>
        </is>
      </c>
      <c r="C38" s="208">
        <f>C27+C32+C33+C34+C35+C29+C31+C30+C36+C37</f>
        <v/>
      </c>
      <c r="D38" s="207" t="n"/>
      <c r="E38" s="209">
        <f>C38/$C$40</f>
        <v/>
      </c>
    </row>
    <row r="39" ht="13.5" customHeight="1" s="318">
      <c r="B39" s="207" t="inlineStr">
        <is>
          <t>Непредвиденные расходы</t>
        </is>
      </c>
      <c r="C39" s="208">
        <f>ROUND(C38*3%,2)</f>
        <v/>
      </c>
      <c r="D39" s="207" t="n"/>
      <c r="E39" s="209">
        <f>C39/$C$38</f>
        <v/>
      </c>
    </row>
    <row r="40">
      <c r="B40" s="207" t="inlineStr">
        <is>
          <t>ВСЕГО:</t>
        </is>
      </c>
      <c r="C40" s="208">
        <f>C39+C38</f>
        <v/>
      </c>
      <c r="D40" s="207" t="n"/>
      <c r="E40" s="209">
        <f>C40/$C$40</f>
        <v/>
      </c>
    </row>
    <row r="41">
      <c r="B41" s="207" t="inlineStr">
        <is>
          <t>ИТОГО ПОКАЗАТЕЛЬ НА ЕД. ИЗМ.</t>
        </is>
      </c>
      <c r="C41" s="208">
        <f>C40/'Прил.5 Расчет СМР и ОБ'!E147</f>
        <v/>
      </c>
      <c r="D41" s="207" t="n"/>
      <c r="E41" s="207" t="n"/>
    </row>
    <row r="42">
      <c r="B42" s="277" t="n"/>
      <c r="C42" s="314" t="n"/>
      <c r="D42" s="314" t="n"/>
      <c r="E42" s="314" t="n"/>
    </row>
    <row r="43">
      <c r="B43" s="277" t="inlineStr">
        <is>
          <t>Составил ____________________________ Д.Ю. Нефедова</t>
        </is>
      </c>
      <c r="C43" s="314" t="n"/>
      <c r="D43" s="314" t="n"/>
      <c r="E43" s="314" t="n"/>
    </row>
    <row r="44">
      <c r="B44" s="277" t="inlineStr">
        <is>
          <t xml:space="preserve">(должность, подпись, инициалы, фамилия) </t>
        </is>
      </c>
      <c r="C44" s="314" t="n"/>
      <c r="D44" s="314" t="n"/>
      <c r="E44" s="314" t="n"/>
    </row>
    <row r="45">
      <c r="B45" s="277" t="n"/>
      <c r="C45" s="314" t="n"/>
      <c r="D45" s="314" t="n"/>
      <c r="E45" s="314" t="n"/>
    </row>
    <row r="46">
      <c r="B46" s="277" t="inlineStr">
        <is>
          <t>Проверил ____________________________ А.В. Костянецкая</t>
        </is>
      </c>
      <c r="C46" s="314" t="n"/>
      <c r="D46" s="314" t="n"/>
      <c r="E46" s="314" t="n"/>
    </row>
    <row r="47">
      <c r="B47" s="368" t="inlineStr">
        <is>
          <t>(должность, подпись, инициалы, фамилия)</t>
        </is>
      </c>
      <c r="D47" s="314" t="n"/>
      <c r="E47" s="314" t="n"/>
    </row>
    <row r="49">
      <c r="B49" s="314" t="n"/>
      <c r="C49" s="314" t="n"/>
      <c r="D49" s="314" t="n"/>
      <c r="E49" s="314" t="n"/>
    </row>
    <row r="50">
      <c r="B50" s="314" t="n"/>
      <c r="C50" s="314" t="n"/>
      <c r="D50" s="314" t="n"/>
      <c r="E50" s="31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53"/>
  <sheetViews>
    <sheetView view="pageBreakPreview" topLeftCell="A123" zoomScale="70" workbookViewId="0">
      <selection activeCell="B149" sqref="B149"/>
    </sheetView>
  </sheetViews>
  <sheetFormatPr baseColWidth="8" defaultColWidth="9.140625" defaultRowHeight="15" outlineLevelRow="1"/>
  <cols>
    <col width="5.7109375" customWidth="1" style="315" min="1" max="1"/>
    <col width="22.5703125" customWidth="1" style="315" min="2" max="2"/>
    <col width="39.140625" customWidth="1" style="315" min="3" max="3"/>
    <col width="10.7109375" customWidth="1" style="315" min="4" max="4"/>
    <col width="12.7109375" customWidth="1" style="315" min="5" max="5"/>
    <col width="15" customWidth="1" style="315" min="6" max="6"/>
    <col width="13.42578125" customWidth="1" style="315" min="7" max="7"/>
    <col width="12.7109375" customWidth="1" style="315" min="8" max="8"/>
    <col width="13.85546875" customWidth="1" style="315" min="9" max="9"/>
    <col width="17.5703125" customWidth="1" style="315" min="10" max="10"/>
    <col width="10.85546875" customWidth="1" style="315" min="11" max="11"/>
    <col width="9.140625" customWidth="1" style="315" min="12" max="12"/>
    <col width="9.140625" customWidth="1" style="318" min="13" max="13"/>
  </cols>
  <sheetData>
    <row r="1" s="318">
      <c r="A1" s="315" t="n"/>
      <c r="B1" s="315" t="n"/>
      <c r="C1" s="315" t="n"/>
      <c r="D1" s="315" t="n"/>
      <c r="E1" s="315" t="n"/>
      <c r="F1" s="315" t="n"/>
      <c r="G1" s="315" t="n"/>
      <c r="H1" s="315" t="n"/>
      <c r="I1" s="315" t="n"/>
      <c r="J1" s="315" t="n"/>
      <c r="K1" s="315" t="n"/>
      <c r="L1" s="315" t="n"/>
      <c r="M1" s="315" t="n"/>
      <c r="N1" s="315" t="n"/>
    </row>
    <row r="2" ht="15.75" customHeight="1" s="318">
      <c r="A2" s="315" t="n"/>
      <c r="B2" s="315" t="n"/>
      <c r="C2" s="315" t="n"/>
      <c r="D2" s="315" t="n"/>
      <c r="E2" s="315" t="n"/>
      <c r="F2" s="315" t="n"/>
      <c r="G2" s="315" t="n"/>
      <c r="H2" s="369" t="inlineStr">
        <is>
          <t>Приложение №5</t>
        </is>
      </c>
      <c r="K2" s="315" t="n"/>
      <c r="L2" s="315" t="n"/>
      <c r="M2" s="315" t="n"/>
      <c r="N2" s="315" t="n"/>
    </row>
    <row r="3" s="318">
      <c r="A3" s="315" t="n"/>
      <c r="B3" s="315" t="n"/>
      <c r="C3" s="315" t="n"/>
      <c r="D3" s="315" t="n"/>
      <c r="E3" s="315" t="n"/>
      <c r="F3" s="315" t="n"/>
      <c r="G3" s="315" t="n"/>
      <c r="H3" s="315" t="n"/>
      <c r="I3" s="315" t="n"/>
      <c r="J3" s="315" t="n"/>
      <c r="K3" s="315" t="n"/>
      <c r="L3" s="315" t="n"/>
      <c r="M3" s="315" t="n"/>
      <c r="N3" s="315" t="n"/>
    </row>
    <row r="4" ht="12.75" customFormat="1" customHeight="1" s="314">
      <c r="A4" s="348" t="inlineStr">
        <is>
          <t>Расчет стоимости СМР и оборудования</t>
        </is>
      </c>
    </row>
    <row r="5" ht="12.75" customFormat="1" customHeight="1" s="314">
      <c r="A5" s="348" t="n"/>
      <c r="B5" s="348" t="n"/>
      <c r="C5" s="397" t="n"/>
      <c r="D5" s="348" t="n"/>
      <c r="E5" s="348" t="n"/>
      <c r="F5" s="348" t="n"/>
      <c r="G5" s="348" t="n"/>
      <c r="H5" s="348" t="n"/>
      <c r="I5" s="348" t="n"/>
      <c r="J5" s="348" t="n"/>
    </row>
    <row r="6" ht="25.5" customFormat="1" customHeight="1" s="314">
      <c r="A6" s="186" t="inlineStr">
        <is>
          <t>Наименование разрабатываемого показателя УНЦ</t>
        </is>
      </c>
      <c r="B6" s="187" t="n"/>
      <c r="C6" s="187" t="n"/>
      <c r="D6" s="375" t="inlineStr">
        <is>
          <t>Сети связи. УПАТС для предприятия электрических сетей</t>
        </is>
      </c>
    </row>
    <row r="7" ht="12.75" customFormat="1" customHeight="1" s="314">
      <c r="A7" s="351" t="inlineStr">
        <is>
          <t>Единица измерения  — 1 компл.</t>
        </is>
      </c>
      <c r="I7" s="367" t="n"/>
      <c r="J7" s="367" t="n"/>
    </row>
    <row r="8" ht="13.5" customFormat="1" customHeight="1" s="314">
      <c r="A8" s="351" t="n"/>
    </row>
    <row r="9" ht="27" customHeight="1" s="318">
      <c r="A9" s="372" t="inlineStr">
        <is>
          <t>№ пп.</t>
        </is>
      </c>
      <c r="B9" s="372" t="inlineStr">
        <is>
          <t>Код ресурса</t>
        </is>
      </c>
      <c r="C9" s="372" t="inlineStr">
        <is>
          <t>Наименование</t>
        </is>
      </c>
      <c r="D9" s="372" t="inlineStr">
        <is>
          <t>Ед. изм.</t>
        </is>
      </c>
      <c r="E9" s="372" t="inlineStr">
        <is>
          <t>Кол-во единиц по проектным данным</t>
        </is>
      </c>
      <c r="F9" s="372" t="inlineStr">
        <is>
          <t>Сметная стоимость в ценах на 01.01.2000 (руб.)</t>
        </is>
      </c>
      <c r="G9" s="444" t="n"/>
      <c r="H9" s="372" t="inlineStr">
        <is>
          <t>Удельный вес, %</t>
        </is>
      </c>
      <c r="I9" s="372" t="inlineStr">
        <is>
          <t>Сметная стоимость в ценах на 01.01.2023 (руб.)</t>
        </is>
      </c>
      <c r="J9" s="444" t="n"/>
      <c r="K9" s="315" t="n"/>
      <c r="L9" s="315" t="n"/>
      <c r="M9" s="315" t="n"/>
      <c r="N9" s="315" t="n"/>
    </row>
    <row r="10" ht="28.5" customHeight="1" s="318">
      <c r="A10" s="446" t="n"/>
      <c r="B10" s="446" t="n"/>
      <c r="C10" s="446" t="n"/>
      <c r="D10" s="446" t="n"/>
      <c r="E10" s="446" t="n"/>
      <c r="F10" s="372" t="inlineStr">
        <is>
          <t>на ед. изм.</t>
        </is>
      </c>
      <c r="G10" s="372" t="inlineStr">
        <is>
          <t>общая</t>
        </is>
      </c>
      <c r="H10" s="446" t="n"/>
      <c r="I10" s="372" t="inlineStr">
        <is>
          <t>на ед. изм.</t>
        </is>
      </c>
      <c r="J10" s="372" t="inlineStr">
        <is>
          <t>общая</t>
        </is>
      </c>
      <c r="K10" s="315" t="n"/>
      <c r="L10" s="315" t="n"/>
      <c r="M10" s="315" t="n"/>
      <c r="N10" s="315" t="n"/>
    </row>
    <row r="11" s="318">
      <c r="A11" s="372" t="n">
        <v>1</v>
      </c>
      <c r="B11" s="372" t="n">
        <v>2</v>
      </c>
      <c r="C11" s="372" t="n">
        <v>3</v>
      </c>
      <c r="D11" s="372" t="n">
        <v>4</v>
      </c>
      <c r="E11" s="372" t="n">
        <v>5</v>
      </c>
      <c r="F11" s="372" t="n">
        <v>6</v>
      </c>
      <c r="G11" s="372" t="n">
        <v>7</v>
      </c>
      <c r="H11" s="372" t="n">
        <v>8</v>
      </c>
      <c r="I11" s="373" t="n">
        <v>9</v>
      </c>
      <c r="J11" s="373" t="n">
        <v>10</v>
      </c>
      <c r="K11" s="315" t="n"/>
      <c r="L11" s="315" t="n"/>
      <c r="M11" s="315" t="n"/>
      <c r="N11" s="315" t="n"/>
    </row>
    <row r="12">
      <c r="A12" s="372" t="n"/>
      <c r="B12" s="380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88" t="n"/>
      <c r="J12" s="188" t="n"/>
    </row>
    <row r="13" ht="25.5" customHeight="1" s="318">
      <c r="A13" s="372" t="n">
        <v>1</v>
      </c>
      <c r="B13" s="225" t="inlineStr">
        <is>
          <t>1-4-0</t>
        </is>
      </c>
      <c r="C13" s="381" t="inlineStr">
        <is>
          <t>Затраты труда рабочих-строителей среднего разряда (4,0)</t>
        </is>
      </c>
      <c r="D13" s="372" t="inlineStr">
        <is>
          <t>чел.-ч.</t>
        </is>
      </c>
      <c r="E13" s="451">
        <f>G13/F13</f>
        <v/>
      </c>
      <c r="F13" s="306" t="n">
        <v>9.619999999999999</v>
      </c>
      <c r="G13" s="306">
        <f>Прил.3!H12-Прил.3!H13-Прил.3!H17</f>
        <v/>
      </c>
      <c r="H13" s="229">
        <f>G13/$G$16</f>
        <v/>
      </c>
      <c r="I13" s="306">
        <f>ФОТр.тек.!E13</f>
        <v/>
      </c>
      <c r="J13" s="306">
        <f>ROUND(I13*E13,2)</f>
        <v/>
      </c>
    </row>
    <row r="14">
      <c r="A14" s="372" t="n">
        <v>2</v>
      </c>
      <c r="B14" s="225" t="inlineStr">
        <is>
          <t>10-30-1</t>
        </is>
      </c>
      <c r="C14" s="381" t="inlineStr">
        <is>
          <t>Инженер I категории</t>
        </is>
      </c>
      <c r="D14" s="372" t="inlineStr">
        <is>
          <t>чел.-ч.</t>
        </is>
      </c>
      <c r="E14" s="451">
        <f>G14/F14</f>
        <v/>
      </c>
      <c r="F14" s="306" t="n">
        <v>15.49</v>
      </c>
      <c r="G14" s="306">
        <f>Прил.3!H13</f>
        <v/>
      </c>
      <c r="H14" s="229">
        <f>G14/$G$16</f>
        <v/>
      </c>
      <c r="I14" s="306">
        <f>ФОТр.тек.!E21</f>
        <v/>
      </c>
      <c r="J14" s="306">
        <f>ROUND(I14*E14,2)</f>
        <v/>
      </c>
    </row>
    <row r="15">
      <c r="A15" s="372" t="n">
        <v>3</v>
      </c>
      <c r="B15" s="225" t="inlineStr">
        <is>
          <t>10-30-2</t>
        </is>
      </c>
      <c r="C15" s="381" t="inlineStr">
        <is>
          <t>Инженер II категории</t>
        </is>
      </c>
      <c r="D15" s="372" t="inlineStr">
        <is>
          <t>чел.-ч.</t>
        </is>
      </c>
      <c r="E15" s="451">
        <f>G15/F15</f>
        <v/>
      </c>
      <c r="F15" s="306" t="n">
        <v>14.09</v>
      </c>
      <c r="G15" s="306">
        <f>Прил.3!H17</f>
        <v/>
      </c>
      <c r="H15" s="229">
        <f>G15/$G$16</f>
        <v/>
      </c>
      <c r="I15" s="306">
        <f>ФОТр.тек.!E29</f>
        <v/>
      </c>
      <c r="J15" s="306">
        <f>ROUND(I15*E15,2)</f>
        <v/>
      </c>
    </row>
    <row r="16" ht="25.5" customFormat="1" customHeight="1" s="315">
      <c r="A16" s="372" t="n"/>
      <c r="B16" s="372" t="n"/>
      <c r="C16" s="380" t="inlineStr">
        <is>
          <t>Итого по разделу "Затраты труда рабочих-строителей"</t>
        </is>
      </c>
      <c r="D16" s="372" t="inlineStr">
        <is>
          <t>чел.-ч.</t>
        </is>
      </c>
      <c r="E16" s="451">
        <f>SUM(E13:E15)</f>
        <v/>
      </c>
      <c r="F16" s="306" t="n"/>
      <c r="G16" s="306">
        <f>SUM(G13:G15)</f>
        <v/>
      </c>
      <c r="H16" s="384">
        <f>SUM(H13:H15)</f>
        <v/>
      </c>
      <c r="I16" s="188" t="n"/>
      <c r="J16" s="306">
        <f>SUM(J13:J15)</f>
        <v/>
      </c>
    </row>
    <row r="17" ht="14.25" customFormat="1" customHeight="1" s="315">
      <c r="A17" s="372" t="n"/>
      <c r="B17" s="381" t="inlineStr">
        <is>
          <t>Затраты труда машинистов</t>
        </is>
      </c>
      <c r="C17" s="443" t="n"/>
      <c r="D17" s="443" t="n"/>
      <c r="E17" s="443" t="n"/>
      <c r="F17" s="443" t="n"/>
      <c r="G17" s="443" t="n"/>
      <c r="H17" s="444" t="n"/>
      <c r="I17" s="188" t="n"/>
      <c r="J17" s="188" t="n"/>
    </row>
    <row r="18" ht="14.25" customFormat="1" customHeight="1" s="315">
      <c r="A18" s="372" t="n">
        <v>4</v>
      </c>
      <c r="B18" s="372" t="n">
        <v>2</v>
      </c>
      <c r="C18" s="381" t="inlineStr">
        <is>
          <t>Затраты труда машинистов</t>
        </is>
      </c>
      <c r="D18" s="372" t="inlineStr">
        <is>
          <t>чел.-ч.</t>
        </is>
      </c>
      <c r="E18" s="451">
        <f>Прил.3!F25</f>
        <v/>
      </c>
      <c r="F18" s="306">
        <f>G18/E18</f>
        <v/>
      </c>
      <c r="G18" s="306">
        <f>Прил.3!H24</f>
        <v/>
      </c>
      <c r="H18" s="384" t="n">
        <v>1</v>
      </c>
      <c r="I18" s="306">
        <f>ROUND(F18*Прил.10!D11,2)</f>
        <v/>
      </c>
      <c r="J18" s="306">
        <f>ROUND(I18*E18,2)</f>
        <v/>
      </c>
    </row>
    <row r="19" ht="14.25" customFormat="1" customHeight="1" s="315">
      <c r="A19" s="372" t="n"/>
      <c r="B19" s="380" t="inlineStr">
        <is>
          <t>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188" t="n"/>
      <c r="J19" s="188" t="n"/>
    </row>
    <row r="20" ht="14.25" customFormat="1" customHeight="1" s="315">
      <c r="A20" s="372" t="n"/>
      <c r="B20" s="381" t="inlineStr">
        <is>
          <t>Основные машины и механизмы</t>
        </is>
      </c>
      <c r="C20" s="443" t="n"/>
      <c r="D20" s="443" t="n"/>
      <c r="E20" s="443" t="n"/>
      <c r="F20" s="443" t="n"/>
      <c r="G20" s="443" t="n"/>
      <c r="H20" s="444" t="n"/>
      <c r="I20" s="188" t="n"/>
      <c r="J20" s="188" t="n"/>
    </row>
    <row r="21" ht="38.25" customFormat="1" customHeight="1" s="315">
      <c r="A21" s="372" t="n">
        <v>5</v>
      </c>
      <c r="B21" s="225" t="inlineStr">
        <is>
          <t>91.11.01-012</t>
        </is>
      </c>
      <c r="C21" s="381" t="inlineStr">
        <is>
          <t>Машины монтажные для выполнения работ при прокладке и монтаже кабеля на базе автомобиля</t>
        </is>
      </c>
      <c r="D21" s="372" t="inlineStr">
        <is>
          <t>маш.час</t>
        </is>
      </c>
      <c r="E21" s="451" t="n">
        <v>40.12</v>
      </c>
      <c r="F21" s="383" t="n">
        <v>110.86</v>
      </c>
      <c r="G21" s="306">
        <f>ROUND(E21*F21,2)</f>
        <v/>
      </c>
      <c r="H21" s="229">
        <f>G21/$G$38</f>
        <v/>
      </c>
      <c r="I21" s="306">
        <f>ROUND(F21*Прил.10!$D$12,2)</f>
        <v/>
      </c>
      <c r="J21" s="306">
        <f>ROUND(I21*E21,2)</f>
        <v/>
      </c>
    </row>
    <row r="22" ht="14.25" customFormat="1" customHeight="1" s="315">
      <c r="A22" s="372" t="n">
        <v>6</v>
      </c>
      <c r="B22" s="225" t="inlineStr">
        <is>
          <t>91.06.05-011</t>
        </is>
      </c>
      <c r="C22" s="381" t="inlineStr">
        <is>
          <t>Погрузчики, грузоподъемность 5 т</t>
        </is>
      </c>
      <c r="D22" s="372" t="inlineStr">
        <is>
          <t>маш.час</t>
        </is>
      </c>
      <c r="E22" s="451" t="n">
        <v>13.78</v>
      </c>
      <c r="F22" s="383" t="n">
        <v>89.98999999999999</v>
      </c>
      <c r="G22" s="306">
        <f>ROUND(E22*F22,2)</f>
        <v/>
      </c>
      <c r="H22" s="229">
        <f>G22/$G$38</f>
        <v/>
      </c>
      <c r="I22" s="306">
        <f>ROUND(F22*Прил.10!$D$12,2)</f>
        <v/>
      </c>
      <c r="J22" s="306">
        <f>ROUND(I22*E22,2)</f>
        <v/>
      </c>
    </row>
    <row r="23" ht="25.5" customFormat="1" customHeight="1" s="315">
      <c r="A23" s="372" t="n">
        <v>7</v>
      </c>
      <c r="B23" s="225" t="inlineStr">
        <is>
          <t>91.05.05-015</t>
        </is>
      </c>
      <c r="C23" s="381" t="inlineStr">
        <is>
          <t>Краны на автомобильном ходу, грузоподъемность 16 т</t>
        </is>
      </c>
      <c r="D23" s="372" t="inlineStr">
        <is>
          <t>маш.час</t>
        </is>
      </c>
      <c r="E23" s="451" t="n">
        <v>6.57</v>
      </c>
      <c r="F23" s="383" t="n">
        <v>115.4</v>
      </c>
      <c r="G23" s="306">
        <f>ROUND(E23*F23,2)</f>
        <v/>
      </c>
      <c r="H23" s="229">
        <f>G23/$G$38</f>
        <v/>
      </c>
      <c r="I23" s="306">
        <f>ROUND(F23*Прил.10!$D$12,2)</f>
        <v/>
      </c>
      <c r="J23" s="306">
        <f>ROUND(I23*E23,2)</f>
        <v/>
      </c>
    </row>
    <row r="24" ht="14.25" customFormat="1" customHeight="1" s="315">
      <c r="A24" s="372" t="n"/>
      <c r="B24" s="372" t="n"/>
      <c r="C24" s="381" t="inlineStr">
        <is>
          <t>Итого основные машины и механизмы</t>
        </is>
      </c>
      <c r="D24" s="372" t="n"/>
      <c r="E24" s="451" t="n"/>
      <c r="F24" s="306" t="n"/>
      <c r="G24" s="306">
        <f>SUM(G21:G23)</f>
        <v/>
      </c>
      <c r="H24" s="384">
        <f>G24/G38</f>
        <v/>
      </c>
      <c r="I24" s="236" t="n"/>
      <c r="J24" s="306">
        <f>SUM(J21:J23)</f>
        <v/>
      </c>
      <c r="K24" s="26" t="n"/>
    </row>
    <row r="25" hidden="1" outlineLevel="1" ht="25.5" customFormat="1" customHeight="1" s="315">
      <c r="A25" s="372" t="n">
        <v>8</v>
      </c>
      <c r="B25" s="225" t="inlineStr">
        <is>
          <t>91.14.02-001</t>
        </is>
      </c>
      <c r="C25" s="381" t="inlineStr">
        <is>
          <t>Автомобили бортовые, грузоподъемность до 5 т</t>
        </is>
      </c>
      <c r="D25" s="372" t="inlineStr">
        <is>
          <t>маш.час</t>
        </is>
      </c>
      <c r="E25" s="451" t="n">
        <v>6.884</v>
      </c>
      <c r="F25" s="383" t="n">
        <v>65.70999999999999</v>
      </c>
      <c r="G25" s="306">
        <f>ROUND(E25*F25,2)</f>
        <v/>
      </c>
      <c r="H25" s="229">
        <f>G25/$G$38</f>
        <v/>
      </c>
      <c r="I25" s="306">
        <f>ROUND(F25*Прил.10!$D$12,2)</f>
        <v/>
      </c>
      <c r="J25" s="306">
        <f>ROUND(I25*E25,2)</f>
        <v/>
      </c>
    </row>
    <row r="26" hidden="1" outlineLevel="1" ht="25.5" customFormat="1" customHeight="1" s="315">
      <c r="A26" s="372" t="n">
        <v>9</v>
      </c>
      <c r="B26" s="225" t="inlineStr">
        <is>
          <t>91.06.03-061</t>
        </is>
      </c>
      <c r="C26" s="381" t="inlineStr">
        <is>
          <t>Лебедки электрические тяговым усилием до 12,26 кН (1,25 т)</t>
        </is>
      </c>
      <c r="D26" s="372" t="inlineStr">
        <is>
          <t>маш.час</t>
        </is>
      </c>
      <c r="E26" s="451" t="n">
        <v>66.75360000000001</v>
      </c>
      <c r="F26" s="383" t="n">
        <v>3.28</v>
      </c>
      <c r="G26" s="306">
        <f>ROUND(E26*F26,2)</f>
        <v/>
      </c>
      <c r="H26" s="229">
        <f>G26/$G$38</f>
        <v/>
      </c>
      <c r="I26" s="306">
        <f>ROUND(F26*Прил.10!$D$12,2)</f>
        <v/>
      </c>
      <c r="J26" s="306">
        <f>ROUND(I26*E26,2)</f>
        <v/>
      </c>
    </row>
    <row r="27" hidden="1" outlineLevel="1" ht="25.5" customFormat="1" customHeight="1" s="315">
      <c r="A27" s="372" t="n">
        <v>10</v>
      </c>
      <c r="B27" s="225" t="inlineStr">
        <is>
          <t>91.06.06-042</t>
        </is>
      </c>
      <c r="C27" s="381" t="inlineStr">
        <is>
          <t>Подъемники гидравлические, высота подъема 10 м</t>
        </is>
      </c>
      <c r="D27" s="372" t="inlineStr">
        <is>
          <t>маш.час</t>
        </is>
      </c>
      <c r="E27" s="451" t="n">
        <v>5.8176</v>
      </c>
      <c r="F27" s="383" t="n">
        <v>29.6</v>
      </c>
      <c r="G27" s="306">
        <f>ROUND(E27*F27,2)</f>
        <v/>
      </c>
      <c r="H27" s="229">
        <f>G27/$G$38</f>
        <v/>
      </c>
      <c r="I27" s="306">
        <f>ROUND(F27*Прил.10!$D$12,2)</f>
        <v/>
      </c>
      <c r="J27" s="306">
        <f>ROUND(I27*E27,2)</f>
        <v/>
      </c>
    </row>
    <row r="28" hidden="1" outlineLevel="1" ht="25.5" customFormat="1" customHeight="1" s="315">
      <c r="A28" s="372" t="n">
        <v>11</v>
      </c>
      <c r="B28" s="225" t="inlineStr">
        <is>
          <t>91.17.04-233</t>
        </is>
      </c>
      <c r="C28" s="381" t="inlineStr">
        <is>
          <t>Установки для сварки ручной дуговой (постоянного тока)</t>
        </is>
      </c>
      <c r="D28" s="372" t="inlineStr">
        <is>
          <t>маш.час</t>
        </is>
      </c>
      <c r="E28" s="451" t="n">
        <v>7.7498</v>
      </c>
      <c r="F28" s="383" t="n">
        <v>8.1</v>
      </c>
      <c r="G28" s="306">
        <f>ROUND(E28*F28,2)</f>
        <v/>
      </c>
      <c r="H28" s="229">
        <f>G28/$G$38</f>
        <v/>
      </c>
      <c r="I28" s="306">
        <f>ROUND(F28*Прил.10!$D$12,2)</f>
        <v/>
      </c>
      <c r="J28" s="306">
        <f>ROUND(I28*E28,2)</f>
        <v/>
      </c>
    </row>
    <row r="29" hidden="1" outlineLevel="1" ht="25.5" customFormat="1" customHeight="1" s="315">
      <c r="A29" s="372" t="n">
        <v>12</v>
      </c>
      <c r="B29" s="225" t="inlineStr">
        <is>
          <t>91.06.01-003</t>
        </is>
      </c>
      <c r="C29" s="381" t="inlineStr">
        <is>
          <t>Домкраты гидравлические, грузоподъемность 63-100 т</t>
        </is>
      </c>
      <c r="D29" s="372" t="inlineStr">
        <is>
          <t>маш.час</t>
        </is>
      </c>
      <c r="E29" s="451" t="n">
        <v>66.75360000000001</v>
      </c>
      <c r="F29" s="383" t="n">
        <v>0.9</v>
      </c>
      <c r="G29" s="306">
        <f>ROUND(E29*F29,2)</f>
        <v/>
      </c>
      <c r="H29" s="229">
        <f>G29/$G$38</f>
        <v/>
      </c>
      <c r="I29" s="306">
        <f>ROUND(F29*Прил.10!$D$12,2)</f>
        <v/>
      </c>
      <c r="J29" s="306">
        <f>ROUND(I29*E29,2)</f>
        <v/>
      </c>
    </row>
    <row r="30" hidden="1" outlineLevel="1" ht="25.5" customFormat="1" customHeight="1" s="315">
      <c r="A30" s="372" t="n">
        <v>13</v>
      </c>
      <c r="B30" s="225" t="inlineStr">
        <is>
          <t>91.21.12-002</t>
        </is>
      </c>
      <c r="C30" s="381" t="inlineStr">
        <is>
          <t>Ножницы листовые кривошипные гильотинные</t>
        </is>
      </c>
      <c r="D30" s="372" t="inlineStr">
        <is>
          <t>маш.час</t>
        </is>
      </c>
      <c r="E30" s="451" t="n">
        <v>0.385</v>
      </c>
      <c r="F30" s="383" t="n">
        <v>70</v>
      </c>
      <c r="G30" s="306">
        <f>ROUND(E30*F30,2)</f>
        <v/>
      </c>
      <c r="H30" s="229">
        <f>G30/$G$38</f>
        <v/>
      </c>
      <c r="I30" s="306">
        <f>ROUND(F30*Прил.10!$D$12,2)</f>
        <v/>
      </c>
      <c r="J30" s="306">
        <f>ROUND(I30*E30,2)</f>
        <v/>
      </c>
    </row>
    <row r="31" hidden="1" outlineLevel="1" ht="25.5" customFormat="1" customHeight="1" s="315">
      <c r="A31" s="372" t="n">
        <v>14</v>
      </c>
      <c r="B31" s="225" t="inlineStr">
        <is>
          <t>91.21.16-014</t>
        </is>
      </c>
      <c r="C31" s="381" t="inlineStr">
        <is>
          <t>Прессы листогибочные кривошипные 1000 кН (100 тс)</t>
        </is>
      </c>
      <c r="D31" s="372" t="inlineStr">
        <is>
          <t>маш.час</t>
        </is>
      </c>
      <c r="E31" s="451" t="n">
        <v>0.385</v>
      </c>
      <c r="F31" s="383" t="n">
        <v>56.24</v>
      </c>
      <c r="G31" s="306">
        <f>ROUND(E31*F31,2)</f>
        <v/>
      </c>
      <c r="H31" s="229">
        <f>G31/$G$38</f>
        <v/>
      </c>
      <c r="I31" s="306">
        <f>ROUND(F31*Прил.10!$D$12,2)</f>
        <v/>
      </c>
      <c r="J31" s="306">
        <f>ROUND(I31*E31,2)</f>
        <v/>
      </c>
    </row>
    <row r="32" hidden="1" outlineLevel="1" ht="25.5" customFormat="1" customHeight="1" s="315">
      <c r="A32" s="372" t="n">
        <v>15</v>
      </c>
      <c r="B32" s="225" t="inlineStr">
        <is>
          <t>91.06.03-060</t>
        </is>
      </c>
      <c r="C32" s="381" t="inlineStr">
        <is>
          <t>Лебедки электрические тяговым усилием до 5,79 кН (0,59 т)</t>
        </is>
      </c>
      <c r="D32" s="372" t="inlineStr">
        <is>
          <t>маш.час</t>
        </is>
      </c>
      <c r="E32" s="451" t="n">
        <v>5.32</v>
      </c>
      <c r="F32" s="383" t="n">
        <v>1.7</v>
      </c>
      <c r="G32" s="306">
        <f>ROUND(E32*F32,2)</f>
        <v/>
      </c>
      <c r="H32" s="229">
        <f>G32/$G$38</f>
        <v/>
      </c>
      <c r="I32" s="306">
        <f>ROUND(F32*Прил.10!$D$12,2)</f>
        <v/>
      </c>
      <c r="J32" s="306">
        <f>ROUND(I32*E32,2)</f>
        <v/>
      </c>
    </row>
    <row r="33" hidden="1" outlineLevel="1" ht="25.5" customFormat="1" customHeight="1" s="315">
      <c r="A33" s="372" t="n">
        <v>16</v>
      </c>
      <c r="B33" s="225" t="inlineStr">
        <is>
          <t>91.14.02-002</t>
        </is>
      </c>
      <c r="C33" s="381" t="inlineStr">
        <is>
          <t>Автомобили бортовые, грузоподъемность до 8 т</t>
        </is>
      </c>
      <c r="D33" s="372" t="inlineStr">
        <is>
          <t>маш.час</t>
        </is>
      </c>
      <c r="E33" s="451" t="n">
        <v>0.08</v>
      </c>
      <c r="F33" s="383" t="n">
        <v>85.84</v>
      </c>
      <c r="G33" s="306">
        <f>ROUND(E33*F33,2)</f>
        <v/>
      </c>
      <c r="H33" s="229">
        <f>G33/$G$38</f>
        <v/>
      </c>
      <c r="I33" s="306">
        <f>ROUND(F33*Прил.10!$D$12,2)</f>
        <v/>
      </c>
      <c r="J33" s="306">
        <f>ROUND(I33*E33,2)</f>
        <v/>
      </c>
    </row>
    <row r="34" hidden="1" outlineLevel="1" ht="25.5" customFormat="1" customHeight="1" s="315">
      <c r="A34" s="372" t="n">
        <v>17</v>
      </c>
      <c r="B34" s="225" t="inlineStr">
        <is>
          <t>91.21.16-013</t>
        </is>
      </c>
      <c r="C34" s="381" t="inlineStr">
        <is>
          <t>Прессы кривошипные простого действия 25 кН (2,5 тс)</t>
        </is>
      </c>
      <c r="D34" s="372" t="inlineStr">
        <is>
          <t>маш.час</t>
        </is>
      </c>
      <c r="E34" s="451" t="n">
        <v>0.385</v>
      </c>
      <c r="F34" s="383" t="n">
        <v>16.92</v>
      </c>
      <c r="G34" s="306">
        <f>ROUND(E34*F34,2)</f>
        <v/>
      </c>
      <c r="H34" s="229">
        <f>G34/$G$38</f>
        <v/>
      </c>
      <c r="I34" s="306">
        <f>ROUND(F34*Прил.10!$D$12,2)</f>
        <v/>
      </c>
      <c r="J34" s="306">
        <f>ROUND(I34*E34,2)</f>
        <v/>
      </c>
    </row>
    <row r="35" hidden="1" outlineLevel="1" ht="38.25" customFormat="1" customHeight="1" s="315">
      <c r="A35" s="372" t="n">
        <v>18</v>
      </c>
      <c r="B35" s="225" t="inlineStr">
        <is>
          <t>91.21.01-012</t>
        </is>
      </c>
      <c r="C35" s="381" t="inlineStr">
        <is>
          <t>Агрегаты окрасочные высокого давления для окраски поверхностей конструкций, мощность 1 кВт</t>
        </is>
      </c>
      <c r="D35" s="372" t="inlineStr">
        <is>
          <t>маш.час</t>
        </is>
      </c>
      <c r="E35" s="451" t="n">
        <v>0.77</v>
      </c>
      <c r="F35" s="383" t="n">
        <v>6.82</v>
      </c>
      <c r="G35" s="306">
        <f>ROUND(E35*F35,2)</f>
        <v/>
      </c>
      <c r="H35" s="229">
        <f>G35/$G$38</f>
        <v/>
      </c>
      <c r="I35" s="306">
        <f>ROUND(F35*Прил.10!$D$12,2)</f>
        <v/>
      </c>
      <c r="J35" s="306">
        <f>ROUND(I35*E35,2)</f>
        <v/>
      </c>
    </row>
    <row r="36" hidden="1" outlineLevel="1" ht="14.25" customFormat="1" customHeight="1" s="315">
      <c r="A36" s="372" t="n">
        <v>19</v>
      </c>
      <c r="B36" s="225" t="inlineStr">
        <is>
          <t>91.21.19-031</t>
        </is>
      </c>
      <c r="C36" s="381" t="inlineStr">
        <is>
          <t>Станки сверлильные</t>
        </is>
      </c>
      <c r="D36" s="372" t="inlineStr">
        <is>
          <t>маш.час</t>
        </is>
      </c>
      <c r="E36" s="451" t="n">
        <v>0.385</v>
      </c>
      <c r="F36" s="383" t="n">
        <v>2.36</v>
      </c>
      <c r="G36" s="306">
        <f>ROUND(E36*F36,2)</f>
        <v/>
      </c>
      <c r="H36" s="229">
        <f>G36/$G$38</f>
        <v/>
      </c>
      <c r="I36" s="306">
        <f>ROUND(F36*Прил.10!$D$12,2)</f>
        <v/>
      </c>
      <c r="J36" s="306">
        <f>ROUND(I36*E36,2)</f>
        <v/>
      </c>
    </row>
    <row r="37" collapsed="1" ht="14.25" customFormat="1" customHeight="1" s="315">
      <c r="A37" s="372" t="n"/>
      <c r="B37" s="372" t="n"/>
      <c r="C37" s="381" t="inlineStr">
        <is>
          <t>Итого прочие машины и механизмы</t>
        </is>
      </c>
      <c r="D37" s="372" t="n"/>
      <c r="E37" s="382" t="n"/>
      <c r="F37" s="306" t="n"/>
      <c r="G37" s="236">
        <f>SUM(G25:G36)</f>
        <v/>
      </c>
      <c r="H37" s="229">
        <f>G37/G38</f>
        <v/>
      </c>
      <c r="I37" s="306" t="n"/>
      <c r="J37" s="236">
        <f>SUM(J25:J36)</f>
        <v/>
      </c>
    </row>
    <row r="38" ht="25.5" customFormat="1" customHeight="1" s="315">
      <c r="A38" s="372" t="n"/>
      <c r="B38" s="372" t="n"/>
      <c r="C38" s="380" t="inlineStr">
        <is>
          <t>Итого по разделу «Машины и механизмы»</t>
        </is>
      </c>
      <c r="D38" s="372" t="n"/>
      <c r="E38" s="382" t="n"/>
      <c r="F38" s="306" t="n"/>
      <c r="G38" s="306">
        <f>G37+G24</f>
        <v/>
      </c>
      <c r="H38" s="232">
        <f>H37+H24</f>
        <v/>
      </c>
      <c r="I38" s="284" t="n"/>
      <c r="J38" s="282">
        <f>J37+J24</f>
        <v/>
      </c>
    </row>
    <row r="39" ht="14.25" customFormat="1" customHeight="1" s="315">
      <c r="A39" s="372" t="n"/>
      <c r="B39" s="380" t="inlineStr">
        <is>
          <t>Оборудование</t>
        </is>
      </c>
      <c r="C39" s="443" t="n"/>
      <c r="D39" s="443" t="n"/>
      <c r="E39" s="443" t="n"/>
      <c r="F39" s="443" t="n"/>
      <c r="G39" s="443" t="n"/>
      <c r="H39" s="444" t="n"/>
      <c r="I39" s="188" t="n"/>
      <c r="J39" s="188" t="n"/>
    </row>
    <row r="40">
      <c r="A40" s="373" t="n"/>
      <c r="B40" s="376" t="inlineStr">
        <is>
          <t>Основное оборудование</t>
        </is>
      </c>
      <c r="C40" s="449" t="n"/>
      <c r="D40" s="449" t="n"/>
      <c r="E40" s="449" t="n"/>
      <c r="F40" s="449" t="n"/>
      <c r="G40" s="449" t="n"/>
      <c r="H40" s="450" t="n"/>
      <c r="I40" s="280" t="n"/>
      <c r="J40" s="280" t="n"/>
      <c r="K40" s="315" t="n"/>
      <c r="L40" s="315" t="n"/>
    </row>
    <row r="41" ht="14.25" customFormat="1" customHeight="1" s="315">
      <c r="A41" s="394" t="n">
        <v>20</v>
      </c>
      <c r="B41" s="372" t="inlineStr">
        <is>
          <t>БЦ.36.13</t>
        </is>
      </c>
      <c r="C41" s="381" t="inlineStr">
        <is>
          <t>Внутриобъектная связь</t>
        </is>
      </c>
      <c r="D41" s="394" t="inlineStr">
        <is>
          <t>к-т.</t>
        </is>
      </c>
      <c r="E41" s="452" t="n">
        <v>1</v>
      </c>
      <c r="F41" s="299">
        <f>ROUND(I41/Прил.10!D14,2)</f>
        <v/>
      </c>
      <c r="G41" s="299">
        <f>ROUND(E41*F41,2)</f>
        <v/>
      </c>
      <c r="H41" s="300">
        <f>G41/$G$44</f>
        <v/>
      </c>
      <c r="I41" s="299" t="n">
        <v>17756200</v>
      </c>
      <c r="J41" s="299">
        <f>ROUND(I41*E41,2)</f>
        <v/>
      </c>
    </row>
    <row r="42">
      <c r="A42" s="374" t="n"/>
      <c r="B42" s="374" t="n"/>
      <c r="C42" s="279" t="inlineStr">
        <is>
          <t>Итого основное оборудование</t>
        </is>
      </c>
      <c r="D42" s="374" t="n"/>
      <c r="E42" s="453" t="n"/>
      <c r="F42" s="295" t="n"/>
      <c r="G42" s="286">
        <f>SUM(G41:G41)</f>
        <v/>
      </c>
      <c r="H42" s="283">
        <f>G42/$G$44</f>
        <v/>
      </c>
      <c r="I42" s="284" t="n"/>
      <c r="J42" s="282">
        <f>SUM(J41:J41)</f>
        <v/>
      </c>
      <c r="K42" s="315" t="n"/>
      <c r="L42" s="315" t="n"/>
    </row>
    <row r="43">
      <c r="A43" s="372" t="n"/>
      <c r="B43" s="372" t="n"/>
      <c r="C43" s="381" t="inlineStr">
        <is>
          <t>Итого прочее оборудование</t>
        </is>
      </c>
      <c r="D43" s="372" t="n"/>
      <c r="E43" s="451" t="n"/>
      <c r="F43" s="295" t="n"/>
      <c r="G43" s="306" t="n">
        <v>0</v>
      </c>
      <c r="H43" s="229">
        <f>G43/$G$44</f>
        <v/>
      </c>
      <c r="I43" s="236" t="n"/>
      <c r="J43" s="306" t="n">
        <v>0</v>
      </c>
      <c r="K43" s="315" t="n"/>
      <c r="L43" s="315" t="n"/>
    </row>
    <row r="44">
      <c r="A44" s="372" t="n"/>
      <c r="B44" s="372" t="n"/>
      <c r="C44" s="380" t="inlineStr">
        <is>
          <t>Итого по разделу «Оборудование»</t>
        </is>
      </c>
      <c r="D44" s="372" t="n"/>
      <c r="E44" s="382" t="n"/>
      <c r="F44" s="383" t="n"/>
      <c r="G44" s="306">
        <f>G42+G43</f>
        <v/>
      </c>
      <c r="H44" s="384">
        <f>H43+H42</f>
        <v/>
      </c>
      <c r="I44" s="236" t="n"/>
      <c r="J44" s="306">
        <f>J43+J42</f>
        <v/>
      </c>
      <c r="K44" s="315" t="n"/>
      <c r="L44" s="315" t="n"/>
    </row>
    <row r="45" ht="25.5" customHeight="1" s="318">
      <c r="A45" s="372" t="n"/>
      <c r="B45" s="372" t="n"/>
      <c r="C45" s="381" t="inlineStr">
        <is>
          <t>в том числе технологическое оборудование</t>
        </is>
      </c>
      <c r="D45" s="372" t="n"/>
      <c r="E45" s="454" t="n"/>
      <c r="F45" s="383" t="n"/>
      <c r="G45" s="306">
        <f>'Прил.6 Расчет ОБ'!G13</f>
        <v/>
      </c>
      <c r="H45" s="384" t="n"/>
      <c r="I45" s="236" t="n"/>
      <c r="J45" s="306">
        <f>J44</f>
        <v/>
      </c>
      <c r="K45" s="315" t="n"/>
      <c r="L45" s="315" t="n"/>
    </row>
    <row r="46" ht="14.25" customFormat="1" customHeight="1" s="315">
      <c r="A46" s="372" t="n"/>
      <c r="B46" s="380" t="inlineStr">
        <is>
          <t>Материалы</t>
        </is>
      </c>
      <c r="C46" s="443" t="n"/>
      <c r="D46" s="443" t="n"/>
      <c r="E46" s="443" t="n"/>
      <c r="F46" s="443" t="n"/>
      <c r="G46" s="443" t="n"/>
      <c r="H46" s="444" t="n"/>
      <c r="I46" s="188" t="n"/>
      <c r="J46" s="188" t="n"/>
    </row>
    <row r="47" ht="14.25" customFormat="1" customHeight="1" s="315">
      <c r="A47" s="373" t="n"/>
      <c r="B47" s="376" t="inlineStr">
        <is>
          <t>Основные материалы</t>
        </is>
      </c>
      <c r="C47" s="449" t="n"/>
      <c r="D47" s="449" t="n"/>
      <c r="E47" s="449" t="n"/>
      <c r="F47" s="449" t="n"/>
      <c r="G47" s="449" t="n"/>
      <c r="H47" s="450" t="n"/>
      <c r="I47" s="280" t="n"/>
      <c r="J47" s="280" t="n"/>
    </row>
    <row r="48" ht="25.5" customFormat="1" customHeight="1" s="315">
      <c r="A48" s="372" t="n">
        <v>21</v>
      </c>
      <c r="B48" s="372" t="inlineStr">
        <is>
          <t>07.2.07.04-0007</t>
        </is>
      </c>
      <c r="C48" s="381" t="inlineStr">
        <is>
          <t>Конструкции стальные индивидуальные решетчатые сварные, масса до 0,1 т</t>
        </is>
      </c>
      <c r="D48" s="372" t="inlineStr">
        <is>
          <t>т</t>
        </is>
      </c>
      <c r="E48" s="454" t="n">
        <v>0.3</v>
      </c>
      <c r="F48" s="383" t="n">
        <v>11500</v>
      </c>
      <c r="G48" s="306">
        <f>ROUND(E48*F48,2)</f>
        <v/>
      </c>
      <c r="H48" s="229">
        <f>G48/$G$141</f>
        <v/>
      </c>
      <c r="I48" s="306">
        <f>ROUND(F48*Прил.10!$D$13,2)</f>
        <v/>
      </c>
      <c r="J48" s="306">
        <f>ROUND(I48*E48,2)</f>
        <v/>
      </c>
    </row>
    <row r="49" ht="25.5" customFormat="1" customHeight="1" s="315">
      <c r="A49" s="372" t="n">
        <v>22</v>
      </c>
      <c r="B49" s="372" t="inlineStr">
        <is>
          <t>999-9950</t>
        </is>
      </c>
      <c r="C49" s="381" t="inlineStr">
        <is>
          <t>Вспомогательные ненормируемые ресурсы (2% от Оплаты труда рабочих)</t>
        </is>
      </c>
      <c r="D49" s="372" t="inlineStr">
        <is>
          <t>руб</t>
        </is>
      </c>
      <c r="E49" s="454" t="n">
        <v>1001.9273</v>
      </c>
      <c r="F49" s="383" t="n">
        <v>1</v>
      </c>
      <c r="G49" s="306">
        <f>ROUND(E49*F49,2)</f>
        <v/>
      </c>
      <c r="H49" s="229">
        <f>G49/$G$141</f>
        <v/>
      </c>
      <c r="I49" s="306">
        <f>ROUND(F49*Прил.10!$D$13,2)</f>
        <v/>
      </c>
      <c r="J49" s="306">
        <f>ROUND(I49*E49,2)</f>
        <v/>
      </c>
    </row>
    <row r="50" ht="76.5" customFormat="1" customHeight="1" s="315">
      <c r="A50" s="372" t="n">
        <v>23</v>
      </c>
      <c r="B50" s="372" t="inlineStr">
        <is>
          <t>21.2.03.02-0001</t>
        </is>
      </c>
      <c r="C50" s="381" t="inlineStr">
        <is>
          <t>Провод монтажный низковольтный с гибкой многопроволочной жилой изолированные хлопчатобумажной пряжей из поливинилхлоридного пластиката, марка ПМВГ, сечение 0,35 мм2</t>
        </is>
      </c>
      <c r="D50" s="372" t="inlineStr">
        <is>
          <t>1000 м</t>
        </is>
      </c>
      <c r="E50" s="454" t="n">
        <v>0.3</v>
      </c>
      <c r="F50" s="383" t="n">
        <v>3005.8</v>
      </c>
      <c r="G50" s="306">
        <f>ROUND(E50*F50,2)</f>
        <v/>
      </c>
      <c r="H50" s="229">
        <f>G50/$G$141</f>
        <v/>
      </c>
      <c r="I50" s="306">
        <f>ROUND(F50*Прил.10!$D$13,2)</f>
        <v/>
      </c>
      <c r="J50" s="306">
        <f>ROUND(I50*E50,2)</f>
        <v/>
      </c>
    </row>
    <row r="51" ht="14.25" customFormat="1" customHeight="1" s="315">
      <c r="A51" s="372" t="n">
        <v>24</v>
      </c>
      <c r="B51" s="372" t="inlineStr">
        <is>
          <t>01.3.01.01-0001</t>
        </is>
      </c>
      <c r="C51" s="381" t="inlineStr">
        <is>
          <t>Бензин авиационный Б-70</t>
        </is>
      </c>
      <c r="D51" s="372" t="inlineStr">
        <is>
          <t>т</t>
        </is>
      </c>
      <c r="E51" s="454" t="n">
        <v>0.1962</v>
      </c>
      <c r="F51" s="383" t="n">
        <v>4488.4</v>
      </c>
      <c r="G51" s="306">
        <f>ROUND(E51*F51,2)</f>
        <v/>
      </c>
      <c r="H51" s="229">
        <f>G51/$G$141</f>
        <v/>
      </c>
      <c r="I51" s="306">
        <f>ROUND(F51*Прил.10!$D$13,2)</f>
        <v/>
      </c>
      <c r="J51" s="306">
        <f>ROUND(I51*E51,2)</f>
        <v/>
      </c>
    </row>
    <row r="52" ht="25.5" customFormat="1" customHeight="1" s="315">
      <c r="A52" s="372" t="n">
        <v>25</v>
      </c>
      <c r="B52" s="372" t="inlineStr">
        <is>
          <t>10.3.02.03-0011</t>
        </is>
      </c>
      <c r="C52" s="381" t="inlineStr">
        <is>
          <t>Припои оловянно-свинцовые бессурьмянистые, марка ПОС30</t>
        </is>
      </c>
      <c r="D52" s="372" t="inlineStr">
        <is>
          <t>т</t>
        </is>
      </c>
      <c r="E52" s="454" t="n">
        <v>0.01274</v>
      </c>
      <c r="F52" s="383" t="n">
        <v>68050</v>
      </c>
      <c r="G52" s="306">
        <f>ROUND(E52*F52,2)</f>
        <v/>
      </c>
      <c r="H52" s="229">
        <f>G52/$G$141</f>
        <v/>
      </c>
      <c r="I52" s="306">
        <f>ROUND(F52*Прил.10!$D$13,2)</f>
        <v/>
      </c>
      <c r="J52" s="306">
        <f>ROUND(I52*E52,2)</f>
        <v/>
      </c>
    </row>
    <row r="53" ht="14.25" customFormat="1" customHeight="1" s="315">
      <c r="A53" s="372" t="n">
        <v>26</v>
      </c>
      <c r="B53" s="372" t="inlineStr">
        <is>
          <t>20.5.04.03-0011</t>
        </is>
      </c>
      <c r="C53" s="381" t="inlineStr">
        <is>
          <t>Зажимы наборные</t>
        </is>
      </c>
      <c r="D53" s="372" t="inlineStr">
        <is>
          <t>шт</t>
        </is>
      </c>
      <c r="E53" s="454" t="n">
        <v>204</v>
      </c>
      <c r="F53" s="383" t="n">
        <v>3.5</v>
      </c>
      <c r="G53" s="306">
        <f>ROUND(E53*F53,2)</f>
        <v/>
      </c>
      <c r="H53" s="229">
        <f>G53/$G$141</f>
        <v/>
      </c>
      <c r="I53" s="306">
        <f>ROUND(F53*Прил.10!$D$13,2)</f>
        <v/>
      </c>
      <c r="J53" s="306">
        <f>ROUND(I53*E53,2)</f>
        <v/>
      </c>
    </row>
    <row r="54" ht="14.25" customFormat="1" customHeight="1" s="315">
      <c r="A54" s="372" t="n">
        <v>27</v>
      </c>
      <c r="B54" s="372" t="inlineStr">
        <is>
          <t>21.2.03.09-0105</t>
        </is>
      </c>
      <c r="C54" s="381" t="inlineStr">
        <is>
          <t>Провод силовой ПРТО 1х1,5-660</t>
        </is>
      </c>
      <c r="D54" s="372" t="inlineStr">
        <is>
          <t>1000 м</t>
        </is>
      </c>
      <c r="E54" s="454" t="n">
        <v>0.387</v>
      </c>
      <c r="F54" s="383" t="n">
        <v>1819.3</v>
      </c>
      <c r="G54" s="306">
        <f>ROUND(E54*F54,2)</f>
        <v/>
      </c>
      <c r="H54" s="229">
        <f>G54/$G$141</f>
        <v/>
      </c>
      <c r="I54" s="306">
        <f>ROUND(F54*Прил.10!$D$13,2)</f>
        <v/>
      </c>
      <c r="J54" s="306">
        <f>ROUND(I54*E54,2)</f>
        <v/>
      </c>
    </row>
    <row r="55" ht="25.5" customFormat="1" customHeight="1" s="315">
      <c r="A55" s="372" t="n">
        <v>28</v>
      </c>
      <c r="B55" s="372" t="inlineStr">
        <is>
          <t>20.2.10.03-0002</t>
        </is>
      </c>
      <c r="C55" s="381" t="inlineStr">
        <is>
          <t>Наконечники кабельные медные для электротехнических установок</t>
        </is>
      </c>
      <c r="D55" s="372" t="inlineStr">
        <is>
          <t>100 шт</t>
        </is>
      </c>
      <c r="E55" s="454" t="n">
        <v>0.11</v>
      </c>
      <c r="F55" s="383" t="n">
        <v>3986</v>
      </c>
      <c r="G55" s="306">
        <f>ROUND(E55*F55,2)</f>
        <v/>
      </c>
      <c r="H55" s="229">
        <f>G55/$G$141</f>
        <v/>
      </c>
      <c r="I55" s="306">
        <f>ROUND(F55*Прил.10!$D$13,2)</f>
        <v/>
      </c>
      <c r="J55" s="306">
        <f>ROUND(I55*E55,2)</f>
        <v/>
      </c>
    </row>
    <row r="56" ht="25.5" customFormat="1" customHeight="1" s="315">
      <c r="A56" s="372" t="n">
        <v>29</v>
      </c>
      <c r="B56" s="372" t="inlineStr">
        <is>
          <t>10.3.02.03-0012</t>
        </is>
      </c>
      <c r="C56" s="381" t="inlineStr">
        <is>
          <t>Припои оловянно-свинцовые бессурьмянистые, марка ПОС40</t>
        </is>
      </c>
      <c r="D56" s="372" t="inlineStr">
        <is>
          <t>т</t>
        </is>
      </c>
      <c r="E56" s="454" t="n">
        <v>0.00625</v>
      </c>
      <c r="F56" s="383" t="n">
        <v>65750</v>
      </c>
      <c r="G56" s="306">
        <f>ROUND(E56*F56,2)</f>
        <v/>
      </c>
      <c r="H56" s="229">
        <f>G56/$G$141</f>
        <v/>
      </c>
      <c r="I56" s="306">
        <f>ROUND(F56*Прил.10!$D$13,2)</f>
        <v/>
      </c>
      <c r="J56" s="306">
        <f>ROUND(I56*E56,2)</f>
        <v/>
      </c>
    </row>
    <row r="57" ht="25.5" customFormat="1" customHeight="1" s="315">
      <c r="A57" s="372" t="n">
        <v>30</v>
      </c>
      <c r="B57" s="372" t="inlineStr">
        <is>
          <t>08.3.08.02-0091</t>
        </is>
      </c>
      <c r="C57" s="381" t="inlineStr">
        <is>
          <t>Уголок перфорированный, марка стали Ст3, размер 35х35 мм</t>
        </is>
      </c>
      <c r="D57" s="372" t="inlineStr">
        <is>
          <t>м</t>
        </is>
      </c>
      <c r="E57" s="454" t="n">
        <v>21.85</v>
      </c>
      <c r="F57" s="383" t="n">
        <v>15.13</v>
      </c>
      <c r="G57" s="306">
        <f>ROUND(E57*F57,2)</f>
        <v/>
      </c>
      <c r="H57" s="229">
        <f>G57/$G$141</f>
        <v/>
      </c>
      <c r="I57" s="306">
        <f>ROUND(F57*Прил.10!$D$13,2)</f>
        <v/>
      </c>
      <c r="J57" s="306">
        <f>ROUND(I57*E57,2)</f>
        <v/>
      </c>
    </row>
    <row r="58" ht="14.25" customFormat="1" customHeight="1" s="315">
      <c r="A58" s="372" t="n">
        <v>31</v>
      </c>
      <c r="B58" s="372" t="inlineStr">
        <is>
          <t>01.7.20.04-0003</t>
        </is>
      </c>
      <c r="C58" s="381" t="inlineStr">
        <is>
          <t>Нитки суровые</t>
        </is>
      </c>
      <c r="D58" s="372" t="inlineStr">
        <is>
          <t>кг</t>
        </is>
      </c>
      <c r="E58" s="454" t="n">
        <v>1.864</v>
      </c>
      <c r="F58" s="383" t="n">
        <v>155</v>
      </c>
      <c r="G58" s="306">
        <f>ROUND(E58*F58,2)</f>
        <v/>
      </c>
      <c r="H58" s="229">
        <f>G58/$G$141</f>
        <v/>
      </c>
      <c r="I58" s="306">
        <f>ROUND(F58*Прил.10!$D$13,2)</f>
        <v/>
      </c>
      <c r="J58" s="306">
        <f>ROUND(I58*E58,2)</f>
        <v/>
      </c>
    </row>
    <row r="59" ht="14.25" customFormat="1" customHeight="1" s="315">
      <c r="A59" s="372" t="n">
        <v>32</v>
      </c>
      <c r="B59" s="372" t="inlineStr">
        <is>
          <t>20.2.10.03-0020</t>
        </is>
      </c>
      <c r="C59" s="381" t="inlineStr">
        <is>
          <t>Наконечники кабельные П2.5-4Д-МУ3</t>
        </is>
      </c>
      <c r="D59" s="372" t="inlineStr">
        <is>
          <t>100 шт</t>
        </is>
      </c>
      <c r="E59" s="454" t="n">
        <v>1.4</v>
      </c>
      <c r="F59" s="383" t="n">
        <v>203</v>
      </c>
      <c r="G59" s="306">
        <f>ROUND(E59*F59,2)</f>
        <v/>
      </c>
      <c r="H59" s="229">
        <f>G59/$G$141</f>
        <v/>
      </c>
      <c r="I59" s="306">
        <f>ROUND(F59*Прил.10!$D$13,2)</f>
        <v/>
      </c>
      <c r="J59" s="306">
        <f>ROUND(I59*E59,2)</f>
        <v/>
      </c>
    </row>
    <row r="60" ht="14.25" customFormat="1" customHeight="1" s="315">
      <c r="A60" s="372" t="n">
        <v>33</v>
      </c>
      <c r="B60" s="372" t="inlineStr">
        <is>
          <t>14.4.04.12-0008</t>
        </is>
      </c>
      <c r="C60" s="381" t="inlineStr">
        <is>
          <t>Эмаль эпоксидная ЭП-140, защитная</t>
        </is>
      </c>
      <c r="D60" s="372" t="inlineStr">
        <is>
          <t>т</t>
        </is>
      </c>
      <c r="E60" s="454" t="n">
        <v>0.0036</v>
      </c>
      <c r="F60" s="383" t="n">
        <v>75000</v>
      </c>
      <c r="G60" s="306">
        <f>ROUND(E60*F60,2)</f>
        <v/>
      </c>
      <c r="H60" s="229">
        <f>G60/$G$141</f>
        <v/>
      </c>
      <c r="I60" s="306">
        <f>ROUND(F60*Прил.10!$D$13,2)</f>
        <v/>
      </c>
      <c r="J60" s="306">
        <f>ROUND(I60*E60,2)</f>
        <v/>
      </c>
    </row>
    <row r="61" ht="25.5" customFormat="1" customHeight="1" s="315">
      <c r="A61" s="372" t="n">
        <v>34</v>
      </c>
      <c r="B61" s="372" t="inlineStr">
        <is>
          <t>01.7.15.07-0012</t>
        </is>
      </c>
      <c r="C61" s="381" t="inlineStr">
        <is>
          <t>Дюбели пластмассовые с шурупами, размер 12х70 мм</t>
        </is>
      </c>
      <c r="D61" s="372" t="inlineStr">
        <is>
          <t>100 шт</t>
        </is>
      </c>
      <c r="E61" s="454" t="n">
        <v>2.74</v>
      </c>
      <c r="F61" s="383" t="n">
        <v>83</v>
      </c>
      <c r="G61" s="306">
        <f>ROUND(E61*F61,2)</f>
        <v/>
      </c>
      <c r="H61" s="229">
        <f>G61/$G$141</f>
        <v/>
      </c>
      <c r="I61" s="306">
        <f>ROUND(F61*Прил.10!$D$13,2)</f>
        <v/>
      </c>
      <c r="J61" s="306">
        <f>ROUND(I61*E61,2)</f>
        <v/>
      </c>
    </row>
    <row r="62" ht="25.5" customFormat="1" customHeight="1" s="315">
      <c r="A62" s="372" t="n">
        <v>35</v>
      </c>
      <c r="B62" s="372" t="inlineStr">
        <is>
          <t>20.2.10.03-0006</t>
        </is>
      </c>
      <c r="C62" s="381" t="inlineStr">
        <is>
          <t>Наконечники кабельные медные соединительные</t>
        </is>
      </c>
      <c r="D62" s="372" t="inlineStr">
        <is>
          <t>100 шт</t>
        </is>
      </c>
      <c r="E62" s="454" t="n">
        <v>0.62</v>
      </c>
      <c r="F62" s="383" t="n">
        <v>365</v>
      </c>
      <c r="G62" s="306">
        <f>ROUND(E62*F62,2)</f>
        <v/>
      </c>
      <c r="H62" s="229">
        <f>G62/$G$141</f>
        <v/>
      </c>
      <c r="I62" s="306">
        <f>ROUND(F62*Прил.10!$D$13,2)</f>
        <v/>
      </c>
      <c r="J62" s="306">
        <f>ROUND(I62*E62,2)</f>
        <v/>
      </c>
    </row>
    <row r="63" ht="14.25" customFormat="1" customHeight="1" s="315">
      <c r="A63" s="372" t="n">
        <v>36</v>
      </c>
      <c r="B63" s="372" t="inlineStr">
        <is>
          <t>25.2.01.01-0017</t>
        </is>
      </c>
      <c r="C63" s="381" t="inlineStr">
        <is>
          <t>Бирки маркировочные пластмассовые</t>
        </is>
      </c>
      <c r="D63" s="372" t="inlineStr">
        <is>
          <t>100 шт</t>
        </is>
      </c>
      <c r="E63" s="454" t="n">
        <v>7.34</v>
      </c>
      <c r="F63" s="383" t="n">
        <v>30.74</v>
      </c>
      <c r="G63" s="306">
        <f>ROUND(E63*F63,2)</f>
        <v/>
      </c>
      <c r="H63" s="229">
        <f>G63/$G$141</f>
        <v/>
      </c>
      <c r="I63" s="306">
        <f>ROUND(F63*Прил.10!$D$13,2)</f>
        <v/>
      </c>
      <c r="J63" s="306">
        <f>ROUND(I63*E63,2)</f>
        <v/>
      </c>
    </row>
    <row r="64" ht="38.25" customFormat="1" customHeight="1" s="315">
      <c r="A64" s="372" t="n">
        <v>37</v>
      </c>
      <c r="B64" s="372" t="inlineStr">
        <is>
          <t>01.7.06.05-0042</t>
        </is>
      </c>
      <c r="C64" s="381" t="inlineStr">
        <is>
          <t>Лента липкая изоляционная на поликасиновом компаунде, ширина 20-30 мм, толщина от 0,14 до 0,19 мм</t>
        </is>
      </c>
      <c r="D64" s="372" t="inlineStr">
        <is>
          <t>кг</t>
        </is>
      </c>
      <c r="E64" s="454" t="n">
        <v>1.98</v>
      </c>
      <c r="F64" s="383" t="n">
        <v>91.29000000000001</v>
      </c>
      <c r="G64" s="306">
        <f>ROUND(E64*F64,2)</f>
        <v/>
      </c>
      <c r="H64" s="229">
        <f>G64/$G$141</f>
        <v/>
      </c>
      <c r="I64" s="306">
        <f>ROUND(F64*Прил.10!$D$13,2)</f>
        <v/>
      </c>
      <c r="J64" s="306">
        <f>ROUND(I64*E64,2)</f>
        <v/>
      </c>
    </row>
    <row r="65" ht="25.5" customFormat="1" customHeight="1" s="315">
      <c r="A65" s="372" t="n">
        <v>38</v>
      </c>
      <c r="B65" s="372" t="inlineStr">
        <is>
          <t>11.2.11.05-0002</t>
        </is>
      </c>
      <c r="C65" s="381" t="inlineStr">
        <is>
          <t>Фанера клееная обрезная, сорт В/ВВ, ФК, ФБА, толщина 4 мм</t>
        </is>
      </c>
      <c r="D65" s="372" t="inlineStr">
        <is>
          <t>м3</t>
        </is>
      </c>
      <c r="E65" s="454" t="n">
        <v>0.032</v>
      </c>
      <c r="F65" s="383" t="n">
        <v>4949.4</v>
      </c>
      <c r="G65" s="306">
        <f>ROUND(E65*F65,2)</f>
        <v/>
      </c>
      <c r="H65" s="229">
        <f>G65/$G$141</f>
        <v/>
      </c>
      <c r="I65" s="306">
        <f>ROUND(F65*Прил.10!$D$13,2)</f>
        <v/>
      </c>
      <c r="J65" s="306">
        <f>ROUND(I65*E65,2)</f>
        <v/>
      </c>
    </row>
    <row r="66" ht="14.25" customFormat="1" customHeight="1" s="315">
      <c r="A66" s="372" t="n">
        <v>39</v>
      </c>
      <c r="B66" s="372" t="inlineStr">
        <is>
          <t>20.1.02.06-0001</t>
        </is>
      </c>
      <c r="C66" s="381" t="inlineStr">
        <is>
          <t>Жир паяльный</t>
        </is>
      </c>
      <c r="D66" s="372" t="inlineStr">
        <is>
          <t>кг</t>
        </is>
      </c>
      <c r="E66" s="454" t="n">
        <v>1.56</v>
      </c>
      <c r="F66" s="383" t="n">
        <v>100.8</v>
      </c>
      <c r="G66" s="306">
        <f>ROUND(E66*F66,2)</f>
        <v/>
      </c>
      <c r="H66" s="229">
        <f>G66/$G$141</f>
        <v/>
      </c>
      <c r="I66" s="306">
        <f>ROUND(F66*Прил.10!$D$13,2)</f>
        <v/>
      </c>
      <c r="J66" s="306">
        <f>ROUND(I66*E66,2)</f>
        <v/>
      </c>
    </row>
    <row r="67" ht="14.25" customFormat="1" customHeight="1" s="315">
      <c r="A67" s="372" t="n">
        <v>40</v>
      </c>
      <c r="B67" s="372" t="inlineStr">
        <is>
          <t>14.4.04.01-0001</t>
        </is>
      </c>
      <c r="C67" s="381" t="inlineStr">
        <is>
          <t>Нитроэмаль НЦ-132К</t>
        </is>
      </c>
      <c r="D67" s="372" t="inlineStr">
        <is>
          <t>кг</t>
        </is>
      </c>
      <c r="E67" s="454" t="n">
        <v>5</v>
      </c>
      <c r="F67" s="383" t="n">
        <v>29.75</v>
      </c>
      <c r="G67" s="306">
        <f>ROUND(E67*F67,2)</f>
        <v/>
      </c>
      <c r="H67" s="229">
        <f>G67/$G$141</f>
        <v/>
      </c>
      <c r="I67" s="306">
        <f>ROUND(F67*Прил.10!$D$13,2)</f>
        <v/>
      </c>
      <c r="J67" s="306">
        <f>ROUND(I67*E67,2)</f>
        <v/>
      </c>
    </row>
    <row r="68" ht="63.75" customFormat="1" customHeight="1" s="315">
      <c r="A68" s="372" t="n">
        <v>41</v>
      </c>
      <c r="B68" s="372" t="inlineStr">
        <is>
          <t>01.7.15.10-0056</t>
        </is>
      </c>
      <c r="C68" s="381" t="inlineStr">
        <is>
      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      </is>
      </c>
      <c r="D68" s="372" t="inlineStr">
        <is>
          <t>10 шт</t>
        </is>
      </c>
      <c r="E68" s="454" t="n">
        <v>6.2</v>
      </c>
      <c r="F68" s="383" t="n">
        <v>22.61</v>
      </c>
      <c r="G68" s="306">
        <f>ROUND(E68*F68,2)</f>
        <v/>
      </c>
      <c r="H68" s="229">
        <f>G68/$G$141</f>
        <v/>
      </c>
      <c r="I68" s="306">
        <f>ROUND(F68*Прил.10!$D$13,2)</f>
        <v/>
      </c>
      <c r="J68" s="306">
        <f>ROUND(I68*E68,2)</f>
        <v/>
      </c>
    </row>
    <row r="69" ht="25.5" customFormat="1" customHeight="1" s="315">
      <c r="A69" s="372" t="n">
        <v>42</v>
      </c>
      <c r="B69" s="372" t="inlineStr">
        <is>
          <t>08.3.05.02-0052</t>
        </is>
      </c>
      <c r="C69" s="381" t="inlineStr">
        <is>
          <t>Прокат толстолистовой горячекатаный марка стали Ст3, толщина 2-6 мм</t>
        </is>
      </c>
      <c r="D69" s="372" t="inlineStr">
        <is>
          <t>т</t>
        </is>
      </c>
      <c r="E69" s="454" t="n">
        <v>0.023</v>
      </c>
      <c r="F69" s="383" t="n">
        <v>5941.89</v>
      </c>
      <c r="G69" s="306">
        <f>ROUND(E69*F69,2)</f>
        <v/>
      </c>
      <c r="H69" s="229">
        <f>G69/$G$141</f>
        <v/>
      </c>
      <c r="I69" s="306">
        <f>ROUND(F69*Прил.10!$D$13,2)</f>
        <v/>
      </c>
      <c r="J69" s="306">
        <f>ROUND(I69*E69,2)</f>
        <v/>
      </c>
    </row>
    <row r="70" ht="14.25" customFormat="1" customHeight="1" s="315">
      <c r="A70" s="372" t="n">
        <v>43</v>
      </c>
      <c r="B70" s="372" t="inlineStr">
        <is>
          <t>01.7.15.14-0165</t>
        </is>
      </c>
      <c r="C70" s="381" t="inlineStr">
        <is>
          <t>Шурупы с полукруглой головкой 4х40 мм</t>
        </is>
      </c>
      <c r="D70" s="372" t="inlineStr">
        <is>
          <t>т</t>
        </is>
      </c>
      <c r="E70" s="454" t="n">
        <v>0.0107448</v>
      </c>
      <c r="F70" s="383" t="n">
        <v>12430</v>
      </c>
      <c r="G70" s="306">
        <f>ROUND(E70*F70,2)</f>
        <v/>
      </c>
      <c r="H70" s="229">
        <f>G70/$G$141</f>
        <v/>
      </c>
      <c r="I70" s="306">
        <f>ROUND(F70*Прил.10!$D$13,2)</f>
        <v/>
      </c>
      <c r="J70" s="306">
        <f>ROUND(I70*E70,2)</f>
        <v/>
      </c>
    </row>
    <row r="71" ht="14.25" customFormat="1" customHeight="1" s="315">
      <c r="A71" s="372" t="n">
        <v>44</v>
      </c>
      <c r="B71" s="372" t="inlineStr">
        <is>
          <t>01.7.15.03-0042</t>
        </is>
      </c>
      <c r="C71" s="381" t="inlineStr">
        <is>
          <t>Болты с гайками и шайбами строительные</t>
        </is>
      </c>
      <c r="D71" s="372" t="inlineStr">
        <is>
          <t>кг</t>
        </is>
      </c>
      <c r="E71" s="454" t="n">
        <v>14.576</v>
      </c>
      <c r="F71" s="383" t="n">
        <v>9.039999999999999</v>
      </c>
      <c r="G71" s="306">
        <f>ROUND(E71*F71,2)</f>
        <v/>
      </c>
      <c r="H71" s="229">
        <f>G71/$G$141</f>
        <v/>
      </c>
      <c r="I71" s="306">
        <f>ROUND(F71*Прил.10!$D$13,2)</f>
        <v/>
      </c>
      <c r="J71" s="306">
        <f>ROUND(I71*E71,2)</f>
        <v/>
      </c>
    </row>
    <row r="72" ht="14.25" customFormat="1" customHeight="1" s="315">
      <c r="A72" s="200" t="n"/>
      <c r="B72" s="200" t="n"/>
      <c r="C72" s="279" t="inlineStr">
        <is>
          <t>Итого основные материалы</t>
        </is>
      </c>
      <c r="D72" s="374" t="n"/>
      <c r="E72" s="455" t="n"/>
      <c r="F72" s="282" t="n"/>
      <c r="G72" s="282">
        <f>SUM(G48:G71)</f>
        <v/>
      </c>
      <c r="H72" s="229">
        <f>G72/$G$141</f>
        <v/>
      </c>
      <c r="I72" s="306" t="n"/>
      <c r="J72" s="282">
        <f>SUM(J48:J71)</f>
        <v/>
      </c>
      <c r="K72" s="26" t="n"/>
      <c r="L72" s="26" t="n"/>
    </row>
    <row r="73" outlineLevel="1" ht="14.25" customFormat="1" customHeight="1" s="315">
      <c r="A73" s="372" t="n">
        <v>45</v>
      </c>
      <c r="B73" s="372" t="inlineStr">
        <is>
          <t>22.2.02.23-0011</t>
        </is>
      </c>
      <c r="C73" s="381" t="inlineStr">
        <is>
          <t>Глухари</t>
        </is>
      </c>
      <c r="D73" s="372" t="inlineStr">
        <is>
          <t>100 шт</t>
        </is>
      </c>
      <c r="E73" s="454" t="n">
        <v>0.8006</v>
      </c>
      <c r="F73" s="383" t="n">
        <v>164</v>
      </c>
      <c r="G73" s="306">
        <f>ROUND(E73*F73,2)</f>
        <v/>
      </c>
      <c r="H73" s="229">
        <f>G73/$G$141</f>
        <v/>
      </c>
      <c r="I73" s="306">
        <f>ROUND(F73*Прил.10!$D$13,2)</f>
        <v/>
      </c>
      <c r="J73" s="306">
        <f>ROUND(I73*E73,2)</f>
        <v/>
      </c>
    </row>
    <row r="74" outlineLevel="1" ht="14.25" customFormat="1" customHeight="1" s="315">
      <c r="A74" s="372" t="n">
        <v>46</v>
      </c>
      <c r="B74" s="372" t="inlineStr">
        <is>
          <t>01.7.02.07-0011</t>
        </is>
      </c>
      <c r="C74" s="381" t="inlineStr">
        <is>
          <t>Прессшпан листовой, марка А</t>
        </is>
      </c>
      <c r="D74" s="372" t="inlineStr">
        <is>
          <t>кг</t>
        </is>
      </c>
      <c r="E74" s="454" t="n">
        <v>2.65</v>
      </c>
      <c r="F74" s="383" t="n">
        <v>47.57</v>
      </c>
      <c r="G74" s="306">
        <f>ROUND(E74*F74,2)</f>
        <v/>
      </c>
      <c r="H74" s="229">
        <f>G74/$G$141</f>
        <v/>
      </c>
      <c r="I74" s="306">
        <f>ROUND(F74*Прил.10!$D$13,2)</f>
        <v/>
      </c>
      <c r="J74" s="306">
        <f>ROUND(I74*E74,2)</f>
        <v/>
      </c>
    </row>
    <row r="75" outlineLevel="1" ht="38.25" customFormat="1" customHeight="1" s="315">
      <c r="A75" s="372" t="n">
        <v>47</v>
      </c>
      <c r="B75" s="372" t="inlineStr">
        <is>
          <t>08.3.07.01-0064</t>
        </is>
      </c>
      <c r="C75" s="381" t="inlineStr">
        <is>
          <t>Прокат полосовой горячекатаный перфорированный, ширина 30-40 мм, марка стали Ст3, толщина 2-6 мм</t>
        </is>
      </c>
      <c r="D75" s="372" t="inlineStr">
        <is>
          <t>т</t>
        </is>
      </c>
      <c r="E75" s="454" t="n">
        <v>0.01311</v>
      </c>
      <c r="F75" s="383" t="n">
        <v>8084.97</v>
      </c>
      <c r="G75" s="306">
        <f>ROUND(E75*F75,2)</f>
        <v/>
      </c>
      <c r="H75" s="229">
        <f>G75/$G$141</f>
        <v/>
      </c>
      <c r="I75" s="306">
        <f>ROUND(F75*Прил.10!$D$13,2)</f>
        <v/>
      </c>
      <c r="J75" s="306">
        <f>ROUND(I75*E75,2)</f>
        <v/>
      </c>
    </row>
    <row r="76" outlineLevel="1" ht="25.5" customFormat="1" customHeight="1" s="315">
      <c r="A76" s="372" t="n">
        <v>48</v>
      </c>
      <c r="B76" s="372" t="inlineStr">
        <is>
          <t>01.7.06.03-0023</t>
        </is>
      </c>
      <c r="C76" s="381" t="inlineStr">
        <is>
          <t>Лента полиэтиленовая с липким слоем, марка А</t>
        </is>
      </c>
      <c r="D76" s="372" t="inlineStr">
        <is>
          <t>кг</t>
        </is>
      </c>
      <c r="E76" s="454" t="n">
        <v>2.67</v>
      </c>
      <c r="F76" s="383" t="n">
        <v>39.02</v>
      </c>
      <c r="G76" s="306">
        <f>ROUND(E76*F76,2)</f>
        <v/>
      </c>
      <c r="H76" s="229">
        <f>G76/$G$141</f>
        <v/>
      </c>
      <c r="I76" s="306">
        <f>ROUND(F76*Прил.10!$D$13,2)</f>
        <v/>
      </c>
      <c r="J76" s="306">
        <f>ROUND(I76*E76,2)</f>
        <v/>
      </c>
    </row>
    <row r="77" outlineLevel="1" ht="14.25" customFormat="1" customHeight="1" s="315">
      <c r="A77" s="372" t="n">
        <v>49</v>
      </c>
      <c r="B77" s="372" t="inlineStr">
        <is>
          <t>14.4.03.03-0002</t>
        </is>
      </c>
      <c r="C77" s="381" t="inlineStr">
        <is>
          <t>Лак битумный БТ-123</t>
        </is>
      </c>
      <c r="D77" s="372" t="inlineStr">
        <is>
          <t>т</t>
        </is>
      </c>
      <c r="E77" s="454" t="n">
        <v>0.0126648</v>
      </c>
      <c r="F77" s="383" t="n">
        <v>7826.9</v>
      </c>
      <c r="G77" s="306">
        <f>ROUND(E77*F77,2)</f>
        <v/>
      </c>
      <c r="H77" s="229">
        <f>G77/$G$141</f>
        <v/>
      </c>
      <c r="I77" s="306">
        <f>ROUND(F77*Прил.10!$D$13,2)</f>
        <v/>
      </c>
      <c r="J77" s="306">
        <f>ROUND(I77*E77,2)</f>
        <v/>
      </c>
    </row>
    <row r="78" outlineLevel="1" ht="14.25" customFormat="1" customHeight="1" s="315">
      <c r="A78" s="372" t="n">
        <v>50</v>
      </c>
      <c r="B78" s="372" t="inlineStr">
        <is>
          <t>01.3.02.09-0022</t>
        </is>
      </c>
      <c r="C78" s="381" t="inlineStr">
        <is>
          <t>Пропан-бутан смесь техническая</t>
        </is>
      </c>
      <c r="D78" s="372" t="inlineStr">
        <is>
          <t>кг</t>
        </is>
      </c>
      <c r="E78" s="454" t="n">
        <v>15.754</v>
      </c>
      <c r="F78" s="383" t="n">
        <v>6.09</v>
      </c>
      <c r="G78" s="306">
        <f>ROUND(E78*F78,2)</f>
        <v/>
      </c>
      <c r="H78" s="229">
        <f>G78/$G$141</f>
        <v/>
      </c>
      <c r="I78" s="306">
        <f>ROUND(F78*Прил.10!$D$13,2)</f>
        <v/>
      </c>
      <c r="J78" s="306">
        <f>ROUND(I78*E78,2)</f>
        <v/>
      </c>
    </row>
    <row r="79" outlineLevel="1" ht="14.25" customFormat="1" customHeight="1" s="315">
      <c r="A79" s="372" t="n">
        <v>51</v>
      </c>
      <c r="B79" s="372" t="inlineStr">
        <is>
          <t>01.3.05.17-0002</t>
        </is>
      </c>
      <c r="C79" s="381" t="inlineStr">
        <is>
          <t>Канифоль сосновая</t>
        </is>
      </c>
      <c r="D79" s="372" t="inlineStr">
        <is>
          <t>кг</t>
        </is>
      </c>
      <c r="E79" s="454" t="n">
        <v>3.37</v>
      </c>
      <c r="F79" s="383" t="n">
        <v>27.74</v>
      </c>
      <c r="G79" s="306">
        <f>ROUND(E79*F79,2)</f>
        <v/>
      </c>
      <c r="H79" s="229">
        <f>G79/$G$141</f>
        <v/>
      </c>
      <c r="I79" s="306">
        <f>ROUND(F79*Прил.10!$D$13,2)</f>
        <v/>
      </c>
      <c r="J79" s="306">
        <f>ROUND(I79*E79,2)</f>
        <v/>
      </c>
    </row>
    <row r="80" outlineLevel="1" ht="14.25" customFormat="1" customHeight="1" s="315">
      <c r="A80" s="372" t="n">
        <v>52</v>
      </c>
      <c r="B80" s="372" t="inlineStr">
        <is>
          <t>01.7.03.01-0005</t>
        </is>
      </c>
      <c r="C80" s="381" t="inlineStr">
        <is>
          <t>Вода дистиллированная</t>
        </is>
      </c>
      <c r="D80" s="372" t="inlineStr">
        <is>
          <t>кг</t>
        </is>
      </c>
      <c r="E80" s="454" t="n">
        <v>22.4</v>
      </c>
      <c r="F80" s="383" t="n">
        <v>4.16</v>
      </c>
      <c r="G80" s="306">
        <f>ROUND(E80*F80,2)</f>
        <v/>
      </c>
      <c r="H80" s="229">
        <f>G80/$G$141</f>
        <v/>
      </c>
      <c r="I80" s="306">
        <f>ROUND(F80*Прил.10!$D$13,2)</f>
        <v/>
      </c>
      <c r="J80" s="306">
        <f>ROUND(I80*E80,2)</f>
        <v/>
      </c>
    </row>
    <row r="81" outlineLevel="1" ht="25.5" customFormat="1" customHeight="1" s="315">
      <c r="A81" s="372" t="n">
        <v>53</v>
      </c>
      <c r="B81" s="372" t="inlineStr">
        <is>
          <t>08.4.03.02-0001</t>
        </is>
      </c>
      <c r="C81" s="381" t="inlineStr">
        <is>
          <t>Сталь арматурная, горячекатаная, гладкая, класс А-I, диаметр 6 мм</t>
        </is>
      </c>
      <c r="D81" s="372" t="inlineStr">
        <is>
          <t>т</t>
        </is>
      </c>
      <c r="E81" s="454" t="n">
        <v>0.012</v>
      </c>
      <c r="F81" s="383" t="n">
        <v>7418.82</v>
      </c>
      <c r="G81" s="306">
        <f>ROUND(E81*F81,2)</f>
        <v/>
      </c>
      <c r="H81" s="229">
        <f>G81/$G$141</f>
        <v/>
      </c>
      <c r="I81" s="306">
        <f>ROUND(F81*Прил.10!$D$13,2)</f>
        <v/>
      </c>
      <c r="J81" s="306">
        <f>ROUND(I81*E81,2)</f>
        <v/>
      </c>
    </row>
    <row r="82" outlineLevel="1" ht="25.5" customFormat="1" customHeight="1" s="315">
      <c r="A82" s="372" t="n">
        <v>54</v>
      </c>
      <c r="B82" s="372" t="inlineStr">
        <is>
          <t>24.3.01.01-0004</t>
        </is>
      </c>
      <c r="C82" s="381" t="inlineStr">
        <is>
          <t>Трубка электроизоляционная ПВХ-305, диаметр 6-10 мм</t>
        </is>
      </c>
      <c r="D82" s="372" t="inlineStr">
        <is>
          <t>кг</t>
        </is>
      </c>
      <c r="E82" s="454" t="n">
        <v>2.14</v>
      </c>
      <c r="F82" s="383" t="n">
        <v>38.34</v>
      </c>
      <c r="G82" s="306">
        <f>ROUND(E82*F82,2)</f>
        <v/>
      </c>
      <c r="H82" s="229">
        <f>G82/$G$141</f>
        <v/>
      </c>
      <c r="I82" s="306">
        <f>ROUND(F82*Прил.10!$D$13,2)</f>
        <v/>
      </c>
      <c r="J82" s="306">
        <f>ROUND(I82*E82,2)</f>
        <v/>
      </c>
    </row>
    <row r="83" outlineLevel="1" ht="14.25" customFormat="1" customHeight="1" s="315">
      <c r="A83" s="372" t="n">
        <v>55</v>
      </c>
      <c r="B83" s="372" t="inlineStr">
        <is>
          <t>01.7.15.07-0014</t>
        </is>
      </c>
      <c r="C83" s="381" t="inlineStr">
        <is>
          <t>Дюбели распорные полипропиленовые</t>
        </is>
      </c>
      <c r="D83" s="372" t="inlineStr">
        <is>
          <t>100 шт</t>
        </is>
      </c>
      <c r="E83" s="454" t="n">
        <v>0.9</v>
      </c>
      <c r="F83" s="383" t="n">
        <v>86</v>
      </c>
      <c r="G83" s="306">
        <f>ROUND(E83*F83,2)</f>
        <v/>
      </c>
      <c r="H83" s="229">
        <f>G83/$G$141</f>
        <v/>
      </c>
      <c r="I83" s="306">
        <f>ROUND(F83*Прил.10!$D$13,2)</f>
        <v/>
      </c>
      <c r="J83" s="306">
        <f>ROUND(I83*E83,2)</f>
        <v/>
      </c>
    </row>
    <row r="84" outlineLevel="1" ht="38.25" customFormat="1" customHeight="1" s="315">
      <c r="A84" s="372" t="n">
        <v>56</v>
      </c>
      <c r="B84" s="372" t="inlineStr">
        <is>
          <t>10.2.02.08-0001</t>
        </is>
      </c>
      <c r="C84" s="381" t="inlineStr">
        <is>
          <t>Проволока медная, круглая, мягкая, электротехническая, диаметр 1,0-3,0 мм и выше</t>
        </is>
      </c>
      <c r="D84" s="372" t="inlineStr">
        <is>
          <t>т</t>
        </is>
      </c>
      <c r="E84" s="454" t="n">
        <v>0.00202</v>
      </c>
      <c r="F84" s="383" t="n">
        <v>37517</v>
      </c>
      <c r="G84" s="306">
        <f>ROUND(E84*F84,2)</f>
        <v/>
      </c>
      <c r="H84" s="229">
        <f>G84/$G$141</f>
        <v/>
      </c>
      <c r="I84" s="306">
        <f>ROUND(F84*Прил.10!$D$13,2)</f>
        <v/>
      </c>
      <c r="J84" s="306">
        <f>ROUND(I84*E84,2)</f>
        <v/>
      </c>
    </row>
    <row r="85" outlineLevel="1" ht="14.25" customFormat="1" customHeight="1" s="315">
      <c r="A85" s="372" t="n">
        <v>57</v>
      </c>
      <c r="B85" s="372" t="inlineStr">
        <is>
          <t>11.2.04.03-0001</t>
        </is>
      </c>
      <c r="C85" s="381" t="inlineStr">
        <is>
          <t>Подрозетники деревянные</t>
        </is>
      </c>
      <c r="D85" s="372" t="inlineStr">
        <is>
          <t>100 шт</t>
        </is>
      </c>
      <c r="E85" s="454" t="n">
        <v>0.31</v>
      </c>
      <c r="F85" s="383" t="n">
        <v>216</v>
      </c>
      <c r="G85" s="306">
        <f>ROUND(E85*F85,2)</f>
        <v/>
      </c>
      <c r="H85" s="229">
        <f>G85/$G$141</f>
        <v/>
      </c>
      <c r="I85" s="306">
        <f>ROUND(F85*Прил.10!$D$13,2)</f>
        <v/>
      </c>
      <c r="J85" s="306">
        <f>ROUND(I85*E85,2)</f>
        <v/>
      </c>
    </row>
    <row r="86" outlineLevel="1" ht="25.5" customFormat="1" customHeight="1" s="315">
      <c r="A86" s="372" t="n">
        <v>58</v>
      </c>
      <c r="B86" s="372" t="inlineStr">
        <is>
          <t>01.7.11.07-0034</t>
        </is>
      </c>
      <c r="C86" s="381" t="inlineStr">
        <is>
          <t>Электроды сварочные Э42А, диаметр 4 мм</t>
        </is>
      </c>
      <c r="D86" s="372" t="inlineStr">
        <is>
          <t>кг</t>
        </is>
      </c>
      <c r="E86" s="454" t="n">
        <v>6.1848</v>
      </c>
      <c r="F86" s="383" t="n">
        <v>10.57</v>
      </c>
      <c r="G86" s="306">
        <f>ROUND(E86*F86,2)</f>
        <v/>
      </c>
      <c r="H86" s="229">
        <f>G86/$G$141</f>
        <v/>
      </c>
      <c r="I86" s="306">
        <f>ROUND(F86*Прил.10!$D$13,2)</f>
        <v/>
      </c>
      <c r="J86" s="306">
        <f>ROUND(I86*E86,2)</f>
        <v/>
      </c>
    </row>
    <row r="87" outlineLevel="1" ht="25.5" customFormat="1" customHeight="1" s="315">
      <c r="A87" s="372" t="n">
        <v>59</v>
      </c>
      <c r="B87" s="372" t="inlineStr">
        <is>
          <t>01.3.03.05-0002</t>
        </is>
      </c>
      <c r="C87" s="381" t="inlineStr">
        <is>
          <t>Кислота серная аккумуляторная, сорт высший</t>
        </is>
      </c>
      <c r="D87" s="372" t="inlineStr">
        <is>
          <t>т</t>
        </is>
      </c>
      <c r="E87" s="454" t="n">
        <v>0.008</v>
      </c>
      <c r="F87" s="383" t="n">
        <v>6720</v>
      </c>
      <c r="G87" s="306">
        <f>ROUND(E87*F87,2)</f>
        <v/>
      </c>
      <c r="H87" s="229">
        <f>G87/$G$141</f>
        <v/>
      </c>
      <c r="I87" s="306">
        <f>ROUND(F87*Прил.10!$D$13,2)</f>
        <v/>
      </c>
      <c r="J87" s="306">
        <f>ROUND(I87*E87,2)</f>
        <v/>
      </c>
    </row>
    <row r="88" outlineLevel="1" ht="14.25" customFormat="1" customHeight="1" s="315">
      <c r="A88" s="372" t="n">
        <v>60</v>
      </c>
      <c r="B88" s="372" t="inlineStr">
        <is>
          <t>20.2.08.07-0033</t>
        </is>
      </c>
      <c r="C88" s="381" t="inlineStr">
        <is>
          <t>Скоба У1078</t>
        </is>
      </c>
      <c r="D88" s="372" t="inlineStr">
        <is>
          <t>100 шт</t>
        </is>
      </c>
      <c r="E88" s="454" t="n">
        <v>0.07920000000000001</v>
      </c>
      <c r="F88" s="383" t="n">
        <v>617</v>
      </c>
      <c r="G88" s="306">
        <f>ROUND(E88*F88,2)</f>
        <v/>
      </c>
      <c r="H88" s="229">
        <f>G88/$G$141</f>
        <v/>
      </c>
      <c r="I88" s="306">
        <f>ROUND(F88*Прил.10!$D$13,2)</f>
        <v/>
      </c>
      <c r="J88" s="306">
        <f>ROUND(I88*E88,2)</f>
        <v/>
      </c>
    </row>
    <row r="89" outlineLevel="1" ht="14.25" customFormat="1" customHeight="1" s="315">
      <c r="A89" s="372" t="n">
        <v>61</v>
      </c>
      <c r="B89" s="372" t="inlineStr">
        <is>
          <t>14.4.02.09-0001</t>
        </is>
      </c>
      <c r="C89" s="381" t="inlineStr">
        <is>
          <t>Краска</t>
        </is>
      </c>
      <c r="D89" s="372" t="inlineStr">
        <is>
          <t>кг</t>
        </is>
      </c>
      <c r="E89" s="454" t="n">
        <v>1.6</v>
      </c>
      <c r="F89" s="383" t="n">
        <v>28.6</v>
      </c>
      <c r="G89" s="306">
        <f>ROUND(E89*F89,2)</f>
        <v/>
      </c>
      <c r="H89" s="229">
        <f>G89/$G$141</f>
        <v/>
      </c>
      <c r="I89" s="306">
        <f>ROUND(F89*Прил.10!$D$13,2)</f>
        <v/>
      </c>
      <c r="J89" s="306">
        <f>ROUND(I89*E89,2)</f>
        <v/>
      </c>
    </row>
    <row r="90" outlineLevel="1" ht="38.25" customFormat="1" customHeight="1" s="315">
      <c r="A90" s="372" t="n">
        <v>62</v>
      </c>
      <c r="B90" s="372" t="inlineStr">
        <is>
          <t>01.7.06.05-0041</t>
        </is>
      </c>
      <c r="C90" s="381" t="inlineStr">
        <is>
          <t>Лента изоляционная прорезиненная односторонняя, ширина 20 мм, толщина 0,25-0,35 мм</t>
        </is>
      </c>
      <c r="D90" s="372" t="inlineStr">
        <is>
          <t>кг</t>
        </is>
      </c>
      <c r="E90" s="454" t="n">
        <v>1.246</v>
      </c>
      <c r="F90" s="383" t="n">
        <v>30.4</v>
      </c>
      <c r="G90" s="306">
        <f>ROUND(E90*F90,2)</f>
        <v/>
      </c>
      <c r="H90" s="229">
        <f>G90/$G$141</f>
        <v/>
      </c>
      <c r="I90" s="306">
        <f>ROUND(F90*Прил.10!$D$13,2)</f>
        <v/>
      </c>
      <c r="J90" s="306">
        <f>ROUND(I90*E90,2)</f>
        <v/>
      </c>
    </row>
    <row r="91" outlineLevel="1" ht="14.25" customFormat="1" customHeight="1" s="315">
      <c r="A91" s="372" t="n">
        <v>63</v>
      </c>
      <c r="B91" s="372" t="inlineStr">
        <is>
          <t>01.7.06.07-0002</t>
        </is>
      </c>
      <c r="C91" s="381" t="inlineStr">
        <is>
          <t>Лента монтажная, тип ЛМ-5</t>
        </is>
      </c>
      <c r="D91" s="372" t="inlineStr">
        <is>
          <t>10 м</t>
        </is>
      </c>
      <c r="E91" s="454" t="n">
        <v>5.4084</v>
      </c>
      <c r="F91" s="383" t="n">
        <v>6.9</v>
      </c>
      <c r="G91" s="306">
        <f>ROUND(E91*F91,2)</f>
        <v/>
      </c>
      <c r="H91" s="229">
        <f>G91/$G$141</f>
        <v/>
      </c>
      <c r="I91" s="306">
        <f>ROUND(F91*Прил.10!$D$13,2)</f>
        <v/>
      </c>
      <c r="J91" s="306">
        <f>ROUND(I91*E91,2)</f>
        <v/>
      </c>
    </row>
    <row r="92" outlineLevel="1" ht="14.25" customFormat="1" customHeight="1" s="315">
      <c r="A92" s="372" t="n">
        <v>64</v>
      </c>
      <c r="B92" s="372" t="inlineStr">
        <is>
          <t>01.7.15.13-0002</t>
        </is>
      </c>
      <c r="C92" s="381" t="inlineStr">
        <is>
          <t>Шплинты проволочные</t>
        </is>
      </c>
      <c r="D92" s="372" t="inlineStr">
        <is>
          <t>кг</t>
        </is>
      </c>
      <c r="E92" s="454" t="n">
        <v>2.4</v>
      </c>
      <c r="F92" s="383" t="n">
        <v>12.66</v>
      </c>
      <c r="G92" s="306">
        <f>ROUND(E92*F92,2)</f>
        <v/>
      </c>
      <c r="H92" s="229">
        <f>G92/$G$141</f>
        <v/>
      </c>
      <c r="I92" s="306">
        <f>ROUND(F92*Прил.10!$D$13,2)</f>
        <v/>
      </c>
      <c r="J92" s="306">
        <f>ROUND(I92*E92,2)</f>
        <v/>
      </c>
    </row>
    <row r="93" outlineLevel="1" ht="14.25" customFormat="1" customHeight="1" s="315">
      <c r="A93" s="372" t="n">
        <v>65</v>
      </c>
      <c r="B93" s="372" t="inlineStr">
        <is>
          <t>14.4.04.09-0017</t>
        </is>
      </c>
      <c r="C93" s="381" t="inlineStr">
        <is>
          <t>Эмаль ХВ-124, защитная, зеленая</t>
        </is>
      </c>
      <c r="D93" s="372" t="inlineStr">
        <is>
          <t>т</t>
        </is>
      </c>
      <c r="E93" s="454" t="n">
        <v>0.00107</v>
      </c>
      <c r="F93" s="383" t="n">
        <v>28300.4</v>
      </c>
      <c r="G93" s="306">
        <f>ROUND(E93*F93,2)</f>
        <v/>
      </c>
      <c r="H93" s="229">
        <f>G93/$G$141</f>
        <v/>
      </c>
      <c r="I93" s="306">
        <f>ROUND(F93*Прил.10!$D$13,2)</f>
        <v/>
      </c>
      <c r="J93" s="306">
        <f>ROUND(I93*E93,2)</f>
        <v/>
      </c>
    </row>
    <row r="94" outlineLevel="1" ht="38.25" customFormat="1" customHeight="1" s="315">
      <c r="A94" s="372" t="n">
        <v>66</v>
      </c>
      <c r="B94" s="372" t="inlineStr">
        <is>
          <t>08.3.07.01-0076</t>
        </is>
      </c>
      <c r="C94" s="381" t="inlineStr">
        <is>
          <t>Прокат полосовой, горячекатаный, марка стали Ст3сп, ширина 50-200 мм, толщина 4-5 мм</t>
        </is>
      </c>
      <c r="D94" s="372" t="inlineStr">
        <is>
          <t>т</t>
        </is>
      </c>
      <c r="E94" s="454" t="n">
        <v>0.006</v>
      </c>
      <c r="F94" s="383" t="n">
        <v>5000</v>
      </c>
      <c r="G94" s="306">
        <f>ROUND(E94*F94,2)</f>
        <v/>
      </c>
      <c r="H94" s="229">
        <f>G94/$G$141</f>
        <v/>
      </c>
      <c r="I94" s="306">
        <f>ROUND(F94*Прил.10!$D$13,2)</f>
        <v/>
      </c>
      <c r="J94" s="306">
        <f>ROUND(I94*E94,2)</f>
        <v/>
      </c>
    </row>
    <row r="95" outlineLevel="1" ht="25.5" customFormat="1" customHeight="1" s="315">
      <c r="A95" s="372" t="n">
        <v>67</v>
      </c>
      <c r="B95" s="372" t="inlineStr">
        <is>
          <t>14.4.03.08-0001</t>
        </is>
      </c>
      <c r="C95" s="381" t="inlineStr">
        <is>
          <t>Лак пропиточный без растворителей АС-9115</t>
        </is>
      </c>
      <c r="D95" s="372" t="inlineStr">
        <is>
          <t>т</t>
        </is>
      </c>
      <c r="E95" s="454" t="n">
        <v>0.00052</v>
      </c>
      <c r="F95" s="383" t="n">
        <v>52539.7</v>
      </c>
      <c r="G95" s="306">
        <f>ROUND(E95*F95,2)</f>
        <v/>
      </c>
      <c r="H95" s="229">
        <f>G95/$G$141</f>
        <v/>
      </c>
      <c r="I95" s="306">
        <f>ROUND(F95*Прил.10!$D$13,2)</f>
        <v/>
      </c>
      <c r="J95" s="306">
        <f>ROUND(I95*E95,2)</f>
        <v/>
      </c>
    </row>
    <row r="96" outlineLevel="1" ht="14.25" customFormat="1" customHeight="1" s="315">
      <c r="A96" s="372" t="n">
        <v>68</v>
      </c>
      <c r="B96" s="372" t="inlineStr">
        <is>
          <t>01.7.15.07-0031</t>
        </is>
      </c>
      <c r="C96" s="381" t="inlineStr">
        <is>
          <t>Дюбели распорные с гайкой</t>
        </is>
      </c>
      <c r="D96" s="372" t="inlineStr">
        <is>
          <t>100 шт</t>
        </is>
      </c>
      <c r="E96" s="454" t="n">
        <v>0.24</v>
      </c>
      <c r="F96" s="383" t="n">
        <v>110</v>
      </c>
      <c r="G96" s="306">
        <f>ROUND(E96*F96,2)</f>
        <v/>
      </c>
      <c r="H96" s="229">
        <f>G96/$G$141</f>
        <v/>
      </c>
      <c r="I96" s="306">
        <f>ROUND(F96*Прил.10!$D$13,2)</f>
        <v/>
      </c>
      <c r="J96" s="306">
        <f>ROUND(I96*E96,2)</f>
        <v/>
      </c>
    </row>
    <row r="97" outlineLevel="1" ht="38.25" customFormat="1" customHeight="1" s="315">
      <c r="A97" s="372" t="n">
        <v>69</v>
      </c>
      <c r="B97" s="372" t="inlineStr">
        <is>
          <t>03.2.01.01-0003</t>
        </is>
      </c>
      <c r="C97" s="381" t="inlineStr">
        <is>
          <t>Портландцемент общестроительного назначения бездобавочный М500 Д0 (ЦЕМ I 42,5Н)</t>
        </is>
      </c>
      <c r="D97" s="372" t="inlineStr">
        <is>
          <t>т</t>
        </is>
      </c>
      <c r="E97" s="454" t="n">
        <v>0.054</v>
      </c>
      <c r="F97" s="383" t="n">
        <v>480</v>
      </c>
      <c r="G97" s="306">
        <f>ROUND(E97*F97,2)</f>
        <v/>
      </c>
      <c r="H97" s="229">
        <f>G97/$G$141</f>
        <v/>
      </c>
      <c r="I97" s="306">
        <f>ROUND(F97*Прил.10!$D$13,2)</f>
        <v/>
      </c>
      <c r="J97" s="306">
        <f>ROUND(I97*E97,2)</f>
        <v/>
      </c>
    </row>
    <row r="98" outlineLevel="1" ht="38.25" customFormat="1" customHeight="1" s="315">
      <c r="A98" s="372" t="n">
        <v>70</v>
      </c>
      <c r="B98" s="372" t="inlineStr">
        <is>
          <t>11.1.03.05-0081</t>
        </is>
      </c>
      <c r="C98" s="381" t="inlineStr">
        <is>
          <t>Доска необрезная, хвойных пород, длина 4-6,5 м, все ширины, толщина 32-40 мм, сорт III</t>
        </is>
      </c>
      <c r="D98" s="372" t="inlineStr">
        <is>
          <t>м3</t>
        </is>
      </c>
      <c r="E98" s="454" t="n">
        <v>0.031</v>
      </c>
      <c r="F98" s="383" t="n">
        <v>832.7</v>
      </c>
      <c r="G98" s="306">
        <f>ROUND(E98*F98,2)</f>
        <v/>
      </c>
      <c r="H98" s="229">
        <f>G98/$G$141</f>
        <v/>
      </c>
      <c r="I98" s="306">
        <f>ROUND(F98*Прил.10!$D$13,2)</f>
        <v/>
      </c>
      <c r="J98" s="306">
        <f>ROUND(I98*E98,2)</f>
        <v/>
      </c>
    </row>
    <row r="99" outlineLevel="1" ht="14.25" customFormat="1" customHeight="1" s="315">
      <c r="A99" s="372" t="n">
        <v>71</v>
      </c>
      <c r="B99" s="372" t="inlineStr">
        <is>
          <t>14.4.03.17-0011</t>
        </is>
      </c>
      <c r="C99" s="381" t="inlineStr">
        <is>
          <t>Лак электроизоляционный 318</t>
        </is>
      </c>
      <c r="D99" s="372" t="inlineStr">
        <is>
          <t>кг</t>
        </is>
      </c>
      <c r="E99" s="454" t="n">
        <v>0.65</v>
      </c>
      <c r="F99" s="383" t="n">
        <v>35.63</v>
      </c>
      <c r="G99" s="306">
        <f>ROUND(E99*F99,2)</f>
        <v/>
      </c>
      <c r="H99" s="229">
        <f>G99/$G$141</f>
        <v/>
      </c>
      <c r="I99" s="306">
        <f>ROUND(F99*Прил.10!$D$13,2)</f>
        <v/>
      </c>
      <c r="J99" s="306">
        <f>ROUND(I99*E99,2)</f>
        <v/>
      </c>
    </row>
    <row r="100" outlineLevel="1" ht="38.25" customFormat="1" customHeight="1" s="315">
      <c r="A100" s="372" t="n">
        <v>72</v>
      </c>
      <c r="B100" s="372" t="inlineStr">
        <is>
          <t>14.4.02.04-0221</t>
        </is>
      </c>
      <c r="C100" s="381" t="inlineStr">
        <is>
          <t>Краска масляная готовая к применению для наружных и внутренних работ МА-15, белила цинковые</t>
        </is>
      </c>
      <c r="D100" s="372" t="inlineStr">
        <is>
          <t>т</t>
        </is>
      </c>
      <c r="E100" s="454" t="n">
        <v>0.00084</v>
      </c>
      <c r="F100" s="383" t="n">
        <v>26932.42</v>
      </c>
      <c r="G100" s="306">
        <f>ROUND(E100*F100,2)</f>
        <v/>
      </c>
      <c r="H100" s="229">
        <f>G100/$G$141</f>
        <v/>
      </c>
      <c r="I100" s="306">
        <f>ROUND(F100*Прил.10!$D$13,2)</f>
        <v/>
      </c>
      <c r="J100" s="306">
        <f>ROUND(I100*E100,2)</f>
        <v/>
      </c>
    </row>
    <row r="101" outlineLevel="1" ht="14.25" customFormat="1" customHeight="1" s="315">
      <c r="A101" s="372" t="n">
        <v>73</v>
      </c>
      <c r="B101" s="372" t="inlineStr">
        <is>
          <t>14.4.03.03-0102</t>
        </is>
      </c>
      <c r="C101" s="381" t="inlineStr">
        <is>
          <t>Лак битумный БТ-577</t>
        </is>
      </c>
      <c r="D101" s="372" t="inlineStr">
        <is>
          <t>т</t>
        </is>
      </c>
      <c r="E101" s="454" t="n">
        <v>0.00236</v>
      </c>
      <c r="F101" s="383" t="n">
        <v>9550.01</v>
      </c>
      <c r="G101" s="306">
        <f>ROUND(E101*F101,2)</f>
        <v/>
      </c>
      <c r="H101" s="229">
        <f>G101/$G$141</f>
        <v/>
      </c>
      <c r="I101" s="306">
        <f>ROUND(F101*Прил.10!$D$13,2)</f>
        <v/>
      </c>
      <c r="J101" s="306">
        <f>ROUND(I101*E101,2)</f>
        <v/>
      </c>
    </row>
    <row r="102" outlineLevel="1" ht="14.25" customFormat="1" customHeight="1" s="315">
      <c r="A102" s="372" t="n">
        <v>74</v>
      </c>
      <c r="B102" s="372" t="inlineStr">
        <is>
          <t>08.1.02.04-0012</t>
        </is>
      </c>
      <c r="C102" s="381" t="inlineStr">
        <is>
          <t>Жесть белая, толщина 0,25 мм</t>
        </is>
      </c>
      <c r="D102" s="372" t="inlineStr">
        <is>
          <t>кг</t>
        </is>
      </c>
      <c r="E102" s="454" t="n">
        <v>2</v>
      </c>
      <c r="F102" s="383" t="n">
        <v>10.97</v>
      </c>
      <c r="G102" s="306">
        <f>ROUND(E102*F102,2)</f>
        <v/>
      </c>
      <c r="H102" s="229">
        <f>G102/$G$141</f>
        <v/>
      </c>
      <c r="I102" s="306">
        <f>ROUND(F102*Прил.10!$D$13,2)</f>
        <v/>
      </c>
      <c r="J102" s="306">
        <f>ROUND(I102*E102,2)</f>
        <v/>
      </c>
    </row>
    <row r="103" outlineLevel="1" ht="25.5" customFormat="1" customHeight="1" s="315">
      <c r="A103" s="372" t="n">
        <v>75</v>
      </c>
      <c r="B103" s="372" t="inlineStr">
        <is>
          <t>14.4.04.04-0007</t>
        </is>
      </c>
      <c r="C103" s="381" t="inlineStr">
        <is>
          <t>Эмаль кремнийорганическая КО-811, черная</t>
        </is>
      </c>
      <c r="D103" s="372" t="inlineStr">
        <is>
          <t>т</t>
        </is>
      </c>
      <c r="E103" s="454" t="n">
        <v>0.00025</v>
      </c>
      <c r="F103" s="383" t="n">
        <v>74841.67</v>
      </c>
      <c r="G103" s="306">
        <f>ROUND(E103*F103,2)</f>
        <v/>
      </c>
      <c r="H103" s="229">
        <f>G103/$G$141</f>
        <v/>
      </c>
      <c r="I103" s="306">
        <f>ROUND(F103*Прил.10!$D$13,2)</f>
        <v/>
      </c>
      <c r="J103" s="306">
        <f>ROUND(I103*E103,2)</f>
        <v/>
      </c>
    </row>
    <row r="104" outlineLevel="1" ht="25.5" customFormat="1" customHeight="1" s="315">
      <c r="A104" s="372" t="n">
        <v>76</v>
      </c>
      <c r="B104" s="372" t="inlineStr">
        <is>
          <t>01.7.19.04-0002</t>
        </is>
      </c>
      <c r="C104" s="381" t="inlineStr">
        <is>
          <t>Пластина резиновая рулонная вулканизированная</t>
        </is>
      </c>
      <c r="D104" s="372" t="inlineStr">
        <is>
          <t>кг</t>
        </is>
      </c>
      <c r="E104" s="454" t="n">
        <v>1.29</v>
      </c>
      <c r="F104" s="383" t="n">
        <v>13.56</v>
      </c>
      <c r="G104" s="306">
        <f>ROUND(E104*F104,2)</f>
        <v/>
      </c>
      <c r="H104" s="229">
        <f>G104/$G$141</f>
        <v/>
      </c>
      <c r="I104" s="306">
        <f>ROUND(F104*Прил.10!$D$13,2)</f>
        <v/>
      </c>
      <c r="J104" s="306">
        <f>ROUND(I104*E104,2)</f>
        <v/>
      </c>
    </row>
    <row r="105" outlineLevel="1" ht="14.25" customFormat="1" customHeight="1" s="315">
      <c r="A105" s="372" t="n">
        <v>77</v>
      </c>
      <c r="B105" s="372" t="inlineStr">
        <is>
          <t>01.7.11.07-0032</t>
        </is>
      </c>
      <c r="C105" s="381" t="inlineStr">
        <is>
          <t>Электроды сварочные Э42, диаметр 4 мм</t>
        </is>
      </c>
      <c r="D105" s="372" t="inlineStr">
        <is>
          <t>т</t>
        </is>
      </c>
      <c r="E105" s="454" t="n">
        <v>0.00168</v>
      </c>
      <c r="F105" s="383" t="n">
        <v>10315.01</v>
      </c>
      <c r="G105" s="306">
        <f>ROUND(E105*F105,2)</f>
        <v/>
      </c>
      <c r="H105" s="229">
        <f>G105/$G$141</f>
        <v/>
      </c>
      <c r="I105" s="306">
        <f>ROUND(F105*Прил.10!$D$13,2)</f>
        <v/>
      </c>
      <c r="J105" s="306">
        <f>ROUND(I105*E105,2)</f>
        <v/>
      </c>
    </row>
    <row r="106" outlineLevel="1" ht="14.25" customFormat="1" customHeight="1" s="315">
      <c r="A106" s="372" t="n">
        <v>78</v>
      </c>
      <c r="B106" s="372" t="inlineStr">
        <is>
          <t>14.4.03.11-0005</t>
        </is>
      </c>
      <c r="C106" s="381" t="inlineStr">
        <is>
          <t>Лак нитроцеллюлозный НЦ-62</t>
        </is>
      </c>
      <c r="D106" s="372" t="inlineStr">
        <is>
          <t>т</t>
        </is>
      </c>
      <c r="E106" s="454" t="n">
        <v>0.00062</v>
      </c>
      <c r="F106" s="383" t="n">
        <v>27921.97</v>
      </c>
      <c r="G106" s="306">
        <f>ROUND(E106*F106,2)</f>
        <v/>
      </c>
      <c r="H106" s="229">
        <f>G106/$G$141</f>
        <v/>
      </c>
      <c r="I106" s="306">
        <f>ROUND(F106*Прил.10!$D$13,2)</f>
        <v/>
      </c>
      <c r="J106" s="306">
        <f>ROUND(I106*E106,2)</f>
        <v/>
      </c>
    </row>
    <row r="107" outlineLevel="1" ht="14.25" customFormat="1" customHeight="1" s="315">
      <c r="A107" s="372" t="n">
        <v>79</v>
      </c>
      <c r="B107" s="372" t="inlineStr">
        <is>
          <t>01.7.15.07-0007</t>
        </is>
      </c>
      <c r="C107" s="381" t="inlineStr">
        <is>
          <t>Дюбели пластмассовые, диаметр 14 мм</t>
        </is>
      </c>
      <c r="D107" s="372" t="inlineStr">
        <is>
          <t>100 шт</t>
        </is>
      </c>
      <c r="E107" s="454" t="n">
        <v>0.65</v>
      </c>
      <c r="F107" s="383" t="n">
        <v>26.6</v>
      </c>
      <c r="G107" s="306">
        <f>ROUND(E107*F107,2)</f>
        <v/>
      </c>
      <c r="H107" s="229">
        <f>G107/$G$141</f>
        <v/>
      </c>
      <c r="I107" s="306">
        <f>ROUND(F107*Прил.10!$D$13,2)</f>
        <v/>
      </c>
      <c r="J107" s="306">
        <f>ROUND(I107*E107,2)</f>
        <v/>
      </c>
    </row>
    <row r="108" outlineLevel="1" ht="25.5" customFormat="1" customHeight="1" s="315">
      <c r="A108" s="372" t="n">
        <v>80</v>
      </c>
      <c r="B108" s="372" t="inlineStr">
        <is>
          <t>10.3.02.03-0028</t>
        </is>
      </c>
      <c r="C108" s="381" t="inlineStr">
        <is>
          <t>Припои оловянно-свинцовые малосурьмянистые, марка ПОССу 61-0,5</t>
        </is>
      </c>
      <c r="D108" s="372" t="inlineStr">
        <is>
          <t>кг</t>
        </is>
      </c>
      <c r="E108" s="454" t="n">
        <v>0.1328</v>
      </c>
      <c r="F108" s="383" t="n">
        <v>125.46</v>
      </c>
      <c r="G108" s="306">
        <f>ROUND(E108*F108,2)</f>
        <v/>
      </c>
      <c r="H108" s="229">
        <f>G108/$G$141</f>
        <v/>
      </c>
      <c r="I108" s="306">
        <f>ROUND(F108*Прил.10!$D$13,2)</f>
        <v/>
      </c>
      <c r="J108" s="306">
        <f>ROUND(I108*E108,2)</f>
        <v/>
      </c>
    </row>
    <row r="109" outlineLevel="1" ht="25.5" customFormat="1" customHeight="1" s="315">
      <c r="A109" s="372" t="n">
        <v>81</v>
      </c>
      <c r="B109" s="372" t="inlineStr">
        <is>
          <t>01.7.15.04-0011</t>
        </is>
      </c>
      <c r="C109" s="381" t="inlineStr">
        <is>
          <t>Винты с полукруглой головкой, длина 50 мм</t>
        </is>
      </c>
      <c r="D109" s="372" t="inlineStr">
        <is>
          <t>т</t>
        </is>
      </c>
      <c r="E109" s="454" t="n">
        <v>0.001236</v>
      </c>
      <c r="F109" s="383" t="n">
        <v>12430</v>
      </c>
      <c r="G109" s="306">
        <f>ROUND(E109*F109,2)</f>
        <v/>
      </c>
      <c r="H109" s="229">
        <f>G109/$G$141</f>
        <v/>
      </c>
      <c r="I109" s="306">
        <f>ROUND(F109*Прил.10!$D$13,2)</f>
        <v/>
      </c>
      <c r="J109" s="306">
        <f>ROUND(I109*E109,2)</f>
        <v/>
      </c>
    </row>
    <row r="110" outlineLevel="1" ht="14.25" customFormat="1" customHeight="1" s="315">
      <c r="A110" s="372" t="n">
        <v>82</v>
      </c>
      <c r="B110" s="372" t="inlineStr">
        <is>
          <t>01.7.20.03-0012</t>
        </is>
      </c>
      <c r="C110" s="381" t="inlineStr">
        <is>
          <t>Мешковина джутовая</t>
        </is>
      </c>
      <c r="D110" s="372" t="inlineStr">
        <is>
          <t>м2</t>
        </is>
      </c>
      <c r="E110" s="454" t="n">
        <v>1.8</v>
      </c>
      <c r="F110" s="383" t="n">
        <v>8.33</v>
      </c>
      <c r="G110" s="306">
        <f>ROUND(E110*F110,2)</f>
        <v/>
      </c>
      <c r="H110" s="229">
        <f>G110/$G$141</f>
        <v/>
      </c>
      <c r="I110" s="306">
        <f>ROUND(F110*Прил.10!$D$13,2)</f>
        <v/>
      </c>
      <c r="J110" s="306">
        <f>ROUND(I110*E110,2)</f>
        <v/>
      </c>
    </row>
    <row r="111" outlineLevel="1" ht="14.25" customFormat="1" customHeight="1" s="315">
      <c r="A111" s="372" t="n">
        <v>83</v>
      </c>
      <c r="B111" s="372" t="inlineStr">
        <is>
          <t>01.7.15.14-0168</t>
        </is>
      </c>
      <c r="C111" s="381" t="inlineStr">
        <is>
          <t>Шурупы с полукруглой головкой 5х70 мм</t>
        </is>
      </c>
      <c r="D111" s="372" t="inlineStr">
        <is>
          <t>т</t>
        </is>
      </c>
      <c r="E111" s="454" t="n">
        <v>0.0012</v>
      </c>
      <c r="F111" s="383" t="n">
        <v>12430</v>
      </c>
      <c r="G111" s="306">
        <f>ROUND(E111*F111,2)</f>
        <v/>
      </c>
      <c r="H111" s="229">
        <f>G111/$G$141</f>
        <v/>
      </c>
      <c r="I111" s="306">
        <f>ROUND(F111*Прил.10!$D$13,2)</f>
        <v/>
      </c>
      <c r="J111" s="306">
        <f>ROUND(I111*E111,2)</f>
        <v/>
      </c>
    </row>
    <row r="112" outlineLevel="1" ht="14.25" customFormat="1" customHeight="1" s="315">
      <c r="A112" s="372" t="n">
        <v>84</v>
      </c>
      <c r="B112" s="372" t="inlineStr">
        <is>
          <t>24.3.01.01-0002</t>
        </is>
      </c>
      <c r="C112" s="381" t="inlineStr">
        <is>
          <t>Трубка полихлорвиниловая</t>
        </is>
      </c>
      <c r="D112" s="372" t="inlineStr">
        <is>
          <t>кг</t>
        </is>
      </c>
      <c r="E112" s="454" t="n">
        <v>0.4036</v>
      </c>
      <c r="F112" s="383" t="n">
        <v>35.7</v>
      </c>
      <c r="G112" s="306">
        <f>ROUND(E112*F112,2)</f>
        <v/>
      </c>
      <c r="H112" s="229">
        <f>G112/$G$141</f>
        <v/>
      </c>
      <c r="I112" s="306">
        <f>ROUND(F112*Прил.10!$D$13,2)</f>
        <v/>
      </c>
      <c r="J112" s="306">
        <f>ROUND(I112*E112,2)</f>
        <v/>
      </c>
    </row>
    <row r="113" outlineLevel="1" ht="14.25" customFormat="1" customHeight="1" s="315">
      <c r="A113" s="372" t="n">
        <v>85</v>
      </c>
      <c r="B113" s="372" t="inlineStr">
        <is>
          <t>14.4.01.01-0003</t>
        </is>
      </c>
      <c r="C113" s="381" t="inlineStr">
        <is>
          <t>Грунтовка ГФ-021</t>
        </is>
      </c>
      <c r="D113" s="372" t="inlineStr">
        <is>
          <t>т</t>
        </is>
      </c>
      <c r="E113" s="454" t="n">
        <v>0.00088</v>
      </c>
      <c r="F113" s="383" t="n">
        <v>15620</v>
      </c>
      <c r="G113" s="306">
        <f>ROUND(E113*F113,2)</f>
        <v/>
      </c>
      <c r="H113" s="229">
        <f>G113/$G$141</f>
        <v/>
      </c>
      <c r="I113" s="306">
        <f>ROUND(F113*Прил.10!$D$13,2)</f>
        <v/>
      </c>
      <c r="J113" s="306">
        <f>ROUND(I113*E113,2)</f>
        <v/>
      </c>
    </row>
    <row r="114" outlineLevel="1" ht="14.25" customFormat="1" customHeight="1" s="315">
      <c r="A114" s="372" t="n">
        <v>86</v>
      </c>
      <c r="B114" s="372" t="inlineStr">
        <is>
          <t>10.1.01.02-0011</t>
        </is>
      </c>
      <c r="C114" s="381" t="inlineStr">
        <is>
          <t>Сплавы алюминиевые литейные АК5М2</t>
        </is>
      </c>
      <c r="D114" s="372" t="inlineStr">
        <is>
          <t>т</t>
        </is>
      </c>
      <c r="E114" s="454" t="n">
        <v>0.00024</v>
      </c>
      <c r="F114" s="383" t="n">
        <v>41210</v>
      </c>
      <c r="G114" s="306">
        <f>ROUND(E114*F114,2)</f>
        <v/>
      </c>
      <c r="H114" s="229">
        <f>G114/$G$141</f>
        <v/>
      </c>
      <c r="I114" s="306">
        <f>ROUND(F114*Прил.10!$D$13,2)</f>
        <v/>
      </c>
      <c r="J114" s="306">
        <f>ROUND(I114*E114,2)</f>
        <v/>
      </c>
    </row>
    <row r="115" outlineLevel="1" ht="14.25" customFormat="1" customHeight="1" s="315">
      <c r="A115" s="372" t="n">
        <v>87</v>
      </c>
      <c r="B115" s="372" t="inlineStr">
        <is>
          <t>01.3.01.05-0009</t>
        </is>
      </c>
      <c r="C115" s="381" t="inlineStr">
        <is>
          <t>Парафин нефтяной твердый Т-1</t>
        </is>
      </c>
      <c r="D115" s="372" t="inlineStr">
        <is>
          <t>т</t>
        </is>
      </c>
      <c r="E115" s="454" t="n">
        <v>0.00102</v>
      </c>
      <c r="F115" s="383" t="n">
        <v>8105.71</v>
      </c>
      <c r="G115" s="306">
        <f>ROUND(E115*F115,2)</f>
        <v/>
      </c>
      <c r="H115" s="229">
        <f>G115/$G$141</f>
        <v/>
      </c>
      <c r="I115" s="306">
        <f>ROUND(F115*Прил.10!$D$13,2)</f>
        <v/>
      </c>
      <c r="J115" s="306">
        <f>ROUND(I115*E115,2)</f>
        <v/>
      </c>
    </row>
    <row r="116" outlineLevel="1" ht="14.25" customFormat="1" customHeight="1" s="315">
      <c r="A116" s="372" t="n">
        <v>88</v>
      </c>
      <c r="B116" s="372" t="inlineStr">
        <is>
          <t>03.1.01.01-0002</t>
        </is>
      </c>
      <c r="C116" s="381" t="inlineStr">
        <is>
          <t>Гипс строительный Г-3</t>
        </is>
      </c>
      <c r="D116" s="372" t="inlineStr">
        <is>
          <t>т</t>
        </is>
      </c>
      <c r="E116" s="454" t="n">
        <v>0.0102315</v>
      </c>
      <c r="F116" s="383" t="n">
        <v>729.98</v>
      </c>
      <c r="G116" s="306">
        <f>ROUND(E116*F116,2)</f>
        <v/>
      </c>
      <c r="H116" s="229">
        <f>G116/$G$141</f>
        <v/>
      </c>
      <c r="I116" s="306">
        <f>ROUND(F116*Прил.10!$D$13,2)</f>
        <v/>
      </c>
      <c r="J116" s="306">
        <f>ROUND(I116*E116,2)</f>
        <v/>
      </c>
    </row>
    <row r="117" outlineLevel="1" ht="14.25" customFormat="1" customHeight="1" s="315">
      <c r="A117" s="372" t="n">
        <v>89</v>
      </c>
      <c r="B117" s="372" t="inlineStr">
        <is>
          <t>22.2.02.15-0001</t>
        </is>
      </c>
      <c r="C117" s="381" t="inlineStr">
        <is>
          <t>Скрепы 10х2 мм</t>
        </is>
      </c>
      <c r="D117" s="372" t="inlineStr">
        <is>
          <t>кг</t>
        </is>
      </c>
      <c r="E117" s="454" t="n">
        <v>0.46</v>
      </c>
      <c r="F117" s="383" t="n">
        <v>15.37</v>
      </c>
      <c r="G117" s="306">
        <f>ROUND(E117*F117,2)</f>
        <v/>
      </c>
      <c r="H117" s="229">
        <f>G117/$G$141</f>
        <v/>
      </c>
      <c r="I117" s="306">
        <f>ROUND(F117*Прил.10!$D$13,2)</f>
        <v/>
      </c>
      <c r="J117" s="306">
        <f>ROUND(I117*E117,2)</f>
        <v/>
      </c>
    </row>
    <row r="118" outlineLevel="1" ht="25.5" customFormat="1" customHeight="1" s="315">
      <c r="A118" s="372" t="n">
        <v>90</v>
      </c>
      <c r="B118" s="372" t="inlineStr">
        <is>
          <t>01.7.15.03-0031</t>
        </is>
      </c>
      <c r="C118" s="381" t="inlineStr">
        <is>
          <t>Болты с гайками и шайбами оцинкованные, диаметр 6 мм</t>
        </is>
      </c>
      <c r="D118" s="372" t="inlineStr">
        <is>
          <t>кг</t>
        </is>
      </c>
      <c r="E118" s="454" t="n">
        <v>0.23</v>
      </c>
      <c r="F118" s="383" t="n">
        <v>28.22</v>
      </c>
      <c r="G118" s="306">
        <f>ROUND(E118*F118,2)</f>
        <v/>
      </c>
      <c r="H118" s="229">
        <f>G118/$G$141</f>
        <v/>
      </c>
      <c r="I118" s="306">
        <f>ROUND(F118*Прил.10!$D$13,2)</f>
        <v/>
      </c>
      <c r="J118" s="306">
        <f>ROUND(I118*E118,2)</f>
        <v/>
      </c>
    </row>
    <row r="119" outlineLevel="1" ht="14.25" customFormat="1" customHeight="1" s="315">
      <c r="A119" s="372" t="n">
        <v>91</v>
      </c>
      <c r="B119" s="372" t="inlineStr">
        <is>
          <t>01.7.11.06-0028</t>
        </is>
      </c>
      <c r="C119" s="381" t="inlineStr">
        <is>
          <t>Флюс ФКДТ</t>
        </is>
      </c>
      <c r="D119" s="372" t="inlineStr">
        <is>
          <t>кг</t>
        </is>
      </c>
      <c r="E119" s="454" t="n">
        <v>0.046</v>
      </c>
      <c r="F119" s="383" t="n">
        <v>138.76</v>
      </c>
      <c r="G119" s="306">
        <f>ROUND(E119*F119,2)</f>
        <v/>
      </c>
      <c r="H119" s="229">
        <f>G119/$G$141</f>
        <v/>
      </c>
      <c r="I119" s="306">
        <f>ROUND(F119*Прил.10!$D$13,2)</f>
        <v/>
      </c>
      <c r="J119" s="306">
        <f>ROUND(I119*E119,2)</f>
        <v/>
      </c>
    </row>
    <row r="120" outlineLevel="1" ht="25.5" customFormat="1" customHeight="1" s="315">
      <c r="A120" s="372" t="n">
        <v>92</v>
      </c>
      <c r="B120" s="372" t="inlineStr">
        <is>
          <t>14.3.02.01-0219</t>
        </is>
      </c>
      <c r="C120" s="381" t="inlineStr">
        <is>
          <t>Краска универсальная, акриловая для внутренних и наружных работ</t>
        </is>
      </c>
      <c r="D120" s="372" t="inlineStr">
        <is>
          <t>т</t>
        </is>
      </c>
      <c r="E120" s="454" t="n">
        <v>0.0004</v>
      </c>
      <c r="F120" s="383" t="n">
        <v>15481</v>
      </c>
      <c r="G120" s="306">
        <f>ROUND(E120*F120,2)</f>
        <v/>
      </c>
      <c r="H120" s="229">
        <f>G120/$G$141</f>
        <v/>
      </c>
      <c r="I120" s="306">
        <f>ROUND(F120*Прил.10!$D$13,2)</f>
        <v/>
      </c>
      <c r="J120" s="306">
        <f>ROUND(I120*E120,2)</f>
        <v/>
      </c>
    </row>
    <row r="121" outlineLevel="1" ht="14.25" customFormat="1" customHeight="1" s="315">
      <c r="A121" s="372" t="n">
        <v>93</v>
      </c>
      <c r="B121" s="372" t="inlineStr">
        <is>
          <t>14.5.09.07-0030</t>
        </is>
      </c>
      <c r="C121" s="381" t="inlineStr">
        <is>
          <t>Растворитель Р-4</t>
        </is>
      </c>
      <c r="D121" s="372" t="inlineStr">
        <is>
          <t>кг</t>
        </is>
      </c>
      <c r="E121" s="454" t="n">
        <v>0.65</v>
      </c>
      <c r="F121" s="383" t="n">
        <v>9.42</v>
      </c>
      <c r="G121" s="306">
        <f>ROUND(E121*F121,2)</f>
        <v/>
      </c>
      <c r="H121" s="229">
        <f>G121/$G$141</f>
        <v/>
      </c>
      <c r="I121" s="306">
        <f>ROUND(F121*Прил.10!$D$13,2)</f>
        <v/>
      </c>
      <c r="J121" s="306">
        <f>ROUND(I121*E121,2)</f>
        <v/>
      </c>
    </row>
    <row r="122" outlineLevel="1" ht="25.5" customFormat="1" customHeight="1" s="315">
      <c r="A122" s="372" t="n">
        <v>94</v>
      </c>
      <c r="B122" s="372" t="inlineStr">
        <is>
          <t>14.4.02.09-0402</t>
        </is>
      </c>
      <c r="C122" s="381" t="inlineStr">
        <is>
          <t>Краска маркировочная для электротехнических изделий</t>
        </is>
      </c>
      <c r="D122" s="372" t="inlineStr">
        <is>
          <t>кг</t>
        </is>
      </c>
      <c r="E122" s="454" t="n">
        <v>0.083</v>
      </c>
      <c r="F122" s="383" t="n">
        <v>68.87</v>
      </c>
      <c r="G122" s="306">
        <f>ROUND(E122*F122,2)</f>
        <v/>
      </c>
      <c r="H122" s="229">
        <f>G122/$G$141</f>
        <v/>
      </c>
      <c r="I122" s="306">
        <f>ROUND(F122*Прил.10!$D$13,2)</f>
        <v/>
      </c>
      <c r="J122" s="306">
        <f>ROUND(I122*E122,2)</f>
        <v/>
      </c>
    </row>
    <row r="123" outlineLevel="1" ht="25.5" customFormat="1" customHeight="1" s="315">
      <c r="A123" s="372" t="n">
        <v>95</v>
      </c>
      <c r="B123" s="372" t="inlineStr">
        <is>
          <t>10.3.02.03-0013</t>
        </is>
      </c>
      <c r="C123" s="381" t="inlineStr">
        <is>
          <t>Припои оловянно-свинцовые бессурьмянистые, марка ПОС61</t>
        </is>
      </c>
      <c r="D123" s="372" t="inlineStr">
        <is>
          <t>т</t>
        </is>
      </c>
      <c r="E123" s="454" t="n">
        <v>4.62e-05</v>
      </c>
      <c r="F123" s="383" t="n">
        <v>114220</v>
      </c>
      <c r="G123" s="306">
        <f>ROUND(E123*F123,2)</f>
        <v/>
      </c>
      <c r="H123" s="229">
        <f>G123/$G$141</f>
        <v/>
      </c>
      <c r="I123" s="306">
        <f>ROUND(F123*Прил.10!$D$13,2)</f>
        <v/>
      </c>
      <c r="J123" s="306">
        <f>ROUND(I123*E123,2)</f>
        <v/>
      </c>
    </row>
    <row r="124" outlineLevel="1" ht="14.25" customFormat="1" customHeight="1" s="315">
      <c r="A124" s="372" t="n">
        <v>96</v>
      </c>
      <c r="B124" s="372" t="inlineStr">
        <is>
          <t>01.3.05.23-0061</t>
        </is>
      </c>
      <c r="C124" s="381" t="inlineStr">
        <is>
          <t>Натрий едкий марка ТД, технический</t>
        </is>
      </c>
      <c r="D124" s="372" t="inlineStr">
        <is>
          <t>т</t>
        </is>
      </c>
      <c r="E124" s="454" t="n">
        <v>0.00088</v>
      </c>
      <c r="F124" s="383" t="n">
        <v>5850</v>
      </c>
      <c r="G124" s="306">
        <f>ROUND(E124*F124,2)</f>
        <v/>
      </c>
      <c r="H124" s="229">
        <f>G124/$G$141</f>
        <v/>
      </c>
      <c r="I124" s="306">
        <f>ROUND(F124*Прил.10!$D$13,2)</f>
        <v/>
      </c>
      <c r="J124" s="306">
        <f>ROUND(I124*E124,2)</f>
        <v/>
      </c>
    </row>
    <row r="125" outlineLevel="1" ht="14.25" customFormat="1" customHeight="1" s="315">
      <c r="A125" s="372" t="n">
        <v>97</v>
      </c>
      <c r="B125" s="372" t="inlineStr">
        <is>
          <t>20.1.02.23-0082</t>
        </is>
      </c>
      <c r="C125" s="381" t="inlineStr">
        <is>
          <t>Перемычки гибкие, тип ПГС-50</t>
        </is>
      </c>
      <c r="D125" s="372" t="inlineStr">
        <is>
          <t>10 шт</t>
        </is>
      </c>
      <c r="E125" s="454" t="n">
        <v>0.1</v>
      </c>
      <c r="F125" s="383" t="n">
        <v>39</v>
      </c>
      <c r="G125" s="306">
        <f>ROUND(E125*F125,2)</f>
        <v/>
      </c>
      <c r="H125" s="229">
        <f>G125/$G$141</f>
        <v/>
      </c>
      <c r="I125" s="306">
        <f>ROUND(F125*Прил.10!$D$13,2)</f>
        <v/>
      </c>
      <c r="J125" s="306">
        <f>ROUND(I125*E125,2)</f>
        <v/>
      </c>
    </row>
    <row r="126" outlineLevel="1" ht="14.25" customFormat="1" customHeight="1" s="315">
      <c r="A126" s="372" t="n">
        <v>98</v>
      </c>
      <c r="B126" s="372" t="inlineStr">
        <is>
          <t>24.3.01.01-0001</t>
        </is>
      </c>
      <c r="C126" s="381" t="inlineStr">
        <is>
          <t>Трубка ХВТ</t>
        </is>
      </c>
      <c r="D126" s="372" t="inlineStr">
        <is>
          <t>кг</t>
        </is>
      </c>
      <c r="E126" s="454" t="n">
        <v>0.07000000000000001</v>
      </c>
      <c r="F126" s="383" t="n">
        <v>41.7</v>
      </c>
      <c r="G126" s="306">
        <f>ROUND(E126*F126,2)</f>
        <v/>
      </c>
      <c r="H126" s="229">
        <f>G126/$G$141</f>
        <v/>
      </c>
      <c r="I126" s="306">
        <f>ROUND(F126*Прил.10!$D$13,2)</f>
        <v/>
      </c>
      <c r="J126" s="306">
        <f>ROUND(I126*E126,2)</f>
        <v/>
      </c>
    </row>
    <row r="127" outlineLevel="1" ht="14.25" customFormat="1" customHeight="1" s="315">
      <c r="A127" s="372" t="n">
        <v>99</v>
      </c>
      <c r="B127" s="372" t="inlineStr">
        <is>
          <t>01.7.15.14-0161</t>
        </is>
      </c>
      <c r="C127" s="381" t="inlineStr">
        <is>
          <t>Шурупы с полукруглой головкой 2,5х20 мм</t>
        </is>
      </c>
      <c r="D127" s="372" t="inlineStr">
        <is>
          <t>т</t>
        </is>
      </c>
      <c r="E127" s="454" t="n">
        <v>9.6e-05</v>
      </c>
      <c r="F127" s="383" t="n">
        <v>29800</v>
      </c>
      <c r="G127" s="306">
        <f>ROUND(E127*F127,2)</f>
        <v/>
      </c>
      <c r="H127" s="229">
        <f>G127/$G$141</f>
        <v/>
      </c>
      <c r="I127" s="306">
        <f>ROUND(F127*Прил.10!$D$13,2)</f>
        <v/>
      </c>
      <c r="J127" s="306">
        <f>ROUND(I127*E127,2)</f>
        <v/>
      </c>
    </row>
    <row r="128" outlineLevel="1" ht="25.5" customFormat="1" customHeight="1" s="315">
      <c r="A128" s="372" t="n">
        <v>100</v>
      </c>
      <c r="B128" s="372" t="inlineStr">
        <is>
          <t>02.3.01.02-1012</t>
        </is>
      </c>
      <c r="C128" s="381" t="inlineStr">
        <is>
          <t>Песок природный II класс, средний, круглые сита</t>
        </is>
      </c>
      <c r="D128" s="372" t="inlineStr">
        <is>
          <t>м3</t>
        </is>
      </c>
      <c r="E128" s="454" t="n">
        <v>0.045</v>
      </c>
      <c r="F128" s="383" t="n">
        <v>59.99</v>
      </c>
      <c r="G128" s="306">
        <f>ROUND(E128*F128,2)</f>
        <v/>
      </c>
      <c r="H128" s="229">
        <f>G128/$G$141</f>
        <v/>
      </c>
      <c r="I128" s="306">
        <f>ROUND(F128*Прил.10!$D$13,2)</f>
        <v/>
      </c>
      <c r="J128" s="306">
        <f>ROUND(I128*E128,2)</f>
        <v/>
      </c>
    </row>
    <row r="129" outlineLevel="1" ht="25.5" customFormat="1" customHeight="1" s="315">
      <c r="A129" s="372" t="n">
        <v>101</v>
      </c>
      <c r="B129" s="372" t="inlineStr">
        <is>
          <t>01.7.06.03-0004</t>
        </is>
      </c>
      <c r="C129" s="381" t="inlineStr">
        <is>
          <t>Лента поливинилхлоридная техническая с липким слоем, толщина 0,4 мм</t>
        </is>
      </c>
      <c r="D129" s="372" t="inlineStr">
        <is>
          <t>кг</t>
        </is>
      </c>
      <c r="E129" s="454" t="n">
        <v>0.08400000000000001</v>
      </c>
      <c r="F129" s="383" t="n">
        <v>21.3</v>
      </c>
      <c r="G129" s="306">
        <f>ROUND(E129*F129,2)</f>
        <v/>
      </c>
      <c r="H129" s="229">
        <f>G129/$G$141</f>
        <v/>
      </c>
      <c r="I129" s="306">
        <f>ROUND(F129*Прил.10!$D$13,2)</f>
        <v/>
      </c>
      <c r="J129" s="306">
        <f>ROUND(I129*E129,2)</f>
        <v/>
      </c>
    </row>
    <row r="130" outlineLevel="1" ht="14.25" customFormat="1" customHeight="1" s="315">
      <c r="A130" s="372" t="n">
        <v>102</v>
      </c>
      <c r="B130" s="372" t="inlineStr">
        <is>
          <t>14.1.01.01-0003</t>
        </is>
      </c>
      <c r="C130" s="381" t="inlineStr">
        <is>
          <t>Клей столярный сухой</t>
        </is>
      </c>
      <c r="D130" s="372" t="inlineStr">
        <is>
          <t>кг</t>
        </is>
      </c>
      <c r="E130" s="454" t="n">
        <v>0.1</v>
      </c>
      <c r="F130" s="383" t="n">
        <v>16.95</v>
      </c>
      <c r="G130" s="306">
        <f>ROUND(E130*F130,2)</f>
        <v/>
      </c>
      <c r="H130" s="229">
        <f>G130/$G$141</f>
        <v/>
      </c>
      <c r="I130" s="306">
        <f>ROUND(F130*Прил.10!$D$13,2)</f>
        <v/>
      </c>
      <c r="J130" s="306">
        <f>ROUND(I130*E130,2)</f>
        <v/>
      </c>
    </row>
    <row r="131" outlineLevel="1" ht="14.25" customFormat="1" customHeight="1" s="315">
      <c r="A131" s="372" t="n">
        <v>103</v>
      </c>
      <c r="B131" s="372" t="inlineStr">
        <is>
          <t>14.5.09.11-0102</t>
        </is>
      </c>
      <c r="C131" s="381" t="inlineStr">
        <is>
          <t>Уайт-спирит</t>
        </is>
      </c>
      <c r="D131" s="372" t="inlineStr">
        <is>
          <t>кг</t>
        </is>
      </c>
      <c r="E131" s="454" t="n">
        <v>0.23</v>
      </c>
      <c r="F131" s="383" t="n">
        <v>6.67</v>
      </c>
      <c r="G131" s="306">
        <f>ROUND(E131*F131,2)</f>
        <v/>
      </c>
      <c r="H131" s="229">
        <f>G131/$G$141</f>
        <v/>
      </c>
      <c r="I131" s="306">
        <f>ROUND(F131*Прил.10!$D$13,2)</f>
        <v/>
      </c>
      <c r="J131" s="306">
        <f>ROUND(I131*E131,2)</f>
        <v/>
      </c>
    </row>
    <row r="132" outlineLevel="1" ht="14.25" customFormat="1" customHeight="1" s="315">
      <c r="A132" s="372" t="n">
        <v>104</v>
      </c>
      <c r="B132" s="372" t="inlineStr">
        <is>
          <t>01.7.15.14-0174</t>
        </is>
      </c>
      <c r="C132" s="381" t="inlineStr">
        <is>
          <t>Шурупы с полукруглой головкой 8х100 мм</t>
        </is>
      </c>
      <c r="D132" s="372" t="inlineStr">
        <is>
          <t>т</t>
        </is>
      </c>
      <c r="E132" s="454" t="n">
        <v>0.00012</v>
      </c>
      <c r="F132" s="383" t="n">
        <v>11350</v>
      </c>
      <c r="G132" s="306">
        <f>ROUND(E132*F132,2)</f>
        <v/>
      </c>
      <c r="H132" s="229">
        <f>G132/$G$141</f>
        <v/>
      </c>
      <c r="I132" s="306">
        <f>ROUND(F132*Прил.10!$D$13,2)</f>
        <v/>
      </c>
      <c r="J132" s="306">
        <f>ROUND(I132*E132,2)</f>
        <v/>
      </c>
    </row>
    <row r="133" outlineLevel="1" ht="14.25" customFormat="1" customHeight="1" s="315">
      <c r="A133" s="372" t="n">
        <v>105</v>
      </c>
      <c r="B133" s="372" t="inlineStr">
        <is>
          <t>01.7.11.06-0029</t>
        </is>
      </c>
      <c r="C133" s="381" t="inlineStr">
        <is>
          <t>Флюс ФКСП</t>
        </is>
      </c>
      <c r="D133" s="372" t="inlineStr">
        <is>
          <t>кг</t>
        </is>
      </c>
      <c r="E133" s="454" t="n">
        <v>0.006</v>
      </c>
      <c r="F133" s="383" t="n">
        <v>135.6</v>
      </c>
      <c r="G133" s="306">
        <f>ROUND(E133*F133,2)</f>
        <v/>
      </c>
      <c r="H133" s="229">
        <f>G133/$G$141</f>
        <v/>
      </c>
      <c r="I133" s="306">
        <f>ROUND(F133*Прил.10!$D$13,2)</f>
        <v/>
      </c>
      <c r="J133" s="306">
        <f>ROUND(I133*E133,2)</f>
        <v/>
      </c>
    </row>
    <row r="134" outlineLevel="1" ht="14.25" customFormat="1" customHeight="1" s="315">
      <c r="A134" s="372" t="n">
        <v>106</v>
      </c>
      <c r="B134" s="372" t="inlineStr">
        <is>
          <t>01.7.20.04-0004</t>
        </is>
      </c>
      <c r="C134" s="381" t="inlineStr">
        <is>
          <t>Нитки хлопчатобумажные швейные</t>
        </is>
      </c>
      <c r="D134" s="372" t="inlineStr">
        <is>
          <t>кг</t>
        </is>
      </c>
      <c r="E134" s="454" t="n">
        <v>0.0062</v>
      </c>
      <c r="F134" s="383" t="n">
        <v>100.12</v>
      </c>
      <c r="G134" s="306">
        <f>ROUND(E134*F134,2)</f>
        <v/>
      </c>
      <c r="H134" s="229">
        <f>G134/$G$141</f>
        <v/>
      </c>
      <c r="I134" s="306">
        <f>ROUND(F134*Прил.10!$D$13,2)</f>
        <v/>
      </c>
      <c r="J134" s="306">
        <f>ROUND(I134*E134,2)</f>
        <v/>
      </c>
    </row>
    <row r="135" outlineLevel="1" ht="25.5" customFormat="1" customHeight="1" s="315">
      <c r="A135" s="372" t="n">
        <v>107</v>
      </c>
      <c r="B135" s="372" t="inlineStr">
        <is>
          <t>01.3.01.07-0009</t>
        </is>
      </c>
      <c r="C135" s="381" t="inlineStr">
        <is>
          <t>Спирт этиловый ректификованный технический, сорт I</t>
        </is>
      </c>
      <c r="D135" s="372" t="inlineStr">
        <is>
          <t>кг</t>
        </is>
      </c>
      <c r="E135" s="454" t="n">
        <v>0.0144</v>
      </c>
      <c r="F135" s="383" t="n">
        <v>38.89</v>
      </c>
      <c r="G135" s="306">
        <f>ROUND(E135*F135,2)</f>
        <v/>
      </c>
      <c r="H135" s="229">
        <f>G135/$G$141</f>
        <v/>
      </c>
      <c r="I135" s="306">
        <f>ROUND(F135*Прил.10!$D$13,2)</f>
        <v/>
      </c>
      <c r="J135" s="306">
        <f>ROUND(I135*E135,2)</f>
        <v/>
      </c>
    </row>
    <row r="136" outlineLevel="1" ht="14.25" customFormat="1" customHeight="1" s="315">
      <c r="A136" s="372" t="n">
        <v>108</v>
      </c>
      <c r="B136" s="372" t="inlineStr">
        <is>
          <t>01.7.03.04-0001</t>
        </is>
      </c>
      <c r="C136" s="381" t="inlineStr">
        <is>
          <t>Электроэнергия</t>
        </is>
      </c>
      <c r="D136" s="372" t="inlineStr">
        <is>
          <t>кВт-ч</t>
        </is>
      </c>
      <c r="E136" s="454" t="n">
        <v>0.46</v>
      </c>
      <c r="F136" s="383" t="n">
        <v>0.4</v>
      </c>
      <c r="G136" s="306">
        <f>ROUND(E136*F136,2)</f>
        <v/>
      </c>
      <c r="H136" s="229">
        <f>G136/$G$141</f>
        <v/>
      </c>
      <c r="I136" s="306">
        <f>ROUND(F136*Прил.10!$D$13,2)</f>
        <v/>
      </c>
      <c r="J136" s="306">
        <f>ROUND(I136*E136,2)</f>
        <v/>
      </c>
    </row>
    <row r="137" outlineLevel="1" ht="14.25" customFormat="1" customHeight="1" s="315">
      <c r="A137" s="372" t="n">
        <v>109</v>
      </c>
      <c r="B137" s="372" t="inlineStr">
        <is>
          <t>01.3.03.06-0003</t>
        </is>
      </c>
      <c r="C137" s="381" t="inlineStr">
        <is>
          <t>Кислота соляная техническая</t>
        </is>
      </c>
      <c r="D137" s="372" t="inlineStr">
        <is>
          <t>кг</t>
        </is>
      </c>
      <c r="E137" s="454" t="n">
        <v>0.1</v>
      </c>
      <c r="F137" s="383" t="n">
        <v>1.21</v>
      </c>
      <c r="G137" s="306">
        <f>ROUND(E137*F137,2)</f>
        <v/>
      </c>
      <c r="H137" s="229">
        <f>G137/$G$141</f>
        <v/>
      </c>
      <c r="I137" s="306">
        <f>ROUND(F137*Прил.10!$D$13,2)</f>
        <v/>
      </c>
      <c r="J137" s="306">
        <f>ROUND(I137*E137,2)</f>
        <v/>
      </c>
    </row>
    <row r="138" outlineLevel="1" ht="14.25" customFormat="1" customHeight="1" s="315">
      <c r="A138" s="372" t="n">
        <v>110</v>
      </c>
      <c r="B138" s="372" t="inlineStr">
        <is>
          <t>01.7.11.06-0006</t>
        </is>
      </c>
      <c r="C138" s="381" t="inlineStr">
        <is>
          <t>Флюс ВАМИ</t>
        </is>
      </c>
      <c r="D138" s="372" t="inlineStr">
        <is>
          <t>кг</t>
        </is>
      </c>
      <c r="E138" s="454" t="n">
        <v>0.007</v>
      </c>
      <c r="F138" s="383" t="n">
        <v>12.6</v>
      </c>
      <c r="G138" s="306">
        <f>ROUND(E138*F138,2)</f>
        <v/>
      </c>
      <c r="H138" s="229">
        <f>G138/$G$141</f>
        <v/>
      </c>
      <c r="I138" s="306">
        <f>ROUND(F138*Прил.10!$D$13,2)</f>
        <v/>
      </c>
      <c r="J138" s="306">
        <f>ROUND(I138*E138,2)</f>
        <v/>
      </c>
    </row>
    <row r="139" outlineLevel="1" ht="14.25" customFormat="1" customHeight="1" s="315">
      <c r="A139" s="372" t="n">
        <v>111</v>
      </c>
      <c r="B139" s="372" t="inlineStr">
        <is>
          <t>999-0005</t>
        </is>
      </c>
      <c r="C139" s="381" t="inlineStr">
        <is>
          <t>Масса</t>
        </is>
      </c>
      <c r="D139" s="372" t="inlineStr">
        <is>
          <t>т</t>
        </is>
      </c>
      <c r="E139" s="454" t="n">
        <v>0.7758</v>
      </c>
      <c r="F139" s="383" t="n"/>
      <c r="G139" s="306">
        <f>ROUND(E139*F139,2)</f>
        <v/>
      </c>
      <c r="H139" s="229">
        <f>G139/$G$141</f>
        <v/>
      </c>
      <c r="I139" s="306">
        <f>ROUND(F139*Прил.10!$D$13,2)</f>
        <v/>
      </c>
      <c r="J139" s="306">
        <f>ROUND(I139*E139,2)</f>
        <v/>
      </c>
    </row>
    <row r="140" ht="14.25" customFormat="1" customHeight="1" s="315">
      <c r="A140" s="372" t="n"/>
      <c r="B140" s="372" t="n"/>
      <c r="C140" s="381" t="inlineStr">
        <is>
          <t>Итого прочие материалы</t>
        </is>
      </c>
      <c r="D140" s="372" t="n"/>
      <c r="E140" s="382" t="n"/>
      <c r="F140" s="383" t="n"/>
      <c r="G140" s="306">
        <f>SUM(G73:G139)</f>
        <v/>
      </c>
      <c r="H140" s="229">
        <f>G140/$G$141</f>
        <v/>
      </c>
      <c r="I140" s="306" t="n"/>
      <c r="J140" s="306">
        <f>SUM(J73:J139)</f>
        <v/>
      </c>
    </row>
    <row r="141" ht="14.25" customFormat="1" customHeight="1" s="315">
      <c r="A141" s="372" t="n"/>
      <c r="B141" s="372" t="n"/>
      <c r="C141" s="380" t="inlineStr">
        <is>
          <t>Итого по разделу «Материалы»</t>
        </is>
      </c>
      <c r="D141" s="372" t="n"/>
      <c r="E141" s="382" t="n"/>
      <c r="F141" s="383" t="n"/>
      <c r="G141" s="306">
        <f>G72+G140</f>
        <v/>
      </c>
      <c r="H141" s="384">
        <f>G141/$G$141</f>
        <v/>
      </c>
      <c r="I141" s="306" t="n"/>
      <c r="J141" s="306">
        <f>J72+J140</f>
        <v/>
      </c>
    </row>
    <row r="142" ht="14.25" customFormat="1" customHeight="1" s="315">
      <c r="A142" s="372" t="n"/>
      <c r="B142" s="372" t="n"/>
      <c r="C142" s="381" t="inlineStr">
        <is>
          <t>ИТОГО ПО РМ</t>
        </is>
      </c>
      <c r="D142" s="372" t="n"/>
      <c r="E142" s="382" t="n"/>
      <c r="F142" s="383" t="n"/>
      <c r="G142" s="306">
        <f>G16+G38+G141</f>
        <v/>
      </c>
      <c r="H142" s="384" t="n"/>
      <c r="I142" s="306" t="n"/>
      <c r="J142" s="306">
        <f>J16+J38+J141</f>
        <v/>
      </c>
    </row>
    <row r="143" ht="14.25" customFormat="1" customHeight="1" s="315">
      <c r="A143" s="372" t="n"/>
      <c r="B143" s="372" t="n"/>
      <c r="C143" s="381" t="inlineStr">
        <is>
          <t>Накладные расходы</t>
        </is>
      </c>
      <c r="D143" s="206">
        <f>ROUND(G143/(G$18+$G$16),2)</f>
        <v/>
      </c>
      <c r="E143" s="382" t="n"/>
      <c r="F143" s="383" t="n"/>
      <c r="G143" s="306" t="n">
        <v>47891.7</v>
      </c>
      <c r="H143" s="384" t="n"/>
      <c r="I143" s="306" t="n"/>
      <c r="J143" s="306">
        <f>ROUND(D143*(J16+J18),2)</f>
        <v/>
      </c>
    </row>
    <row r="144" ht="14.25" customFormat="1" customHeight="1" s="315">
      <c r="A144" s="372" t="n"/>
      <c r="B144" s="372" t="n"/>
      <c r="C144" s="381" t="inlineStr">
        <is>
          <t>Сметная прибыль</t>
        </is>
      </c>
      <c r="D144" s="206">
        <f>ROUND(G144/(G$16+G$18),2)</f>
        <v/>
      </c>
      <c r="E144" s="382" t="n"/>
      <c r="F144" s="383" t="n"/>
      <c r="G144" s="306" t="n">
        <v>24067.43</v>
      </c>
      <c r="H144" s="384" t="n"/>
      <c r="I144" s="306" t="n"/>
      <c r="J144" s="306">
        <f>ROUND(D144*(J16+J18),2)</f>
        <v/>
      </c>
    </row>
    <row r="145" ht="14.25" customFormat="1" customHeight="1" s="315">
      <c r="A145" s="372" t="n"/>
      <c r="B145" s="372" t="n"/>
      <c r="C145" s="381" t="inlineStr">
        <is>
          <t>Итого СМР (с НР и СП)</t>
        </is>
      </c>
      <c r="D145" s="372" t="n"/>
      <c r="E145" s="382" t="n"/>
      <c r="F145" s="383" t="n"/>
      <c r="G145" s="306">
        <f>G16+G38+G141+G143+G144</f>
        <v/>
      </c>
      <c r="H145" s="384" t="n"/>
      <c r="I145" s="306" t="n"/>
      <c r="J145" s="306">
        <f>J16+J38+J141+J143+J144</f>
        <v/>
      </c>
    </row>
    <row r="146" ht="14.25" customFormat="1" customHeight="1" s="315">
      <c r="A146" s="372" t="n"/>
      <c r="B146" s="372" t="n"/>
      <c r="C146" s="381" t="inlineStr">
        <is>
          <t>ВСЕГО СМР + ОБОРУДОВАНИЕ</t>
        </is>
      </c>
      <c r="D146" s="372" t="n"/>
      <c r="E146" s="382" t="n"/>
      <c r="F146" s="383" t="n"/>
      <c r="G146" s="306">
        <f>G145+G44</f>
        <v/>
      </c>
      <c r="H146" s="384" t="n"/>
      <c r="I146" s="306" t="n"/>
      <c r="J146" s="306">
        <f>J145+J44</f>
        <v/>
      </c>
    </row>
    <row r="147" ht="34.5" customFormat="1" customHeight="1" s="315">
      <c r="A147" s="372" t="n"/>
      <c r="B147" s="372" t="n"/>
      <c r="C147" s="381" t="inlineStr">
        <is>
          <t>ИТОГО ПОКАЗАТЕЛЬ НА ЕД. ИЗМ.</t>
        </is>
      </c>
      <c r="D147" s="372" t="inlineStr">
        <is>
          <t>компл.</t>
        </is>
      </c>
      <c r="E147" s="456" t="n">
        <v>1</v>
      </c>
      <c r="F147" s="383" t="n"/>
      <c r="G147" s="306">
        <f>G146/E147</f>
        <v/>
      </c>
      <c r="H147" s="384" t="n"/>
      <c r="I147" s="306" t="n"/>
      <c r="J147" s="306">
        <f>J146/E147</f>
        <v/>
      </c>
    </row>
    <row r="149" ht="14.25" customFormat="1" customHeight="1" s="315">
      <c r="A149" s="314" t="inlineStr">
        <is>
          <t>Составил ______________________    Д.Ю. Нефедова</t>
        </is>
      </c>
    </row>
    <row r="150" ht="14.25" customFormat="1" customHeight="1" s="315">
      <c r="A150" s="317" t="inlineStr">
        <is>
          <t xml:space="preserve">                         (подпись, инициалы, фамилия)</t>
        </is>
      </c>
    </row>
    <row r="151" ht="14.25" customFormat="1" customHeight="1" s="315">
      <c r="A151" s="314" t="n"/>
    </row>
    <row r="152" ht="14.25" customFormat="1" customHeight="1" s="315">
      <c r="A152" s="314" t="inlineStr">
        <is>
          <t>Проверил ______________________        А.В. Костянецкая</t>
        </is>
      </c>
    </row>
    <row r="153" ht="14.25" customFormat="1" customHeight="1" s="315">
      <c r="A153" s="317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H2:J2"/>
    <mergeCell ref="B20:H20"/>
    <mergeCell ref="C9:C10"/>
    <mergeCell ref="E9:E10"/>
    <mergeCell ref="A7:H7"/>
    <mergeCell ref="B47:H47"/>
    <mergeCell ref="B46:H46"/>
    <mergeCell ref="B9:B10"/>
    <mergeCell ref="D9:D10"/>
    <mergeCell ref="B12:H12"/>
    <mergeCell ref="B39:H39"/>
    <mergeCell ref="D6:J6"/>
    <mergeCell ref="A8:H8"/>
    <mergeCell ref="F9:G9"/>
    <mergeCell ref="B17:H17"/>
    <mergeCell ref="A9:A10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22" workbookViewId="0">
      <selection activeCell="B16" sqref="B16"/>
    </sheetView>
  </sheetViews>
  <sheetFormatPr baseColWidth="8" defaultRowHeight="15"/>
  <cols>
    <col width="5.7109375" customWidth="1" style="318" min="1" max="1"/>
    <col width="17.5703125" customWidth="1" style="318" min="2" max="2"/>
    <col width="39.140625" customWidth="1" style="318" min="3" max="3"/>
    <col width="10.7109375" customWidth="1" style="318" min="4" max="4"/>
    <col width="13.85546875" customWidth="1" style="318" min="5" max="5"/>
    <col width="14.5703125" customWidth="1" style="318" min="6" max="6"/>
    <col width="14.140625" customWidth="1" style="318" min="7" max="7"/>
  </cols>
  <sheetData>
    <row r="1">
      <c r="A1" s="389" t="inlineStr">
        <is>
          <t>Приложение №6</t>
        </is>
      </c>
    </row>
    <row r="2" ht="21.75" customHeight="1" s="318">
      <c r="A2" s="389" t="n"/>
      <c r="B2" s="389" t="n"/>
      <c r="C2" s="389" t="n"/>
      <c r="D2" s="389" t="n"/>
      <c r="E2" s="389" t="n"/>
      <c r="F2" s="389" t="n"/>
      <c r="G2" s="389" t="n"/>
    </row>
    <row r="3">
      <c r="A3" s="348" t="inlineStr">
        <is>
          <t>Расчет стоимости оборудования</t>
        </is>
      </c>
    </row>
    <row r="4" ht="25.5" customHeight="1" s="318">
      <c r="A4" s="351" t="inlineStr">
        <is>
          <t>Наименование разрабатываемого показателя УНЦ — Сети связи. УПАТС для предприятия электрических сетей</t>
        </is>
      </c>
    </row>
    <row r="5">
      <c r="A5" s="314" t="n"/>
      <c r="B5" s="314" t="n"/>
      <c r="C5" s="314" t="n"/>
      <c r="D5" s="314" t="n"/>
      <c r="E5" s="314" t="n"/>
      <c r="F5" s="314" t="n"/>
      <c r="G5" s="314" t="n"/>
    </row>
    <row r="6" ht="30" customHeight="1" s="318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2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2" t="inlineStr">
        <is>
          <t>на ед. изм.</t>
        </is>
      </c>
      <c r="G7" s="372" t="inlineStr">
        <is>
          <t>общая</t>
        </is>
      </c>
    </row>
    <row r="8">
      <c r="A8" s="372" t="n">
        <v>1</v>
      </c>
      <c r="B8" s="372" t="n">
        <v>2</v>
      </c>
      <c r="C8" s="372" t="n">
        <v>3</v>
      </c>
      <c r="D8" s="372" t="n">
        <v>4</v>
      </c>
      <c r="E8" s="372" t="n">
        <v>5</v>
      </c>
      <c r="F8" s="372" t="n">
        <v>6</v>
      </c>
      <c r="G8" s="372" t="n">
        <v>7</v>
      </c>
    </row>
    <row r="9" ht="15" customHeight="1" s="318">
      <c r="A9" s="207" t="n"/>
      <c r="B9" s="381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18">
      <c r="A10" s="372" t="n"/>
      <c r="B10" s="380" t="n"/>
      <c r="C10" s="381" t="inlineStr">
        <is>
          <t>ИТОГО ИНЖЕНЕРНОЕ ОБОРУДОВАНИЕ</t>
        </is>
      </c>
      <c r="D10" s="380" t="n"/>
      <c r="E10" s="178" t="n"/>
      <c r="F10" s="383" t="n"/>
      <c r="G10" s="306" t="n">
        <v>0</v>
      </c>
    </row>
    <row r="11">
      <c r="A11" s="373" t="n"/>
      <c r="B11" s="376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15.75" customFormat="1" customHeight="1" s="320">
      <c r="A12" s="372" t="n">
        <v>1</v>
      </c>
      <c r="B12" s="381">
        <f>'Прил.5 Расчет СМР и ОБ'!B41</f>
        <v/>
      </c>
      <c r="C12" s="381">
        <f>'Прил.5 Расчет СМР и ОБ'!C41</f>
        <v/>
      </c>
      <c r="D12" s="372">
        <f>'Прил.5 Расчет СМР и ОБ'!D41</f>
        <v/>
      </c>
      <c r="E12" s="454">
        <f>'Прил.5 Расчет СМР и ОБ'!E41</f>
        <v/>
      </c>
      <c r="F12" s="454">
        <f>'Прил.5 Расчет СМР и ОБ'!F41</f>
        <v/>
      </c>
      <c r="G12" s="306">
        <f>ROUND(E12*F12,2)</f>
        <v/>
      </c>
    </row>
    <row r="13" ht="25.5" customHeight="1" s="318">
      <c r="A13" s="374" t="n"/>
      <c r="B13" s="279" t="n"/>
      <c r="C13" s="279" t="inlineStr">
        <is>
          <t>ИТОГО ТЕХНОЛОГИЧЕСКОЕ ОБОРУДОВАНИЕ</t>
        </is>
      </c>
      <c r="D13" s="279" t="n"/>
      <c r="E13" s="288" t="n"/>
      <c r="F13" s="295" t="n"/>
      <c r="G13" s="282">
        <f>SUM(G12:G12)</f>
        <v/>
      </c>
    </row>
    <row r="14" ht="19.5" customHeight="1" s="318">
      <c r="A14" s="372" t="n"/>
      <c r="B14" s="381" t="n"/>
      <c r="C14" s="381" t="inlineStr">
        <is>
          <t>Всего по разделу «Оборудование»</t>
        </is>
      </c>
      <c r="D14" s="381" t="n"/>
      <c r="E14" s="268" t="n"/>
      <c r="F14" s="383" t="n"/>
      <c r="G14" s="306">
        <f>G10+G13</f>
        <v/>
      </c>
    </row>
    <row r="15">
      <c r="A15" s="316" t="n"/>
      <c r="B15" s="181" t="n"/>
      <c r="C15" s="316" t="n"/>
      <c r="D15" s="316" t="n"/>
      <c r="E15" s="316" t="n"/>
      <c r="F15" s="316" t="n"/>
      <c r="G15" s="316" t="n"/>
    </row>
    <row r="16">
      <c r="A16" s="314" t="inlineStr">
        <is>
          <t>Составил ______________________    Д.Ю. Нефедова</t>
        </is>
      </c>
      <c r="B16" s="315" t="n"/>
      <c r="C16" s="315" t="n"/>
      <c r="D16" s="316" t="n"/>
      <c r="E16" s="316" t="n"/>
      <c r="F16" s="316" t="n"/>
      <c r="G16" s="316" t="n"/>
    </row>
    <row r="17">
      <c r="A17" s="317" t="inlineStr">
        <is>
          <t xml:space="preserve">                         (подпись, инициалы, фамилия)</t>
        </is>
      </c>
      <c r="B17" s="315" t="n"/>
      <c r="C17" s="315" t="n"/>
      <c r="D17" s="316" t="n"/>
      <c r="E17" s="316" t="n"/>
      <c r="F17" s="316" t="n"/>
      <c r="G17" s="316" t="n"/>
    </row>
    <row r="18">
      <c r="A18" s="314" t="n"/>
      <c r="B18" s="315" t="n"/>
      <c r="C18" s="315" t="n"/>
      <c r="D18" s="316" t="n"/>
      <c r="E18" s="316" t="n"/>
      <c r="F18" s="316" t="n"/>
      <c r="G18" s="316" t="n"/>
    </row>
    <row r="19">
      <c r="A19" s="314" t="inlineStr">
        <is>
          <t>Проверил ______________________        А.В. Костянецкая</t>
        </is>
      </c>
      <c r="B19" s="315" t="n"/>
      <c r="C19" s="315" t="n"/>
      <c r="D19" s="316" t="n"/>
      <c r="E19" s="316" t="n"/>
      <c r="F19" s="316" t="n"/>
      <c r="G19" s="316" t="n"/>
    </row>
    <row r="20">
      <c r="A20" s="317" t="inlineStr">
        <is>
          <t xml:space="preserve">                        (подпись, инициалы, фамилия)</t>
        </is>
      </c>
      <c r="B20" s="315" t="n"/>
      <c r="C20" s="315" t="n"/>
      <c r="D20" s="316" t="n"/>
      <c r="E20" s="316" t="n"/>
      <c r="F20" s="316" t="n"/>
      <c r="G20" s="31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318" min="1" max="1"/>
    <col width="16.42578125" customWidth="1" style="318" min="2" max="2"/>
    <col width="37.140625" customWidth="1" style="318" min="3" max="3"/>
    <col width="49" customWidth="1" style="318" min="4" max="4"/>
    <col width="9.140625" customWidth="1" style="318" min="5" max="5"/>
  </cols>
  <sheetData>
    <row r="1" ht="15.75" customHeight="1" s="318">
      <c r="A1" s="320" t="n"/>
      <c r="B1" s="320" t="n"/>
      <c r="C1" s="320" t="n"/>
      <c r="D1" s="320" t="inlineStr">
        <is>
          <t>Приложение №7</t>
        </is>
      </c>
    </row>
    <row r="2" ht="15.75" customHeight="1" s="318">
      <c r="A2" s="320" t="n"/>
      <c r="B2" s="320" t="n"/>
      <c r="C2" s="320" t="n"/>
      <c r="D2" s="320" t="n"/>
    </row>
    <row r="3" ht="15.75" customHeight="1" s="318">
      <c r="A3" s="320" t="n"/>
      <c r="B3" s="309" t="inlineStr">
        <is>
          <t>Расчет показателя УНЦ</t>
        </is>
      </c>
      <c r="C3" s="320" t="n"/>
      <c r="D3" s="320" t="n"/>
    </row>
    <row r="4" ht="15.75" customHeight="1" s="318">
      <c r="A4" s="320" t="n"/>
      <c r="B4" s="320" t="n"/>
      <c r="C4" s="320" t="n"/>
      <c r="D4" s="320" t="n"/>
    </row>
    <row r="5" ht="31.5" customHeight="1" s="318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18">
      <c r="A6" s="320" t="inlineStr">
        <is>
          <t>Единица измерения  — 1 ед</t>
        </is>
      </c>
      <c r="B6" s="320" t="n"/>
      <c r="C6" s="320" t="n"/>
      <c r="D6" s="320" t="n"/>
    </row>
    <row r="7" ht="15.75" customHeight="1" s="318">
      <c r="A7" s="320" t="n"/>
      <c r="B7" s="320" t="n"/>
      <c r="C7" s="320" t="n"/>
      <c r="D7" s="320" t="n"/>
    </row>
    <row r="8">
      <c r="A8" s="360" t="inlineStr">
        <is>
          <t>Код показателя</t>
        </is>
      </c>
      <c r="B8" s="360" t="inlineStr">
        <is>
          <t>Наименование показателя</t>
        </is>
      </c>
      <c r="C8" s="360" t="inlineStr">
        <is>
          <t>Наименование РМ, входящих в состав показателя</t>
        </is>
      </c>
      <c r="D8" s="360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18">
      <c r="A10" s="360" t="n">
        <v>1</v>
      </c>
      <c r="B10" s="360" t="n">
        <v>2</v>
      </c>
      <c r="C10" s="360" t="n">
        <v>3</v>
      </c>
      <c r="D10" s="360" t="n">
        <v>4</v>
      </c>
    </row>
    <row r="11" ht="31.5" customHeight="1" s="318">
      <c r="A11" s="360" t="inlineStr">
        <is>
          <t>И14-03</t>
        </is>
      </c>
      <c r="B11" s="360" t="inlineStr">
        <is>
          <t>УНЦ сети связи</t>
        </is>
      </c>
      <c r="C11" s="312">
        <f>D5</f>
        <v/>
      </c>
      <c r="D11" s="326">
        <f>'Прил.4 РМ'!C41/1000</f>
        <v/>
      </c>
    </row>
    <row r="13">
      <c r="A13" s="347" t="inlineStr">
        <is>
          <t>Составил ______________________      Д.Ю. Нефедова</t>
        </is>
      </c>
      <c r="B13" s="315" t="n"/>
      <c r="C13" s="315" t="n"/>
      <c r="D13" s="316" t="n"/>
    </row>
    <row r="14">
      <c r="A14" s="317" t="inlineStr">
        <is>
          <t xml:space="preserve">                         (подпись, инициалы, фамилия)</t>
        </is>
      </c>
      <c r="B14" s="315" t="n"/>
      <c r="C14" s="315" t="n"/>
      <c r="D14" s="316" t="n"/>
    </row>
    <row r="15">
      <c r="A15" s="314" t="n"/>
      <c r="B15" s="315" t="n"/>
      <c r="C15" s="315" t="n"/>
      <c r="D15" s="316" t="n"/>
    </row>
    <row r="16">
      <c r="A16" s="314" t="inlineStr">
        <is>
          <t>Проверил ______________________        А.В. Костянецкая</t>
        </is>
      </c>
      <c r="B16" s="315" t="n"/>
      <c r="C16" s="315" t="n"/>
      <c r="D16" s="316" t="n"/>
    </row>
    <row r="17">
      <c r="A17" s="317" t="inlineStr">
        <is>
          <t xml:space="preserve">                        (подпись, инициалы, фамилия)</t>
        </is>
      </c>
      <c r="B17" s="315" t="n"/>
      <c r="C17" s="315" t="n"/>
      <c r="D17" s="31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B26" sqref="B26"/>
    </sheetView>
  </sheetViews>
  <sheetFormatPr baseColWidth="8" defaultRowHeight="15"/>
  <cols>
    <col width="9.140625" customWidth="1" style="318" min="1" max="1"/>
    <col width="40.7109375" customWidth="1" style="318" min="2" max="2"/>
    <col width="37" customWidth="1" style="318" min="3" max="3"/>
    <col width="32" customWidth="1" style="318" min="4" max="4"/>
    <col width="9.140625" customWidth="1" style="318" min="5" max="5"/>
  </cols>
  <sheetData>
    <row r="4" ht="15.75" customHeight="1" s="318">
      <c r="B4" s="355" t="inlineStr">
        <is>
          <t>Приложение № 10</t>
        </is>
      </c>
    </row>
    <row r="5" ht="18.75" customHeight="1" s="318">
      <c r="B5" s="171" t="n"/>
    </row>
    <row r="6" ht="15.75" customHeight="1" s="318">
      <c r="B6" s="356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18">
      <c r="B9" s="360" t="inlineStr">
        <is>
          <t>Наименование индекса / норм сопутствующих затрат</t>
        </is>
      </c>
      <c r="C9" s="360" t="inlineStr">
        <is>
          <t>Дата применения и обоснование индекса / норм сопутствующих затрат</t>
        </is>
      </c>
      <c r="D9" s="360" t="inlineStr">
        <is>
          <t>Размер индекса / норма сопутствующих затрат</t>
        </is>
      </c>
    </row>
    <row r="10" ht="15.75" customHeight="1" s="318">
      <c r="B10" s="360" t="n">
        <v>1</v>
      </c>
      <c r="C10" s="360" t="n">
        <v>2</v>
      </c>
      <c r="D10" s="360" t="n">
        <v>3</v>
      </c>
    </row>
    <row r="11" ht="45" customHeight="1" s="318">
      <c r="B11" s="360" t="inlineStr">
        <is>
          <t xml:space="preserve">Индекс изменения сметной стоимости на 1 квартал 2023 года. ОЗП </t>
        </is>
      </c>
      <c r="C11" s="360" t="inlineStr">
        <is>
          <t>Письмо Минстроя России от 30.03.2023г. №17106-ИФ/09 прил.1</t>
        </is>
      </c>
      <c r="D11" s="360" t="n">
        <v>44.29</v>
      </c>
    </row>
    <row r="12" ht="29.25" customHeight="1" s="318">
      <c r="B12" s="360" t="inlineStr">
        <is>
          <t>Индекс изменения сметной стоимости на 1 квартал 2023 года. ЭМ</t>
        </is>
      </c>
      <c r="C12" s="360" t="inlineStr">
        <is>
          <t>Письмо Минстроя России от 30.03.2023г. №17106-ИФ/09 прил.1</t>
        </is>
      </c>
      <c r="D12" s="360" t="n">
        <v>13.47</v>
      </c>
    </row>
    <row r="13" ht="29.25" customHeight="1" s="318">
      <c r="B13" s="360" t="inlineStr">
        <is>
          <t>Индекс изменения сметной стоимости на 1 квартал 2023 года. МАТ</t>
        </is>
      </c>
      <c r="C13" s="360" t="inlineStr">
        <is>
          <t>Письмо Минстроя России от 30.03.2023г. №17106-ИФ/09 прил.1</t>
        </is>
      </c>
      <c r="D13" s="360" t="n">
        <v>8.039999999999999</v>
      </c>
    </row>
    <row r="14" ht="30.75" customHeight="1" s="318">
      <c r="B14" s="360" t="inlineStr">
        <is>
          <t>Индекс изменения сметной стоимости на 1 квартал 2023 года. ОБ</t>
        </is>
      </c>
      <c r="C14" s="159" t="inlineStr">
        <is>
          <t>Письмо Минстроя России от 23.02.2023г. №9791-ИФ/09 прил.6</t>
        </is>
      </c>
      <c r="D14" s="360" t="n">
        <v>6.26</v>
      </c>
    </row>
    <row r="15" ht="89.25" customHeight="1" s="318">
      <c r="B15" s="360" t="inlineStr">
        <is>
          <t>Временные здания и сооружения</t>
        </is>
      </c>
      <c r="C15" s="360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72" t="n">
        <v>0.039</v>
      </c>
    </row>
    <row r="16" ht="78.75" customHeight="1" s="318">
      <c r="B16" s="360" t="inlineStr">
        <is>
          <t>Дополнительные затраты при производстве строительно-монтажных работ в зимнее время</t>
        </is>
      </c>
      <c r="C16" s="360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72" t="n">
        <v>0.021</v>
      </c>
    </row>
    <row r="17" ht="34.5" customHeight="1" s="318">
      <c r="B17" s="360" t="n"/>
      <c r="C17" s="360" t="n"/>
      <c r="D17" s="360" t="n"/>
    </row>
    <row r="18" ht="31.5" customHeight="1" s="318">
      <c r="B18" s="360" t="inlineStr">
        <is>
          <t>Строительный контроль</t>
        </is>
      </c>
      <c r="C18" s="360" t="inlineStr">
        <is>
          <t>Постановление Правительства РФ от 21.06.10 г. № 468</t>
        </is>
      </c>
      <c r="D18" s="172" t="n">
        <v>0.0214</v>
      </c>
    </row>
    <row r="19" ht="31.5" customHeight="1" s="318">
      <c r="B19" s="360" t="inlineStr">
        <is>
          <t>Авторский надзор - 0,2%</t>
        </is>
      </c>
      <c r="C19" s="360" t="inlineStr">
        <is>
          <t>Приказ от 4.08.2020 № 421/пр п.173</t>
        </is>
      </c>
      <c r="D19" s="172" t="n">
        <v>0.002</v>
      </c>
    </row>
    <row r="20" ht="24" customHeight="1" s="318">
      <c r="B20" s="360" t="inlineStr">
        <is>
          <t>Непредвиденные расходы</t>
        </is>
      </c>
      <c r="C20" s="360" t="inlineStr">
        <is>
          <t>Приказ от 4.08.2020 № 421/пр п.179</t>
        </is>
      </c>
      <c r="D20" s="172" t="n">
        <v>0.03</v>
      </c>
    </row>
    <row r="21" ht="18.75" customHeight="1" s="318">
      <c r="B21" s="173" t="n"/>
    </row>
    <row r="22" ht="18.75" customHeight="1" s="318">
      <c r="B22" s="173" t="n"/>
    </row>
    <row r="23" ht="18.75" customHeight="1" s="318">
      <c r="B23" s="173" t="n"/>
    </row>
    <row r="24" ht="18.75" customHeight="1" s="318">
      <c r="B24" s="173" t="n"/>
    </row>
    <row r="27">
      <c r="B27" s="314" t="inlineStr">
        <is>
          <t>Составил ______________________        Д.Ю. Нефедова</t>
        </is>
      </c>
      <c r="C27" s="315" t="n"/>
    </row>
    <row r="28">
      <c r="B28" s="317" t="inlineStr">
        <is>
          <t xml:space="preserve">                         (подпись, инициалы, фамилия)</t>
        </is>
      </c>
      <c r="C28" s="315" t="n"/>
    </row>
    <row r="29">
      <c r="B29" s="314" t="n"/>
      <c r="C29" s="315" t="n"/>
    </row>
    <row r="30">
      <c r="B30" s="314" t="inlineStr">
        <is>
          <t>Проверил ______________________        А.В. Костянецкая</t>
        </is>
      </c>
      <c r="C30" s="315" t="n"/>
    </row>
    <row r="31">
      <c r="B31" s="317" t="inlineStr">
        <is>
          <t xml:space="preserve">                        (подпись, инициалы, фамилия)</t>
        </is>
      </c>
      <c r="C31" s="31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tabSelected="1" view="pageBreakPreview" topLeftCell="A25" zoomScale="60" zoomScaleNormal="100" workbookViewId="0">
      <selection activeCell="D18" sqref="D18"/>
    </sheetView>
  </sheetViews>
  <sheetFormatPr baseColWidth="8" defaultColWidth="9.140625" defaultRowHeight="15"/>
  <cols>
    <col width="44.85546875" customWidth="1" style="318" min="2" max="2"/>
    <col width="13" customWidth="1" style="318" min="3" max="3"/>
    <col width="22.85546875" customWidth="1" style="318" min="4" max="4"/>
    <col width="21.5703125" customWidth="1" style="318" min="5" max="5"/>
    <col width="43.85546875" customWidth="1" style="318" min="6" max="6"/>
  </cols>
  <sheetData>
    <row r="1" s="318"/>
    <row r="2" ht="17.25" customHeight="1" s="318">
      <c r="A2" s="356" t="inlineStr">
        <is>
          <t>Расчет размера средств на оплату труда рабочих-строителей в текущем уровне цен (ФОТр.тек.)</t>
        </is>
      </c>
    </row>
    <row r="3" s="318"/>
    <row r="4" ht="18" customHeight="1" s="318">
      <c r="A4" s="319" t="inlineStr">
        <is>
          <t>Составлен в уровне цен на 01.01.2023 г.</t>
        </is>
      </c>
      <c r="B4" s="320" t="n"/>
      <c r="C4" s="320" t="n"/>
      <c r="D4" s="320" t="n"/>
      <c r="E4" s="320" t="n"/>
      <c r="F4" s="320" t="n"/>
      <c r="G4" s="320" t="n"/>
    </row>
    <row r="5" ht="15.75" customHeight="1" s="318">
      <c r="A5" s="321" t="inlineStr">
        <is>
          <t>№ пп.</t>
        </is>
      </c>
      <c r="B5" s="321" t="inlineStr">
        <is>
          <t>Наименование элемента</t>
        </is>
      </c>
      <c r="C5" s="321" t="inlineStr">
        <is>
          <t>Обозначение</t>
        </is>
      </c>
      <c r="D5" s="321" t="inlineStr">
        <is>
          <t>Формула</t>
        </is>
      </c>
      <c r="E5" s="321" t="inlineStr">
        <is>
          <t>Величина элемента</t>
        </is>
      </c>
      <c r="F5" s="321" t="inlineStr">
        <is>
          <t>Наименования обосновывающих документов</t>
        </is>
      </c>
      <c r="G5" s="320" t="n"/>
    </row>
    <row r="6" ht="15.75" customHeight="1" s="318">
      <c r="A6" s="321" t="n">
        <v>1</v>
      </c>
      <c r="B6" s="321" t="n">
        <v>2</v>
      </c>
      <c r="C6" s="321" t="n">
        <v>3</v>
      </c>
      <c r="D6" s="321" t="n">
        <v>4</v>
      </c>
      <c r="E6" s="321" t="n">
        <v>5</v>
      </c>
      <c r="F6" s="321" t="n">
        <v>6</v>
      </c>
      <c r="G6" s="320" t="n"/>
    </row>
    <row r="7" ht="110.25" customHeight="1" s="318">
      <c r="A7" s="322" t="inlineStr">
        <is>
          <t>1.1</t>
        </is>
      </c>
      <c r="B7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0" t="inlineStr">
        <is>
          <t>С1ср</t>
        </is>
      </c>
      <c r="D7" s="360" t="inlineStr">
        <is>
          <t>-</t>
        </is>
      </c>
      <c r="E7" s="325" t="n">
        <v>47872.94</v>
      </c>
      <c r="F7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0" t="n"/>
    </row>
    <row r="8" ht="31.5" customHeight="1" s="318">
      <c r="A8" s="322" t="inlineStr">
        <is>
          <t>1.2</t>
        </is>
      </c>
      <c r="B8" s="327" t="inlineStr">
        <is>
          <t>Среднегодовое нормативное число часов работы одного рабочего в месяц, часы (ч.)</t>
        </is>
      </c>
      <c r="C8" s="360" t="inlineStr">
        <is>
          <t>tср</t>
        </is>
      </c>
      <c r="D8" s="360" t="inlineStr">
        <is>
          <t>1973ч/12мес.</t>
        </is>
      </c>
      <c r="E8" s="326">
        <f>1973/12</f>
        <v/>
      </c>
      <c r="F8" s="327" t="inlineStr">
        <is>
          <t>Производственный календарь 2023 год
(40-часов.неделя)</t>
        </is>
      </c>
      <c r="G8" s="329" t="n"/>
    </row>
    <row r="9" ht="15.75" customHeight="1" s="318">
      <c r="A9" s="322" t="inlineStr">
        <is>
          <t>1.3</t>
        </is>
      </c>
      <c r="B9" s="327" t="inlineStr">
        <is>
          <t>Коэффициент увеличения</t>
        </is>
      </c>
      <c r="C9" s="360" t="inlineStr">
        <is>
          <t>Кув</t>
        </is>
      </c>
      <c r="D9" s="360" t="inlineStr">
        <is>
          <t>-</t>
        </is>
      </c>
      <c r="E9" s="326" t="n">
        <v>1</v>
      </c>
      <c r="F9" s="327" t="n"/>
      <c r="G9" s="329" t="n"/>
    </row>
    <row r="10" ht="15.75" customHeight="1" s="318">
      <c r="A10" s="322" t="inlineStr">
        <is>
          <t>1.4</t>
        </is>
      </c>
      <c r="B10" s="327" t="inlineStr">
        <is>
          <t>Средний разряд работ</t>
        </is>
      </c>
      <c r="C10" s="360" t="n"/>
      <c r="D10" s="360" t="n"/>
      <c r="E10" s="457" t="n">
        <v>4</v>
      </c>
      <c r="F10" s="327" t="inlineStr">
        <is>
          <t>РТМ</t>
        </is>
      </c>
      <c r="G10" s="329" t="n"/>
    </row>
    <row r="11" ht="78.75" customHeight="1" s="318">
      <c r="A11" s="322" t="inlineStr">
        <is>
          <t>1.5</t>
        </is>
      </c>
      <c r="B11" s="327" t="inlineStr">
        <is>
          <t>Тарифный коэффициент среднего разряда работ</t>
        </is>
      </c>
      <c r="C11" s="360" t="inlineStr">
        <is>
          <t>КТ</t>
        </is>
      </c>
      <c r="D11" s="360" t="inlineStr">
        <is>
          <t>-</t>
        </is>
      </c>
      <c r="E11" s="458" t="n">
        <v>1.34</v>
      </c>
      <c r="F11" s="32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0" t="n"/>
    </row>
    <row r="12" ht="78.75" customHeight="1" s="318">
      <c r="A12" s="322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60" t="inlineStr">
        <is>
          <t>Кинф</t>
        </is>
      </c>
      <c r="D12" s="360" t="inlineStr">
        <is>
          <t>-</t>
        </is>
      </c>
      <c r="E12" s="459" t="n">
        <v>1.139</v>
      </c>
      <c r="F12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9" t="n"/>
    </row>
    <row r="13" ht="63" customHeight="1" s="318">
      <c r="A13" s="335" t="inlineStr">
        <is>
          <t>1.7</t>
        </is>
      </c>
      <c r="B13" s="336" t="inlineStr">
        <is>
          <t>Размер средств на оплату труда рабочих-строителей в текущем уровне цен (ФОТр.тек.), руб/чел.-ч</t>
        </is>
      </c>
      <c r="C13" s="337" t="inlineStr">
        <is>
          <t>ФОТр.тек.</t>
        </is>
      </c>
      <c r="D13" s="337" t="inlineStr">
        <is>
          <t>(С1ср/tср*КТ*Т*Кув)*Кинф</t>
        </is>
      </c>
      <c r="E13" s="338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0" t="n"/>
    </row>
    <row r="14" ht="15.75" customHeight="1" s="318">
      <c r="A14" s="340" t="n"/>
      <c r="B14" s="341" t="inlineStr">
        <is>
          <t>Инженер I категории</t>
        </is>
      </c>
      <c r="C14" s="341" t="n"/>
      <c r="D14" s="341" t="n"/>
      <c r="E14" s="341" t="n"/>
      <c r="F14" s="342" t="n"/>
    </row>
    <row r="15" ht="110.25" customHeight="1" s="318">
      <c r="A15" s="322" t="inlineStr">
        <is>
          <t>1.1</t>
        </is>
      </c>
      <c r="B15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0" t="inlineStr">
        <is>
          <t>С1ср</t>
        </is>
      </c>
      <c r="D15" s="360" t="inlineStr">
        <is>
          <t>-</t>
        </is>
      </c>
      <c r="E15" s="325" t="n">
        <v>47872.94</v>
      </c>
      <c r="F15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20" t="n"/>
    </row>
    <row r="16" ht="31.5" customHeight="1" s="318">
      <c r="A16" s="322" t="inlineStr">
        <is>
          <t>1.2</t>
        </is>
      </c>
      <c r="B16" s="327" t="inlineStr">
        <is>
          <t>Среднегодовое нормативное число часов работы одного рабочего в месяц, часы (ч.)</t>
        </is>
      </c>
      <c r="C16" s="360" t="inlineStr">
        <is>
          <t>tср</t>
        </is>
      </c>
      <c r="D16" s="360" t="inlineStr">
        <is>
          <t>1973ч/12мес.</t>
        </is>
      </c>
      <c r="E16" s="326">
        <f>1973/12</f>
        <v/>
      </c>
      <c r="F16" s="327" t="inlineStr">
        <is>
          <t>Производственный календарь 2023 год
(40-часов.неделя)</t>
        </is>
      </c>
      <c r="G16" s="329" t="n"/>
    </row>
    <row r="17" ht="15.75" customHeight="1" s="318">
      <c r="A17" s="322" t="inlineStr">
        <is>
          <t>1.3</t>
        </is>
      </c>
      <c r="B17" s="327" t="inlineStr">
        <is>
          <t>Коэффициент увеличения</t>
        </is>
      </c>
      <c r="C17" s="360" t="inlineStr">
        <is>
          <t>Кув</t>
        </is>
      </c>
      <c r="D17" s="360" t="inlineStr">
        <is>
          <t>-</t>
        </is>
      </c>
      <c r="E17" s="326" t="n">
        <v>1</v>
      </c>
      <c r="F17" s="327" t="n"/>
      <c r="G17" s="329" t="n"/>
    </row>
    <row r="18" ht="15.75" customHeight="1" s="318">
      <c r="A18" s="322" t="inlineStr">
        <is>
          <t>1.4</t>
        </is>
      </c>
      <c r="B18" s="327" t="inlineStr">
        <is>
          <t>Средний разряд работ</t>
        </is>
      </c>
      <c r="C18" s="360" t="n"/>
      <c r="D18" s="360" t="n"/>
      <c r="E18" s="457" t="inlineStr">
        <is>
          <t>Инженер I категории</t>
        </is>
      </c>
      <c r="F18" s="327" t="inlineStr">
        <is>
          <t>РТМ</t>
        </is>
      </c>
      <c r="G18" s="329" t="n"/>
    </row>
    <row r="19" ht="78.75" customHeight="1" s="318">
      <c r="A19" s="335" t="inlineStr">
        <is>
          <t>1.5</t>
        </is>
      </c>
      <c r="B19" s="339" t="inlineStr">
        <is>
          <t>Тарифный коэффициент среднего разряда работ</t>
        </is>
      </c>
      <c r="C19" s="337" t="inlineStr">
        <is>
          <t>КТ</t>
        </is>
      </c>
      <c r="D19" s="337" t="inlineStr">
        <is>
          <t>-</t>
        </is>
      </c>
      <c r="E19" s="460" t="n">
        <v>2.15</v>
      </c>
      <c r="F19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20" t="n"/>
    </row>
    <row r="20" ht="78.75" customHeight="1" s="318">
      <c r="A20" s="322" t="inlineStr">
        <is>
          <t>1.6</t>
        </is>
      </c>
      <c r="B20" s="332" t="inlineStr">
        <is>
          <t>Коэффициент инфляции, определяемый поквартально</t>
        </is>
      </c>
      <c r="C20" s="360" t="inlineStr">
        <is>
          <t>Кинф</t>
        </is>
      </c>
      <c r="D20" s="360" t="inlineStr">
        <is>
          <t>-</t>
        </is>
      </c>
      <c r="E20" s="459" t="n">
        <v>1.139</v>
      </c>
      <c r="F20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29" t="n"/>
    </row>
    <row r="21" ht="63" customHeight="1" s="318">
      <c r="A21" s="322" t="inlineStr">
        <is>
          <t>1.7</t>
        </is>
      </c>
      <c r="B21" s="344" t="inlineStr">
        <is>
          <t>Размер средств на оплату труда рабочих-строителей в текущем уровне цен (ФОТр.тек.), руб/чел.-ч</t>
        </is>
      </c>
      <c r="C21" s="360" t="inlineStr">
        <is>
          <t>ФОТр.тек.</t>
        </is>
      </c>
      <c r="D21" s="360" t="inlineStr">
        <is>
          <t>(С1ср/tср*КТ*Т*Кув)*Кинф</t>
        </is>
      </c>
      <c r="E21" s="345">
        <f>((E15*E17/E16)*E19)*E20</f>
        <v/>
      </c>
      <c r="F21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20" t="n"/>
    </row>
    <row r="22" ht="15.75" customHeight="1" s="318">
      <c r="A22" s="340" t="n"/>
      <c r="B22" s="341" t="inlineStr">
        <is>
          <t>Инженер II категории</t>
        </is>
      </c>
      <c r="C22" s="341" t="n"/>
      <c r="D22" s="341" t="n"/>
      <c r="E22" s="341" t="n"/>
      <c r="F22" s="342" t="n"/>
    </row>
    <row r="23" ht="110.25" customHeight="1" s="318">
      <c r="A23" s="322" t="inlineStr">
        <is>
          <t>1.1</t>
        </is>
      </c>
      <c r="B23" s="32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0" t="inlineStr">
        <is>
          <t>С1ср</t>
        </is>
      </c>
      <c r="D23" s="360" t="inlineStr">
        <is>
          <t>-</t>
        </is>
      </c>
      <c r="E23" s="325" t="n">
        <v>47872.94</v>
      </c>
      <c r="F23" s="32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20" t="n"/>
    </row>
    <row r="24" ht="31.5" customHeight="1" s="318">
      <c r="A24" s="322" t="inlineStr">
        <is>
          <t>1.2</t>
        </is>
      </c>
      <c r="B24" s="327" t="inlineStr">
        <is>
          <t>Среднегодовое нормативное число часов работы одного рабочего в месяц, часы (ч.)</t>
        </is>
      </c>
      <c r="C24" s="360" t="inlineStr">
        <is>
          <t>tср</t>
        </is>
      </c>
      <c r="D24" s="360" t="inlineStr">
        <is>
          <t>1973ч/12мес.</t>
        </is>
      </c>
      <c r="E24" s="326">
        <f>1973/12</f>
        <v/>
      </c>
      <c r="F24" s="327" t="inlineStr">
        <is>
          <t>Производственный календарь 2023 год
(40-часов.неделя)</t>
        </is>
      </c>
      <c r="G24" s="329" t="n"/>
    </row>
    <row r="25" ht="15.75" customHeight="1" s="318">
      <c r="A25" s="322" t="inlineStr">
        <is>
          <t>1.3</t>
        </is>
      </c>
      <c r="B25" s="327" t="inlineStr">
        <is>
          <t>Коэффициент увеличения</t>
        </is>
      </c>
      <c r="C25" s="360" t="inlineStr">
        <is>
          <t>Кув</t>
        </is>
      </c>
      <c r="D25" s="360" t="inlineStr">
        <is>
          <t>-</t>
        </is>
      </c>
      <c r="E25" s="326" t="n">
        <v>1</v>
      </c>
      <c r="F25" s="327" t="n"/>
      <c r="G25" s="329" t="n"/>
    </row>
    <row r="26" ht="15.75" customHeight="1" s="318">
      <c r="A26" s="322" t="inlineStr">
        <is>
          <t>1.4</t>
        </is>
      </c>
      <c r="B26" s="327" t="inlineStr">
        <is>
          <t>Средний разряд работ</t>
        </is>
      </c>
      <c r="C26" s="360" t="n"/>
      <c r="D26" s="360" t="n"/>
      <c r="E26" s="457" t="inlineStr">
        <is>
          <t>Инженер II категории</t>
        </is>
      </c>
      <c r="F26" s="327" t="inlineStr">
        <is>
          <t>РТМ</t>
        </is>
      </c>
      <c r="G26" s="329" t="n"/>
    </row>
    <row r="27" ht="78.75" customHeight="1" s="318">
      <c r="A27" s="335" t="inlineStr">
        <is>
          <t>1.5</t>
        </is>
      </c>
      <c r="B27" s="339" t="inlineStr">
        <is>
          <t>Тарифный коэффициент среднего разряда работ</t>
        </is>
      </c>
      <c r="C27" s="337" t="inlineStr">
        <is>
          <t>КТ</t>
        </is>
      </c>
      <c r="D27" s="337" t="inlineStr">
        <is>
          <t>-</t>
        </is>
      </c>
      <c r="E27" s="460" t="n">
        <v>1.96</v>
      </c>
      <c r="F27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20" t="n"/>
    </row>
    <row r="28" ht="94.5" customHeight="1" s="318">
      <c r="A28" s="322" t="inlineStr">
        <is>
          <t>1.6</t>
        </is>
      </c>
      <c r="B28" s="332" t="inlineStr">
        <is>
          <t>Коэффициент инфляции, определяемый поквартально</t>
        </is>
      </c>
      <c r="C28" s="360" t="inlineStr">
        <is>
          <t>Кинф</t>
        </is>
      </c>
      <c r="D28" s="360" t="inlineStr">
        <is>
          <t>-</t>
        </is>
      </c>
      <c r="E28" s="459" t="n">
        <v>1.139</v>
      </c>
      <c r="F28" s="3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29" t="n"/>
    </row>
    <row r="29" ht="63" customHeight="1" s="318">
      <c r="A29" s="322" t="inlineStr">
        <is>
          <t>1.7</t>
        </is>
      </c>
      <c r="B29" s="344" t="inlineStr">
        <is>
          <t>Размер средств на оплату труда рабочих-строителей в текущем уровне цен (ФОТр.тек.), руб/чел.-ч</t>
        </is>
      </c>
      <c r="C29" s="360" t="inlineStr">
        <is>
          <t>ФОТр.тек.</t>
        </is>
      </c>
      <c r="D29" s="360" t="inlineStr">
        <is>
          <t>(С1ср/tср*КТ*Т*Кув)*Кинф</t>
        </is>
      </c>
      <c r="E29" s="345">
        <f>((E23*E25/E24)*E27)*E28</f>
        <v/>
      </c>
      <c r="F29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2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2025-01-24T12:01:48Z</dcterms:modified>
  <cp:lastModifiedBy>Nikolay Ivanov</cp:lastModifiedBy>
  <cp:lastPrinted>2023-11-27T07:42:17Z</cp:lastPrinted>
</cp:coreProperties>
</file>