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ОБ'!$A$1:$J$61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"/>
    <numFmt numFmtId="169" formatCode="0.00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FF99"/>
      <sz val="12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68" fontId="16" fillId="0" borderId="0" pivotButton="0" quotePrefix="0" xfId="0"/>
    <xf numFmtId="10" fontId="16" fillId="0" borderId="0" pivotButton="0" quotePrefix="0" xfId="0"/>
    <xf numFmtId="0" fontId="20" fillId="0" borderId="0" pivotButton="0" quotePrefix="0" xfId="0"/>
    <xf numFmtId="166" fontId="16" fillId="0" borderId="0" pivotButton="0" quotePrefix="0" xfId="0"/>
    <xf numFmtId="4" fontId="19" fillId="0" borderId="0" pivotButton="0" quotePrefix="0" xfId="0"/>
    <xf numFmtId="43" fontId="1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43" fontId="18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2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9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8" fillId="0" borderId="0" pivotButton="0" quotePrefix="0" xfId="0"/>
    <xf numFmtId="166" fontId="16" fillId="0" borderId="0" pivotButton="0" quotePrefix="0" xfId="0"/>
    <xf numFmtId="168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15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36.85546875" customWidth="1" style="300" min="3" max="3"/>
    <col width="39.42578125" customWidth="1" style="300" min="4" max="4"/>
    <col hidden="1" width="36.5703125" customWidth="1" style="300" min="5" max="6"/>
    <col width="9.140625" customWidth="1" style="300" min="7" max="11"/>
    <col width="14.7109375" customWidth="1" style="300" min="12" max="12"/>
    <col width="17.7109375" customWidth="1" style="300" min="13" max="13"/>
    <col width="9.140625" customWidth="1" style="300" min="14" max="14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  <c r="E5" s="165" t="n"/>
      <c r="F5" s="165" t="n"/>
    </row>
    <row r="6">
      <c r="B6" s="165" t="n"/>
      <c r="C6" s="165" t="n"/>
      <c r="D6" s="165" t="n"/>
      <c r="E6" s="165" t="n"/>
      <c r="F6" s="165" t="n"/>
    </row>
    <row r="7" ht="48.75" customHeight="1" s="298">
      <c r="B7" s="327" t="inlineStr">
        <is>
          <t>Наименование разрабатываемого показателя УНЦ — Сети связи. Регистратор записи диспетчерских переговоров</t>
        </is>
      </c>
    </row>
    <row r="8" ht="31.5" customHeight="1" s="298">
      <c r="B8" s="327" t="inlineStr">
        <is>
          <t>Сопоставимый уровень цен: 2 кв. 2019</t>
        </is>
      </c>
    </row>
    <row r="9">
      <c r="B9" s="327" t="inlineStr">
        <is>
          <t>Единица измерения  — 1 объект</t>
        </is>
      </c>
    </row>
    <row r="10">
      <c r="B10" s="327" t="n"/>
    </row>
    <row r="11">
      <c r="B11" s="330" t="inlineStr">
        <is>
          <t>№ п/п</t>
        </is>
      </c>
      <c r="C11" s="330" t="inlineStr">
        <is>
          <t>Параметр</t>
        </is>
      </c>
      <c r="D11" s="312" t="inlineStr">
        <is>
          <t>Объект-представитель 1</t>
        </is>
      </c>
      <c r="E11" s="312" t="n"/>
      <c r="F11" s="312" t="n"/>
    </row>
    <row r="12" ht="63" customHeight="1" s="298">
      <c r="B12" s="330" t="n">
        <v>1</v>
      </c>
      <c r="C12" s="312" t="inlineStr">
        <is>
          <t>Наименование объекта-представителя</t>
        </is>
      </c>
      <c r="D12" s="330" t="inlineStr">
        <is>
          <t>ВЛ 220 кВ Означенное – Степная (участок от опоры 64 до ПС 220 кВ Степная) и ПС 220 кВ Степная с заходами 220 кВ</t>
        </is>
      </c>
      <c r="E12" s="312" t="n"/>
      <c r="F12" s="312" t="n"/>
    </row>
    <row r="13" ht="31.5" customHeight="1" s="298">
      <c r="B13" s="330" t="n">
        <v>2</v>
      </c>
      <c r="C13" s="312" t="inlineStr">
        <is>
          <t>Наименование субъекта Российской Федерации</t>
        </is>
      </c>
      <c r="D13" s="330" t="inlineStr">
        <is>
          <t>Республика Хакасия</t>
        </is>
      </c>
      <c r="E13" s="312" t="n"/>
      <c r="F13" s="312" t="n"/>
    </row>
    <row r="14">
      <c r="B14" s="330" t="n">
        <v>3</v>
      </c>
      <c r="C14" s="312" t="inlineStr">
        <is>
          <t>Климатический район и подрайон</t>
        </is>
      </c>
      <c r="D14" s="330" t="inlineStr">
        <is>
          <t>IД</t>
        </is>
      </c>
      <c r="E14" s="312" t="n"/>
      <c r="F14" s="312" t="n"/>
    </row>
    <row r="15">
      <c r="B15" s="330" t="n">
        <v>4</v>
      </c>
      <c r="C15" s="312" t="inlineStr">
        <is>
          <t>Мощность объекта</t>
        </is>
      </c>
      <c r="D15" s="330" t="n">
        <v>1</v>
      </c>
      <c r="E15" s="307" t="n"/>
      <c r="F15" s="307" t="n"/>
    </row>
    <row r="16" ht="94.5" customHeight="1" s="298">
      <c r="B16" s="330" t="n">
        <v>5</v>
      </c>
      <c r="C16" s="16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Cистема записи диспетчерских переговоров СЗП</t>
        </is>
      </c>
      <c r="E16" s="312" t="n"/>
      <c r="F16" s="312" t="n"/>
    </row>
    <row r="17" ht="78.75" customHeight="1" s="298">
      <c r="B17" s="330" t="n">
        <v>6</v>
      </c>
      <c r="C17" s="16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9">
        <f>SUM(D18:D21)</f>
        <v/>
      </c>
      <c r="E17" s="169" t="n"/>
      <c r="F17" s="169" t="n"/>
    </row>
    <row r="18">
      <c r="B18" s="170" t="inlineStr">
        <is>
          <t>6.1</t>
        </is>
      </c>
      <c r="C18" s="312" t="inlineStr">
        <is>
          <t>строительно-монтажные работы</t>
        </is>
      </c>
      <c r="D18" s="169" t="n">
        <v>42.99097</v>
      </c>
      <c r="E18" s="169" t="n"/>
      <c r="F18" s="169" t="n"/>
    </row>
    <row r="19" ht="15.75" customHeight="1" s="298">
      <c r="B19" s="170" t="inlineStr">
        <is>
          <t>6.2</t>
        </is>
      </c>
      <c r="C19" s="312" t="inlineStr">
        <is>
          <t>оборудование и инвентарь</t>
        </is>
      </c>
      <c r="D19" s="169" t="n">
        <v>1136.5016</v>
      </c>
      <c r="E19" s="169" t="n"/>
      <c r="F19" s="169" t="n"/>
    </row>
    <row r="20" ht="16.5" customHeight="1" s="298">
      <c r="B20" s="170" t="inlineStr">
        <is>
          <t>6.3</t>
        </is>
      </c>
      <c r="C20" s="312" t="inlineStr">
        <is>
          <t>пусконаладочные работы</t>
        </is>
      </c>
      <c r="D20" s="169" t="n"/>
      <c r="E20" s="169" t="n"/>
      <c r="F20" s="169" t="n"/>
      <c r="L20" s="411" t="n"/>
    </row>
    <row r="21" ht="35.25" customHeight="1" s="298">
      <c r="B21" s="170" t="inlineStr">
        <is>
          <t>6.4</t>
        </is>
      </c>
      <c r="C21" s="171" t="inlineStr">
        <is>
          <t>прочие и лимитированные затраты</t>
        </is>
      </c>
      <c r="D21" s="169">
        <f>D18*3.9%+(D18+D18*3.9%)*4.3%*0.9</f>
        <v/>
      </c>
      <c r="E21" s="169" t="n"/>
      <c r="F21" s="169" t="n"/>
    </row>
    <row r="22">
      <c r="B22" s="330" t="n">
        <v>7</v>
      </c>
      <c r="C22" s="171" t="inlineStr">
        <is>
          <t>Сопоставимый уровень цен</t>
        </is>
      </c>
      <c r="D22" s="330" t="inlineStr">
        <is>
          <t>2 кв 2019</t>
        </is>
      </c>
      <c r="E22" s="330" t="n"/>
      <c r="F22" s="169" t="n"/>
      <c r="G22" s="222" t="n"/>
    </row>
    <row r="23" ht="123" customHeight="1" s="298">
      <c r="B23" s="330" t="n">
        <v>8</v>
      </c>
      <c r="C23" s="1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9">
        <f>(D18+D21)/6.71*8.45+D19/4.65*4.65+D20/12.13*20.41</f>
        <v/>
      </c>
      <c r="E23" s="169" t="n"/>
      <c r="F23" s="412" t="n"/>
      <c r="G23" s="268" t="inlineStr">
        <is>
          <t> </t>
        </is>
      </c>
    </row>
    <row r="24" ht="60.75" customHeight="1" s="298">
      <c r="B24" s="330" t="n">
        <v>9</v>
      </c>
      <c r="C24" s="168" t="inlineStr">
        <is>
          <t>Приведенная сметная стоимость на единицу мощности, тыс. руб. (строка 8/строку 4)</t>
        </is>
      </c>
      <c r="D24" s="169">
        <f>D23/D15</f>
        <v/>
      </c>
      <c r="E24" s="169" t="n"/>
      <c r="F24" s="169" t="n"/>
    </row>
    <row r="25" ht="110.25" customHeight="1" s="298">
      <c r="B25" s="330" t="n">
        <v>10</v>
      </c>
      <c r="C25" s="312" t="inlineStr">
        <is>
          <t>Примечание</t>
        </is>
      </c>
      <c r="D25" s="330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объект</t>
        </is>
      </c>
      <c r="E25" s="312" t="n"/>
      <c r="F25" s="312" t="n"/>
    </row>
    <row r="26">
      <c r="B26" s="174" t="n"/>
      <c r="C26" s="175" t="n"/>
      <c r="D26" s="175" t="n"/>
      <c r="E26" s="175" t="n"/>
      <c r="F26" s="175" t="n"/>
    </row>
    <row r="27" ht="37.5" customHeight="1" s="298">
      <c r="B27" s="176" t="n"/>
    </row>
    <row r="28">
      <c r="B28" s="300" t="inlineStr">
        <is>
          <t>Составил ______________________        Д.Ю. Нефедова</t>
        </is>
      </c>
    </row>
    <row r="29">
      <c r="B29" s="176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176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41"/>
  <sheetViews>
    <sheetView view="pageBreakPreview" zoomScale="85" zoomScaleNormal="70" workbookViewId="0">
      <selection activeCell="C22" sqref="C22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9.140625" customWidth="1" style="300" min="11" max="11"/>
  </cols>
  <sheetData>
    <row r="3">
      <c r="B3" s="325" t="inlineStr">
        <is>
          <t>Приложение № 2</t>
        </is>
      </c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</row>
    <row r="6" ht="30" customHeight="1" s="298">
      <c r="B6" s="329" t="inlineStr">
        <is>
          <t>Наименование разрабатываемого показателя УНЦ — Сети связи. Регистратор записи диспетчерских переговоров</t>
        </is>
      </c>
    </row>
    <row r="7">
      <c r="B7" s="327" t="inlineStr">
        <is>
          <t>Единица измерения  — 1 объект</t>
        </is>
      </c>
    </row>
    <row r="8">
      <c r="B8" s="327" t="n"/>
    </row>
    <row r="9" ht="15.75" customHeight="1" s="298">
      <c r="B9" s="330" t="inlineStr">
        <is>
          <t>№ п/п</t>
        </is>
      </c>
      <c r="C9" s="3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0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98">
      <c r="B10" s="415" t="n"/>
      <c r="C10" s="415" t="n"/>
      <c r="D10" s="330" t="inlineStr">
        <is>
          <t>Номер сметы</t>
        </is>
      </c>
      <c r="E10" s="330" t="inlineStr">
        <is>
          <t>Наименование сметы</t>
        </is>
      </c>
      <c r="F10" s="330" t="inlineStr">
        <is>
          <t>Сметная стоимость в уровне цен 2 кв. 2019 г., тыс. руб.</t>
        </is>
      </c>
      <c r="G10" s="413" t="n"/>
      <c r="H10" s="413" t="n"/>
      <c r="I10" s="413" t="n"/>
      <c r="J10" s="414" t="n"/>
    </row>
    <row r="11" ht="31.5" customHeight="1" s="298">
      <c r="B11" s="416" t="n"/>
      <c r="C11" s="416" t="n"/>
      <c r="D11" s="416" t="n"/>
      <c r="E11" s="416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141.75" customHeight="1" s="298">
      <c r="B12" s="177" t="n">
        <v>1</v>
      </c>
      <c r="C12" s="283" t="inlineStr">
        <is>
          <t>Cистема записи диспетчерских переговоров СЗП</t>
        </is>
      </c>
      <c r="D12" s="284" t="inlineStr">
        <is>
          <t>05-01-16</t>
        </is>
      </c>
      <c r="E12" s="312" t="inlineStr">
        <is>
          <t>Системы связи. Объекты ПАО " ФСК ЕЭС" Комплекс внутриобъектовой связи, СКС и ЦСПИ  Системы связи. Объекты  ПАО " ФСК ЕЭС" .1 этап строительства</t>
        </is>
      </c>
      <c r="F12" s="246" t="n">
        <v>0.59048</v>
      </c>
      <c r="G12" s="246" t="n">
        <v>42.40049</v>
      </c>
      <c r="H12" s="246" t="n">
        <v>1136.5016</v>
      </c>
      <c r="I12" s="247" t="n"/>
      <c r="J12" s="248">
        <f>SUM(F12:I12)</f>
        <v/>
      </c>
    </row>
    <row r="13" ht="15.75" customHeight="1" s="298">
      <c r="B13" s="328" t="inlineStr">
        <is>
          <t>Всего по объекту:</t>
        </is>
      </c>
      <c r="C13" s="413" t="n"/>
      <c r="D13" s="413" t="n"/>
      <c r="E13" s="414" t="n"/>
      <c r="F13" s="249">
        <f>SUM(F12:F12)</f>
        <v/>
      </c>
      <c r="G13" s="249">
        <f>SUM(G12:G12)</f>
        <v/>
      </c>
      <c r="H13" s="249">
        <f>SUM(H12:H12)</f>
        <v/>
      </c>
      <c r="I13" s="316" t="n"/>
      <c r="J13" s="251">
        <f>SUM(F13:I13)</f>
        <v/>
      </c>
    </row>
    <row r="14" ht="28.5" customHeight="1" s="298">
      <c r="B14" s="328" t="inlineStr">
        <is>
          <t>Всего по объекту в сопоставимом уровне цен 2 кв. 2019 г:</t>
        </is>
      </c>
      <c r="C14" s="413" t="n"/>
      <c r="D14" s="413" t="n"/>
      <c r="E14" s="414" t="n"/>
      <c r="F14" s="249">
        <f>F13</f>
        <v/>
      </c>
      <c r="G14" s="249">
        <f>G13</f>
        <v/>
      </c>
      <c r="H14" s="249">
        <f>H13</f>
        <v/>
      </c>
      <c r="I14" s="316" t="n"/>
      <c r="J14" s="251">
        <f>SUM(F14:I14)</f>
        <v/>
      </c>
    </row>
    <row r="15">
      <c r="B15" s="327" t="n"/>
    </row>
    <row r="18">
      <c r="B18" s="339" t="inlineStr">
        <is>
          <t>*</t>
        </is>
      </c>
      <c r="C18" s="300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00" t="inlineStr">
        <is>
          <t>Составил ______________________        Д.Ю. Нефедова</t>
        </is>
      </c>
    </row>
    <row r="23">
      <c r="B23" s="176" t="inlineStr">
        <is>
          <t xml:space="preserve">                         (подпись, инициалы, фамилия)</t>
        </is>
      </c>
    </row>
    <row r="25">
      <c r="B25" s="300" t="inlineStr">
        <is>
          <t>Проверил ______________________        А.В. Костянецкая</t>
        </is>
      </c>
    </row>
    <row r="26">
      <c r="B26" s="176" t="inlineStr">
        <is>
          <t xml:space="preserve">                        (подпись, инициалы, фамилия)</t>
        </is>
      </c>
    </row>
    <row r="28">
      <c r="G28" s="411" t="n"/>
      <c r="H28" s="411" t="n"/>
      <c r="I28" s="411" t="n"/>
      <c r="J28" s="417" t="n"/>
    </row>
    <row r="41">
      <c r="I41" s="41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4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4"/>
  <sheetViews>
    <sheetView view="pageBreakPreview" zoomScale="55" workbookViewId="0">
      <selection activeCell="C40" sqref="C40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211" min="5" max="5"/>
    <col width="20.7109375" customWidth="1" style="300" min="6" max="6"/>
    <col width="16.140625" customWidth="1" style="300" min="7" max="7"/>
    <col width="16.7109375" customWidth="1" style="300" min="8" max="8"/>
    <col width="9.140625" customWidth="1" style="300" min="9" max="9"/>
    <col width="10.140625" customWidth="1" style="300" min="10" max="10"/>
    <col width="14" customWidth="1" style="300" min="11" max="11"/>
    <col width="9.140625" customWidth="1" style="300" min="12" max="12"/>
  </cols>
  <sheetData>
    <row r="2">
      <c r="A2" s="325" t="inlineStr">
        <is>
          <t xml:space="preserve">Приложение № 3 </t>
        </is>
      </c>
    </row>
    <row r="3">
      <c r="A3" s="326" t="inlineStr">
        <is>
          <t>Объектная ресурсная ведомость</t>
        </is>
      </c>
    </row>
    <row r="4">
      <c r="A4" s="327" t="n"/>
    </row>
    <row r="5" ht="41.25" customHeight="1" s="298">
      <c r="A5" s="329" t="inlineStr">
        <is>
          <t>Наименование разрабатываемого показателя УНЦ - Сети связи. Регистратор записи диспетчерских переговоров</t>
        </is>
      </c>
    </row>
    <row r="6">
      <c r="A6" s="212" t="n"/>
      <c r="B6" s="212" t="n"/>
      <c r="C6" s="212" t="n"/>
      <c r="D6" s="212" t="n"/>
      <c r="E6" s="165" t="n"/>
      <c r="F6" s="212" t="n"/>
      <c r="G6" s="212" t="n"/>
      <c r="H6" s="212" t="n"/>
    </row>
    <row r="7" ht="38.25" customHeight="1" s="298">
      <c r="A7" s="330" t="inlineStr">
        <is>
          <t>п/п</t>
        </is>
      </c>
      <c r="B7" s="330" t="inlineStr">
        <is>
          <t>№ЛСР</t>
        </is>
      </c>
      <c r="C7" s="330" t="inlineStr">
        <is>
          <t>Код ресурса</t>
        </is>
      </c>
      <c r="D7" s="330" t="inlineStr">
        <is>
          <t>Наименование ресурса</t>
        </is>
      </c>
      <c r="E7" s="330" t="inlineStr">
        <is>
          <t>Ед. изм.</t>
        </is>
      </c>
      <c r="F7" s="330" t="inlineStr">
        <is>
          <t>Кол-во единиц по данным объекта-представителя</t>
        </is>
      </c>
      <c r="G7" s="330" t="inlineStr">
        <is>
          <t>Сметная стоимость в ценах на 01.01.2000 (руб.)</t>
        </is>
      </c>
      <c r="H7" s="414" t="n"/>
    </row>
    <row r="8" ht="40.5" customHeight="1" s="298">
      <c r="A8" s="416" t="n"/>
      <c r="B8" s="416" t="n"/>
      <c r="C8" s="416" t="n"/>
      <c r="D8" s="416" t="n"/>
      <c r="E8" s="416" t="n"/>
      <c r="F8" s="416" t="n"/>
      <c r="G8" s="330" t="inlineStr">
        <is>
          <t>на ед.изм.</t>
        </is>
      </c>
      <c r="H8" s="330" t="inlineStr">
        <is>
          <t>общая</t>
        </is>
      </c>
    </row>
    <row r="9">
      <c r="A9" s="283" t="n">
        <v>1</v>
      </c>
      <c r="B9" s="283" t="n"/>
      <c r="C9" s="283" t="n">
        <v>2</v>
      </c>
      <c r="D9" s="283" t="inlineStr">
        <is>
          <t>З</t>
        </is>
      </c>
      <c r="E9" s="283" t="n">
        <v>4</v>
      </c>
      <c r="F9" s="283" t="n">
        <v>5</v>
      </c>
      <c r="G9" s="283" t="n">
        <v>6</v>
      </c>
      <c r="H9" s="283" t="n">
        <v>7</v>
      </c>
    </row>
    <row r="10" customFormat="1" s="289">
      <c r="A10" s="334" t="inlineStr">
        <is>
          <t>Затраты труда рабочих</t>
        </is>
      </c>
      <c r="B10" s="413" t="n"/>
      <c r="C10" s="413" t="n"/>
      <c r="D10" s="413" t="n"/>
      <c r="E10" s="414" t="n"/>
      <c r="F10" s="214" t="n">
        <v>152.96</v>
      </c>
      <c r="G10" s="214" t="n"/>
      <c r="H10" s="214">
        <f>SUM(H11:H15)</f>
        <v/>
      </c>
    </row>
    <row r="11">
      <c r="A11" s="335" t="n">
        <v>1</v>
      </c>
      <c r="B11" s="217" t="inlineStr">
        <is>
          <t> </t>
        </is>
      </c>
      <c r="C11" s="282" t="inlineStr">
        <is>
          <t>1-6-0</t>
        </is>
      </c>
      <c r="D11" s="336" t="inlineStr">
        <is>
          <t>Затраты труда рабочих (ср 6)</t>
        </is>
      </c>
      <c r="E11" s="219" t="inlineStr">
        <is>
          <t>чел.-ч</t>
        </is>
      </c>
      <c r="F11" s="335" t="n">
        <v>124</v>
      </c>
      <c r="G11" s="178" t="n">
        <v>12.92</v>
      </c>
      <c r="H11" s="178">
        <f>ROUND(F11*G11,2)</f>
        <v/>
      </c>
      <c r="K11" s="419" t="n"/>
      <c r="L11" s="224" t="n"/>
    </row>
    <row r="12">
      <c r="A12" s="335" t="n">
        <v>2</v>
      </c>
      <c r="B12" s="217" t="inlineStr">
        <is>
          <t> </t>
        </is>
      </c>
      <c r="C12" s="282" t="inlineStr">
        <is>
          <t>1-3-0</t>
        </is>
      </c>
      <c r="D12" s="336" t="inlineStr">
        <is>
          <t>Затраты труда рабочих (ср 3)</t>
        </is>
      </c>
      <c r="E12" s="219" t="inlineStr">
        <is>
          <t>чел.-ч</t>
        </is>
      </c>
      <c r="F12" s="335" t="n">
        <v>13.4</v>
      </c>
      <c r="G12" s="178" t="n">
        <v>8.529999999999999</v>
      </c>
      <c r="H12" s="178">
        <f>ROUND(F12*G12,2)</f>
        <v/>
      </c>
      <c r="K12" s="419" t="n"/>
      <c r="L12" s="224" t="n"/>
    </row>
    <row r="13">
      <c r="A13" s="335" t="n">
        <v>3</v>
      </c>
      <c r="B13" s="217" t="inlineStr">
        <is>
          <t> </t>
        </is>
      </c>
      <c r="C13" s="282" t="inlineStr">
        <is>
          <t>1-4-2</t>
        </is>
      </c>
      <c r="D13" s="336" t="inlineStr">
        <is>
          <t>Затраты труда рабочих (ср 4,2)</t>
        </is>
      </c>
      <c r="E13" s="219" t="inlineStr">
        <is>
          <t>чел.-ч</t>
        </is>
      </c>
      <c r="F13" s="335" t="n">
        <v>8.4</v>
      </c>
      <c r="G13" s="178" t="n">
        <v>9.92</v>
      </c>
      <c r="H13" s="178">
        <f>ROUND(F13*G13,2)</f>
        <v/>
      </c>
      <c r="K13" s="419" t="n"/>
      <c r="L13" s="224" t="n"/>
    </row>
    <row r="14">
      <c r="A14" s="335" t="n">
        <v>4</v>
      </c>
      <c r="B14" s="217" t="inlineStr">
        <is>
          <t> </t>
        </is>
      </c>
      <c r="C14" s="282" t="inlineStr">
        <is>
          <t>1-4-0</t>
        </is>
      </c>
      <c r="D14" s="336" t="inlineStr">
        <is>
          <t>Затраты труда рабочих (ср 4)</t>
        </is>
      </c>
      <c r="E14" s="219" t="inlineStr">
        <is>
          <t>чел.-ч</t>
        </is>
      </c>
      <c r="F14" s="335" t="n">
        <v>5.1</v>
      </c>
      <c r="G14" s="178" t="n">
        <v>9.619999999999999</v>
      </c>
      <c r="H14" s="178">
        <f>ROUND(F14*G14,2)</f>
        <v/>
      </c>
      <c r="K14" s="419" t="n"/>
      <c r="L14" s="224" t="n"/>
    </row>
    <row r="15">
      <c r="A15" s="335" t="n">
        <v>5</v>
      </c>
      <c r="B15" s="217" t="inlineStr">
        <is>
          <t> </t>
        </is>
      </c>
      <c r="C15" s="282" t="inlineStr">
        <is>
          <t>1-3-1</t>
        </is>
      </c>
      <c r="D15" s="336" t="inlineStr">
        <is>
          <t>Затраты труда рабочих (ср 3,1)</t>
        </is>
      </c>
      <c r="E15" s="219" t="inlineStr">
        <is>
          <t>чел.-ч</t>
        </is>
      </c>
      <c r="F15" s="335" t="n">
        <v>2.06</v>
      </c>
      <c r="G15" s="178" t="n">
        <v>8.640000000000001</v>
      </c>
      <c r="H15" s="178">
        <f>ROUND(F15*G15,2)</f>
        <v/>
      </c>
      <c r="K15" s="419" t="n"/>
      <c r="L15" s="224" t="n"/>
    </row>
    <row r="16">
      <c r="A16" s="334" t="inlineStr">
        <is>
          <t>Затраты труда машинистов</t>
        </is>
      </c>
      <c r="B16" s="413" t="n"/>
      <c r="C16" s="413" t="n"/>
      <c r="D16" s="413" t="n"/>
      <c r="E16" s="414" t="n"/>
      <c r="F16" s="334" t="n">
        <v>2.56</v>
      </c>
      <c r="G16" s="214" t="n"/>
      <c r="H16" s="214">
        <f>H17</f>
        <v/>
      </c>
    </row>
    <row r="17">
      <c r="A17" s="335" t="n">
        <v>6</v>
      </c>
      <c r="B17" s="335" t="inlineStr">
        <is>
          <t> </t>
        </is>
      </c>
      <c r="C17" s="336" t="n">
        <v>2</v>
      </c>
      <c r="D17" s="336" t="inlineStr">
        <is>
          <t>Затраты труда машинистов</t>
        </is>
      </c>
      <c r="E17" s="219" t="inlineStr">
        <is>
          <t>чел.-ч</t>
        </is>
      </c>
      <c r="F17" s="335" t="n">
        <v>2.56</v>
      </c>
      <c r="G17" s="178" t="n"/>
      <c r="H17" s="178" t="n">
        <v>25.78</v>
      </c>
    </row>
    <row r="18" customFormat="1" s="289">
      <c r="A18" s="334" t="inlineStr">
        <is>
          <t>Машины и механизмы</t>
        </is>
      </c>
      <c r="B18" s="413" t="n"/>
      <c r="C18" s="413" t="n"/>
      <c r="D18" s="413" t="n"/>
      <c r="E18" s="414" t="n"/>
      <c r="F18" s="334" t="n"/>
      <c r="G18" s="214" t="n"/>
      <c r="H18" s="214">
        <f>SUM(H19:H22)</f>
        <v/>
      </c>
    </row>
    <row r="19">
      <c r="A19" s="335" t="n">
        <v>7</v>
      </c>
      <c r="B19" s="335" t="inlineStr">
        <is>
          <t> </t>
        </is>
      </c>
      <c r="C19" s="336" t="inlineStr">
        <is>
          <t>91.06.05-011</t>
        </is>
      </c>
      <c r="D19" s="336" t="inlineStr">
        <is>
          <t>Погрузчики, грузоподъемность 5 т</t>
        </is>
      </c>
      <c r="E19" s="219" t="inlineStr">
        <is>
          <t>маш.час</t>
        </is>
      </c>
      <c r="F19" s="335" t="n">
        <v>2.54</v>
      </c>
      <c r="G19" s="178" t="n">
        <v>89.98999999999999</v>
      </c>
      <c r="H19" s="178">
        <f>ROUND(F19*G19,2)</f>
        <v/>
      </c>
      <c r="J19" s="221" t="n"/>
    </row>
    <row r="20" ht="31.5" customHeight="1" s="298">
      <c r="A20" s="335" t="n">
        <v>8</v>
      </c>
      <c r="B20" s="335" t="inlineStr">
        <is>
          <t> </t>
        </is>
      </c>
      <c r="C20" s="336" t="inlineStr">
        <is>
          <t>91.17.04-233</t>
        </is>
      </c>
      <c r="D20" s="336" t="inlineStr">
        <is>
          <t>Установки для сварки ручной дуговой (постоянного тока)</t>
        </is>
      </c>
      <c r="E20" s="219" t="inlineStr">
        <is>
          <t>маш.час</t>
        </is>
      </c>
      <c r="F20" s="335" t="n">
        <v>0.52</v>
      </c>
      <c r="G20" s="178" t="n">
        <v>8.1</v>
      </c>
      <c r="H20" s="178">
        <f>ROUND(F20*G20,2)</f>
        <v/>
      </c>
      <c r="J20" s="221" t="n"/>
    </row>
    <row r="21" ht="31.5" customHeight="1" s="298">
      <c r="A21" s="335" t="n">
        <v>9</v>
      </c>
      <c r="B21" s="335" t="inlineStr">
        <is>
          <t> </t>
        </is>
      </c>
      <c r="C21" s="336" t="inlineStr">
        <is>
          <t>91.06.03-060</t>
        </is>
      </c>
      <c r="D21" s="336" t="inlineStr">
        <is>
          <t>Лебедки электрические тяговым усилием до 5,79 кН (0,59 т)</t>
        </is>
      </c>
      <c r="E21" s="219" t="inlineStr">
        <is>
          <t>маш.час</t>
        </is>
      </c>
      <c r="F21" s="335" t="n">
        <v>1.6</v>
      </c>
      <c r="G21" s="178" t="n">
        <v>1.7</v>
      </c>
      <c r="H21" s="178">
        <f>ROUND(F21*G21,2)</f>
        <v/>
      </c>
      <c r="J21" s="221" t="n"/>
      <c r="K21" s="221" t="n"/>
    </row>
    <row r="22" ht="31.5" customHeight="1" s="298">
      <c r="A22" s="335" t="n">
        <v>10</v>
      </c>
      <c r="B22" s="335" t="inlineStr">
        <is>
          <t> </t>
        </is>
      </c>
      <c r="C22" s="336" t="inlineStr">
        <is>
          <t>91.14.02-001</t>
        </is>
      </c>
      <c r="D22" s="336" t="inlineStr">
        <is>
          <t>Автомобили бортовые, грузоподъемность до 5 т</t>
        </is>
      </c>
      <c r="E22" s="219" t="inlineStr">
        <is>
          <t>маш.час</t>
        </is>
      </c>
      <c r="F22" s="335" t="n">
        <v>0.02</v>
      </c>
      <c r="G22" s="178" t="n">
        <v>65.70999999999999</v>
      </c>
      <c r="H22" s="178">
        <f>ROUND(F22*G22,2)</f>
        <v/>
      </c>
      <c r="J22" s="221" t="n"/>
    </row>
    <row r="23">
      <c r="A23" s="334" t="inlineStr">
        <is>
          <t>Оборудование</t>
        </is>
      </c>
      <c r="B23" s="413" t="n"/>
      <c r="C23" s="413" t="n"/>
      <c r="D23" s="413" t="n"/>
      <c r="E23" s="414" t="n"/>
      <c r="F23" s="334" t="n"/>
      <c r="G23" s="214" t="n"/>
      <c r="H23" s="214">
        <f>SUM(H24:H24)</f>
        <v/>
      </c>
    </row>
    <row r="24" customFormat="1" s="289">
      <c r="A24" s="335" t="n">
        <v>11</v>
      </c>
      <c r="B24" s="335" t="inlineStr">
        <is>
          <t> </t>
        </is>
      </c>
      <c r="C24" s="336" t="inlineStr">
        <is>
          <t>Прайс из СД ОП</t>
        </is>
      </c>
      <c r="D24" s="336" t="inlineStr">
        <is>
          <t>Шкаф  CЗП  разм. 2200х800х800</t>
        </is>
      </c>
      <c r="E24" s="219" t="inlineStr">
        <is>
          <t>шт</t>
        </is>
      </c>
      <c r="F24" s="335" t="n">
        <v>1</v>
      </c>
      <c r="G24" s="178" t="n">
        <v>244408.95</v>
      </c>
      <c r="H24" s="178">
        <f>ROUND(F24*G24,2)</f>
        <v/>
      </c>
      <c r="J24" s="221" t="n"/>
    </row>
    <row r="25">
      <c r="A25" s="334" t="inlineStr">
        <is>
          <t>Материалы</t>
        </is>
      </c>
      <c r="B25" s="413" t="n"/>
      <c r="C25" s="413" t="n"/>
      <c r="D25" s="413" t="n"/>
      <c r="E25" s="414" t="n"/>
      <c r="F25" s="334" t="n"/>
      <c r="G25" s="214" t="n"/>
      <c r="H25" s="214">
        <f>SUM(H26:H37)</f>
        <v/>
      </c>
    </row>
    <row r="26" ht="31.5" customHeight="1" s="298">
      <c r="A26" s="335" t="n">
        <v>12</v>
      </c>
      <c r="B26" s="335" t="inlineStr">
        <is>
          <t> </t>
        </is>
      </c>
      <c r="C26" s="336" t="inlineStr">
        <is>
          <t>11.2.11.05-0002</t>
        </is>
      </c>
      <c r="D26" s="336" t="inlineStr">
        <is>
          <t>Фанера клееная обрезная, сорт В/ВВ, ФК, ФБА, толщина 4 мм</t>
        </is>
      </c>
      <c r="E26" s="219" t="inlineStr">
        <is>
          <t>м3</t>
        </is>
      </c>
      <c r="F26" s="335" t="n">
        <v>0.008</v>
      </c>
      <c r="G26" s="178" t="n">
        <v>4949.4</v>
      </c>
      <c r="H26" s="178">
        <f>ROUND(F26*G26,2)</f>
        <v/>
      </c>
      <c r="J26" s="221" t="n"/>
    </row>
    <row r="27" ht="31.5" customHeight="1" s="298">
      <c r="A27" s="335" t="n">
        <v>13</v>
      </c>
      <c r="B27" s="335" t="inlineStr">
        <is>
          <t> </t>
        </is>
      </c>
      <c r="C27" s="336" t="inlineStr">
        <is>
          <t>999-9950</t>
        </is>
      </c>
      <c r="D27" s="336" t="inlineStr">
        <is>
          <t>Вспомогательные ненормируемые ресурсы (2% от Оплаты труда рабочих)</t>
        </is>
      </c>
      <c r="E27" s="219" t="inlineStr">
        <is>
          <t>руб</t>
        </is>
      </c>
      <c r="F27" s="335" t="n">
        <v>36.87</v>
      </c>
      <c r="G27" s="178" t="n">
        <v>1</v>
      </c>
      <c r="H27" s="178">
        <f>ROUND(F27*G27,2)</f>
        <v/>
      </c>
      <c r="J27" s="221" t="n"/>
    </row>
    <row r="28">
      <c r="A28" s="335" t="n">
        <v>14</v>
      </c>
      <c r="B28" s="335" t="inlineStr">
        <is>
          <t> </t>
        </is>
      </c>
      <c r="C28" s="336" t="inlineStr">
        <is>
          <t>08.3.08.02-0022</t>
        </is>
      </c>
      <c r="D28" s="336" t="inlineStr">
        <is>
          <t>Уголок горячекатаный, размер 50х50 мм</t>
        </is>
      </c>
      <c r="E28" s="219" t="inlineStr">
        <is>
          <t>т</t>
        </is>
      </c>
      <c r="F28" s="335" t="n">
        <v>0.0031</v>
      </c>
      <c r="G28" s="178" t="n">
        <v>5763</v>
      </c>
      <c r="H28" s="178">
        <f>ROUND(F28*G28,2)</f>
        <v/>
      </c>
      <c r="J28" s="221" t="n"/>
      <c r="K28" s="221" t="n"/>
    </row>
    <row r="29" ht="31.5" customHeight="1" s="298">
      <c r="A29" s="335" t="n">
        <v>15</v>
      </c>
      <c r="B29" s="335" t="inlineStr">
        <is>
          <t> </t>
        </is>
      </c>
      <c r="C29" s="336" t="inlineStr">
        <is>
          <t>01.7.15.03-0031</t>
        </is>
      </c>
      <c r="D29" s="336" t="inlineStr">
        <is>
          <t>Болты с гайками и шайбами оцинкованные, диаметр 6 мм</t>
        </is>
      </c>
      <c r="E29" s="219" t="inlineStr">
        <is>
          <t>кг</t>
        </is>
      </c>
      <c r="F29" s="335" t="n">
        <v>0.474</v>
      </c>
      <c r="G29" s="178" t="n">
        <v>28.22</v>
      </c>
      <c r="H29" s="178">
        <f>ROUND(F29*G29,2)</f>
        <v/>
      </c>
      <c r="J29" s="221" t="n"/>
      <c r="K29" s="221" t="n"/>
    </row>
    <row r="30">
      <c r="A30" s="335" t="n">
        <v>16</v>
      </c>
      <c r="B30" s="335" t="inlineStr">
        <is>
          <t> </t>
        </is>
      </c>
      <c r="C30" s="336" t="inlineStr">
        <is>
          <t>01.7.20.03-0012</t>
        </is>
      </c>
      <c r="D30" s="336" t="inlineStr">
        <is>
          <t>Мешковина джутовая</t>
        </is>
      </c>
      <c r="E30" s="219" t="inlineStr">
        <is>
          <t>м2</t>
        </is>
      </c>
      <c r="F30" s="335" t="n">
        <v>0.45</v>
      </c>
      <c r="G30" s="178" t="n">
        <v>8.33</v>
      </c>
      <c r="H30" s="178">
        <f>ROUND(F30*G30,2)</f>
        <v/>
      </c>
      <c r="J30" s="221" t="n"/>
    </row>
    <row r="31" ht="47.25" customHeight="1" s="298">
      <c r="A31" s="335" t="n">
        <v>17</v>
      </c>
      <c r="B31" s="335" t="inlineStr">
        <is>
          <t> </t>
        </is>
      </c>
      <c r="C31" s="336" t="inlineStr">
        <is>
          <t>14.4.02.04-0221</t>
        </is>
      </c>
      <c r="D31" s="336" t="inlineStr">
        <is>
          <t>Краска масляная готовая к применению для наружных и внутренних работ МА-15, белила цинковые</t>
        </is>
      </c>
      <c r="E31" s="219" t="inlineStr">
        <is>
          <t>т</t>
        </is>
      </c>
      <c r="F31" s="335" t="n">
        <v>0.00012</v>
      </c>
      <c r="G31" s="178" t="n">
        <v>26932.42</v>
      </c>
      <c r="H31" s="178">
        <f>ROUND(F31*G31,2)</f>
        <v/>
      </c>
      <c r="J31" s="221" t="n"/>
    </row>
    <row r="32" ht="31.5" customHeight="1" s="298">
      <c r="A32" s="335" t="n">
        <v>18</v>
      </c>
      <c r="B32" s="335" t="inlineStr">
        <is>
          <t> </t>
        </is>
      </c>
      <c r="C32" s="336" t="inlineStr">
        <is>
          <t>01.7.15.04-0056</t>
        </is>
      </c>
      <c r="D32" s="336" t="inlineStr">
        <is>
          <t>Винты самонарезающие, с уплотнительной прокладкой, размер 4,8х35 мм</t>
        </is>
      </c>
      <c r="E32" s="219" t="inlineStr">
        <is>
          <t>100 шт</t>
        </is>
      </c>
      <c r="F32" s="335" t="n">
        <v>0.16</v>
      </c>
      <c r="G32" s="178" t="n">
        <v>20</v>
      </c>
      <c r="H32" s="178">
        <f>ROUND(F32*G32,2)</f>
        <v/>
      </c>
      <c r="J32" s="221" t="n"/>
    </row>
    <row r="33">
      <c r="A33" s="335" t="n">
        <v>19</v>
      </c>
      <c r="B33" s="335" t="inlineStr">
        <is>
          <t> </t>
        </is>
      </c>
      <c r="C33" s="336" t="inlineStr">
        <is>
          <t>14.5.05.02-0001</t>
        </is>
      </c>
      <c r="D33" s="336" t="inlineStr">
        <is>
          <t>Олифа натуральная</t>
        </is>
      </c>
      <c r="E33" s="219" t="inlineStr">
        <is>
          <t>кг</t>
        </is>
      </c>
      <c r="F33" s="335" t="n">
        <v>0.07000000000000001</v>
      </c>
      <c r="G33" s="178" t="n">
        <v>32.6</v>
      </c>
      <c r="H33" s="178">
        <f>ROUND(F33*G33,2)</f>
        <v/>
      </c>
      <c r="J33" s="221" t="n"/>
    </row>
    <row r="34">
      <c r="A34" s="335" t="n">
        <v>20</v>
      </c>
      <c r="B34" s="335" t="inlineStr">
        <is>
          <t> </t>
        </is>
      </c>
      <c r="C34" s="336" t="inlineStr">
        <is>
          <t>01.7.11.07-0032</t>
        </is>
      </c>
      <c r="D34" s="336" t="inlineStr">
        <is>
          <t>Электроды сварочные Э42, диаметр 4 мм</t>
        </is>
      </c>
      <c r="E34" s="219" t="inlineStr">
        <is>
          <t>т</t>
        </is>
      </c>
      <c r="F34" s="335" t="n">
        <v>0.00014</v>
      </c>
      <c r="G34" s="178" t="n">
        <v>10315.01</v>
      </c>
      <c r="H34" s="178">
        <f>ROUND(F34*G34,2)</f>
        <v/>
      </c>
      <c r="J34" s="221" t="n"/>
    </row>
    <row r="35">
      <c r="A35" s="335" t="n">
        <v>21</v>
      </c>
      <c r="B35" s="335" t="inlineStr">
        <is>
          <t> </t>
        </is>
      </c>
      <c r="C35" s="336" t="inlineStr">
        <is>
          <t>01.7.02.07-0011</t>
        </is>
      </c>
      <c r="D35" s="336" t="inlineStr">
        <is>
          <t>Прессшпан листовой, марка А</t>
        </is>
      </c>
      <c r="E35" s="219" t="inlineStr">
        <is>
          <t>кг</t>
        </is>
      </c>
      <c r="F35" s="335" t="n">
        <v>0.015</v>
      </c>
      <c r="G35" s="178" t="n">
        <v>47.57</v>
      </c>
      <c r="H35" s="178">
        <f>ROUND(F35*G35,2)</f>
        <v/>
      </c>
      <c r="J35" s="221" t="n"/>
    </row>
    <row r="36">
      <c r="A36" s="335" t="n">
        <v>22</v>
      </c>
      <c r="B36" s="335" t="inlineStr">
        <is>
          <t> </t>
        </is>
      </c>
      <c r="C36" s="336" t="inlineStr">
        <is>
          <t>14.1.01.01-0003</t>
        </is>
      </c>
      <c r="D36" s="336" t="inlineStr">
        <is>
          <t>Клей столярный сухой</t>
        </is>
      </c>
      <c r="E36" s="219" t="inlineStr">
        <is>
          <t>кг</t>
        </is>
      </c>
      <c r="F36" s="335" t="n">
        <v>0.025</v>
      </c>
      <c r="G36" s="178" t="n">
        <v>16.95</v>
      </c>
      <c r="H36" s="178">
        <f>ROUND(F36*G36,2)</f>
        <v/>
      </c>
      <c r="J36" s="221" t="n"/>
    </row>
    <row r="37">
      <c r="A37" s="335" t="n">
        <v>23</v>
      </c>
      <c r="B37" s="335" t="inlineStr">
        <is>
          <t> </t>
        </is>
      </c>
      <c r="C37" s="336" t="inlineStr">
        <is>
          <t>08.1.02.04-0012</t>
        </is>
      </c>
      <c r="D37" s="336" t="inlineStr">
        <is>
          <t>Жесть белая, толщина 0,25 мм</t>
        </is>
      </c>
      <c r="E37" s="219" t="inlineStr">
        <is>
          <t>кг</t>
        </is>
      </c>
      <c r="F37" s="335" t="n">
        <v>0.03</v>
      </c>
      <c r="G37" s="178" t="n">
        <v>10.97</v>
      </c>
      <c r="H37" s="178">
        <f>ROUND(F37*G37,2)</f>
        <v/>
      </c>
      <c r="J37" s="221" t="n"/>
    </row>
    <row r="40">
      <c r="B40" s="300" t="inlineStr">
        <is>
          <t>Составил ______________________        Д.Ю. Нефедова</t>
        </is>
      </c>
    </row>
    <row r="41">
      <c r="B41" s="176" t="inlineStr">
        <is>
          <t xml:space="preserve">                         (подпись, инициалы, фамилия)</t>
        </is>
      </c>
    </row>
    <row r="43">
      <c r="B43" s="300" t="inlineStr">
        <is>
          <t>Проверил ______________________        А.В. Костянецкая</t>
        </is>
      </c>
    </row>
    <row r="44">
      <c r="B44" s="176" t="inlineStr">
        <is>
          <t xml:space="preserve">                        (подпись, инициалы, фамилия)</t>
        </is>
      </c>
    </row>
  </sheetData>
  <mergeCells count="15">
    <mergeCell ref="A3:H3"/>
    <mergeCell ref="A16:E16"/>
    <mergeCell ref="G7:H7"/>
    <mergeCell ref="A10:E10"/>
    <mergeCell ref="A25:E25"/>
    <mergeCell ref="A2:H2"/>
    <mergeCell ref="C7:C8"/>
    <mergeCell ref="A7:A8"/>
    <mergeCell ref="B7:B8"/>
    <mergeCell ref="D7:D8"/>
    <mergeCell ref="E7:E8"/>
    <mergeCell ref="A23:E23"/>
    <mergeCell ref="F7:F8"/>
    <mergeCell ref="A5:H5"/>
    <mergeCell ref="A18:E18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9.140625" customWidth="1" style="298" min="7" max="10"/>
    <col width="13.5703125" customWidth="1" style="298" min="11" max="11"/>
    <col width="9.140625" customWidth="1" style="298" min="12" max="12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59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18" t="inlineStr">
        <is>
          <t>Ресурсная модель</t>
        </is>
      </c>
    </row>
    <row r="6">
      <c r="B6" s="239" t="n"/>
      <c r="C6" s="294" t="n"/>
      <c r="D6" s="294" t="n"/>
      <c r="E6" s="294" t="n"/>
    </row>
    <row r="7" ht="25.5" customHeight="1" s="298">
      <c r="B7" s="337" t="inlineStr">
        <is>
          <t>Наименование разрабатываемого показателя УНЦ — Сети связи. Регистратор записи диспетчерских переговоров</t>
        </is>
      </c>
    </row>
    <row r="8">
      <c r="B8" s="338" t="inlineStr">
        <is>
          <t>Единица измерения  — 1 объект</t>
        </is>
      </c>
    </row>
    <row r="9">
      <c r="B9" s="239" t="n"/>
      <c r="C9" s="294" t="n"/>
      <c r="D9" s="294" t="n"/>
      <c r="E9" s="294" t="n"/>
    </row>
    <row r="10" ht="51" customHeight="1" s="298">
      <c r="B10" s="342" t="inlineStr">
        <is>
          <t>Наименование</t>
        </is>
      </c>
      <c r="C10" s="342" t="inlineStr">
        <is>
          <t>Сметная стоимость в ценах на 01.01.2023
 (руб.)</t>
        </is>
      </c>
      <c r="D10" s="342" t="inlineStr">
        <is>
          <t>Удельный вес, 
(в СМР)</t>
        </is>
      </c>
      <c r="E10" s="342" t="inlineStr">
        <is>
          <t>Удельный вес, % 
(от всего по РМ)</t>
        </is>
      </c>
    </row>
    <row r="11">
      <c r="B11" s="185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185" t="inlineStr">
        <is>
          <t>Эксплуатация машин основных</t>
        </is>
      </c>
      <c r="C12" s="156">
        <f>'Прил.5 Расчет СМР и ОБ'!J20</f>
        <v/>
      </c>
      <c r="D12" s="157">
        <f>C12/$C$24</f>
        <v/>
      </c>
      <c r="E12" s="157">
        <f>C12/$C$40</f>
        <v/>
      </c>
    </row>
    <row r="13">
      <c r="B13" s="185" t="inlineStr">
        <is>
          <t>Эксплуатация машин прочих</t>
        </is>
      </c>
      <c r="C13" s="156">
        <f>'Прил.5 Расчет СМР и ОБ'!J24</f>
        <v/>
      </c>
      <c r="D13" s="157">
        <f>C13/$C$24</f>
        <v/>
      </c>
      <c r="E13" s="157">
        <f>C13/$C$40</f>
        <v/>
      </c>
    </row>
    <row r="14">
      <c r="B14" s="185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185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185" t="inlineStr">
        <is>
          <t>Материалы основные</t>
        </is>
      </c>
      <c r="C16" s="156">
        <f>'Прил.5 Расчет СМР и ОБ'!J39</f>
        <v/>
      </c>
      <c r="D16" s="157">
        <f>C16/$C$24</f>
        <v/>
      </c>
      <c r="E16" s="157">
        <f>C16/$C$40</f>
        <v/>
      </c>
    </row>
    <row r="17">
      <c r="B17" s="185" t="inlineStr">
        <is>
          <t>Материалы прочие</t>
        </is>
      </c>
      <c r="C17" s="156">
        <f>'Прил.5 Расчет СМР и ОБ'!J48</f>
        <v/>
      </c>
      <c r="D17" s="157">
        <f>C17/$C$24</f>
        <v/>
      </c>
      <c r="E17" s="157">
        <f>C17/$C$40</f>
        <v/>
      </c>
    </row>
    <row r="18">
      <c r="B18" s="185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185" t="inlineStr">
        <is>
          <t>ИТОГО</t>
        </is>
      </c>
      <c r="C19" s="156">
        <f>C18+C14+C11</f>
        <v/>
      </c>
      <c r="D19" s="157" t="n"/>
      <c r="E19" s="185" t="n"/>
    </row>
    <row r="20">
      <c r="B20" s="185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185" t="inlineStr">
        <is>
          <t>Сметная прибыль, %</t>
        </is>
      </c>
      <c r="C21" s="160">
        <f>'Прил.5 Расчет СМР и ОБ'!D52</f>
        <v/>
      </c>
      <c r="D21" s="157" t="n"/>
      <c r="E21" s="185" t="n"/>
    </row>
    <row r="22">
      <c r="B22" s="185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185" t="inlineStr">
        <is>
          <t>Накладные расходы, %</t>
        </is>
      </c>
      <c r="C23" s="160">
        <f>'Прил.5 Расчет СМР и ОБ'!D51</f>
        <v/>
      </c>
      <c r="D23" s="157" t="n"/>
      <c r="E23" s="185" t="n"/>
    </row>
    <row r="24">
      <c r="B24" s="185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8">
      <c r="B25" s="185" t="inlineStr">
        <is>
          <t>ВСЕГО стоимость оборудования, в том числе</t>
        </is>
      </c>
      <c r="C25" s="156">
        <f>'Прил.5 Расчет СМР и ОБ'!J31</f>
        <v/>
      </c>
      <c r="D25" s="157" t="n"/>
      <c r="E25" s="157">
        <f>C25/$C$40</f>
        <v/>
      </c>
    </row>
    <row r="26" ht="25.5" customHeight="1" s="298">
      <c r="B26" s="185" t="inlineStr">
        <is>
          <t>стоимость оборудования технологического</t>
        </is>
      </c>
      <c r="C26" s="156">
        <f>'Прил.5 Расчет СМР и ОБ'!J32</f>
        <v/>
      </c>
      <c r="D26" s="157" t="n"/>
      <c r="E26" s="157">
        <f>C26/$C$40</f>
        <v/>
      </c>
    </row>
    <row r="27">
      <c r="B27" s="185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8">
      <c r="B28" s="185" t="inlineStr">
        <is>
          <t>ПРОЧ. ЗАТР., УЧТЕННЫЕ ПОКАЗАТЕЛЕМ,  в том числе</t>
        </is>
      </c>
      <c r="C28" s="185" t="n"/>
      <c r="D28" s="185" t="n"/>
      <c r="E28" s="185" t="n"/>
      <c r="F28" s="158" t="n"/>
    </row>
    <row r="29" ht="25.5" customHeight="1" s="298">
      <c r="B29" s="185" t="inlineStr">
        <is>
          <t>Временные здания и сооружения - 3,9%</t>
        </is>
      </c>
      <c r="C29" s="159">
        <f>ROUND(C24*3.9%,2)</f>
        <v/>
      </c>
      <c r="D29" s="185" t="n"/>
      <c r="E29" s="157">
        <f>C29/$C$40</f>
        <v/>
      </c>
    </row>
    <row r="30" ht="38.25" customHeight="1" s="298">
      <c r="B30" s="185" t="inlineStr">
        <is>
          <t>Дополнительные затраты при производстве строительно-монтажных работ в зимнее время - 2,1%</t>
        </is>
      </c>
      <c r="C30" s="285">
        <f>ROUND((C24+C29)*2.1%,2)</f>
        <v/>
      </c>
      <c r="D30" s="286" t="n"/>
      <c r="E30" s="157">
        <f>C30/$C$40</f>
        <v/>
      </c>
      <c r="F30" s="158" t="n"/>
    </row>
    <row r="31">
      <c r="B31" s="185" t="inlineStr">
        <is>
          <t>Пусконаладочные работы</t>
        </is>
      </c>
      <c r="C31" s="285" t="n">
        <v>130620</v>
      </c>
      <c r="D31" s="286" t="n"/>
      <c r="E31" s="157">
        <f>C31/$C$40</f>
        <v/>
      </c>
    </row>
    <row r="32" ht="25.5" customHeight="1" s="298">
      <c r="B32" s="185" t="inlineStr">
        <is>
          <t>Затраты по перевозке работников к месту работы и обратно</t>
        </is>
      </c>
      <c r="C32" s="285" t="n">
        <v>0</v>
      </c>
      <c r="D32" s="286" t="n"/>
      <c r="E32" s="157">
        <f>C32/$C$40</f>
        <v/>
      </c>
      <c r="F32" s="241" t="n"/>
    </row>
    <row r="33" ht="25.5" customHeight="1" s="298">
      <c r="B33" s="185" t="inlineStr">
        <is>
          <t>Затраты, связанные с осуществлением работ вахтовым методом</t>
        </is>
      </c>
      <c r="C33" s="285" t="n">
        <v>0</v>
      </c>
      <c r="D33" s="286" t="n"/>
      <c r="E33" s="157">
        <f>C33/$C$40</f>
        <v/>
      </c>
    </row>
    <row r="34" ht="51" customHeight="1" s="298">
      <c r="B34" s="18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5" t="n">
        <v>0</v>
      </c>
      <c r="D34" s="185" t="n"/>
      <c r="E34" s="157">
        <f>C34/$C$40</f>
        <v/>
      </c>
      <c r="G34" s="161" t="n"/>
    </row>
    <row r="35" ht="76.5" customHeight="1" s="298">
      <c r="B35" s="18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5" t="n">
        <v>0</v>
      </c>
      <c r="D35" s="185" t="n"/>
      <c r="E35" s="157">
        <f>C35/$C$40</f>
        <v/>
      </c>
    </row>
    <row r="36" ht="25.5" customHeight="1" s="298">
      <c r="B36" s="185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185" t="n"/>
      <c r="E36" s="157">
        <f>C36/$C$40</f>
        <v/>
      </c>
      <c r="K36" s="158" t="n"/>
    </row>
    <row r="37">
      <c r="B37" s="185" t="inlineStr">
        <is>
          <t>Авторский надзор - 0,2%</t>
        </is>
      </c>
      <c r="C37" s="159">
        <f>ROUND((C27+C32+C33+C34+C35+C29+C31+C30)*0.2%,2)</f>
        <v/>
      </c>
      <c r="D37" s="185" t="n"/>
      <c r="E37" s="157">
        <f>C37/$C$40</f>
        <v/>
      </c>
      <c r="K37" s="158" t="n"/>
    </row>
    <row r="38" ht="38.25" customHeight="1" s="298">
      <c r="B38" s="18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85" t="n"/>
      <c r="E38" s="157">
        <f>C38/$C$40</f>
        <v/>
      </c>
    </row>
    <row r="39" ht="13.5" customHeight="1" s="298">
      <c r="B39" s="185" t="inlineStr">
        <is>
          <t>Непредвиденные расходы</t>
        </is>
      </c>
      <c r="C39" s="156">
        <f>ROUND(C38*3%,2)</f>
        <v/>
      </c>
      <c r="D39" s="185" t="n"/>
      <c r="E39" s="157">
        <f>C39/$C$38</f>
        <v/>
      </c>
    </row>
    <row r="40">
      <c r="B40" s="185" t="inlineStr">
        <is>
          <t>ВСЕГО:</t>
        </is>
      </c>
      <c r="C40" s="156">
        <f>C39+C38</f>
        <v/>
      </c>
      <c r="D40" s="185" t="n"/>
      <c r="E40" s="157">
        <f>C40/$C$40</f>
        <v/>
      </c>
    </row>
    <row r="41">
      <c r="B41" s="185" t="inlineStr">
        <is>
          <t>ИТОГО ПОКАЗАТЕЛЬ НА ЕД. ИЗМ.</t>
        </is>
      </c>
      <c r="C41" s="156">
        <f>C40/'Прил.5 Расчет СМР и ОБ'!E55</f>
        <v/>
      </c>
      <c r="D41" s="185" t="n"/>
      <c r="E41" s="185" t="n"/>
    </row>
    <row r="42">
      <c r="B42" s="162" t="n"/>
      <c r="C42" s="294" t="n"/>
      <c r="D42" s="294" t="n"/>
      <c r="E42" s="294" t="n"/>
    </row>
    <row r="43">
      <c r="B43" s="162" t="inlineStr">
        <is>
          <t>Составил ____________________________ Д.Ю. Нефедова</t>
        </is>
      </c>
      <c r="C43" s="294" t="n"/>
      <c r="D43" s="294" t="n"/>
      <c r="E43" s="294" t="n"/>
    </row>
    <row r="44">
      <c r="B44" s="162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162" t="n"/>
      <c r="C45" s="294" t="n"/>
      <c r="D45" s="294" t="n"/>
      <c r="E45" s="294" t="n"/>
    </row>
    <row r="46">
      <c r="B46" s="162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38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1"/>
  <sheetViews>
    <sheetView view="pageBreakPreview" topLeftCell="A19" zoomScale="85" workbookViewId="0">
      <selection activeCell="B57" sqref="B57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9.140625" customWidth="1" style="295" min="12" max="12"/>
    <col width="9.140625" customWidth="1" style="298" min="13" max="13"/>
  </cols>
  <sheetData>
    <row r="1" s="298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298">
      <c r="A2" s="295" t="n"/>
      <c r="B2" s="295" t="n"/>
      <c r="C2" s="295" t="n"/>
      <c r="D2" s="295" t="n"/>
      <c r="E2" s="295" t="n"/>
      <c r="F2" s="295" t="n"/>
      <c r="G2" s="295" t="n"/>
      <c r="H2" s="339" t="inlineStr">
        <is>
          <t>Приложение №5</t>
        </is>
      </c>
      <c r="K2" s="295" t="n"/>
      <c r="L2" s="295" t="n"/>
      <c r="M2" s="295" t="n"/>
      <c r="N2" s="295" t="n"/>
    </row>
    <row r="3" s="298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4">
      <c r="A4" s="318" t="inlineStr">
        <is>
          <t>Расчет стоимости СМР и оборудования</t>
        </is>
      </c>
    </row>
    <row r="5" ht="12.75" customFormat="1" customHeight="1" s="294">
      <c r="A5" s="318" t="n"/>
      <c r="B5" s="318" t="n"/>
      <c r="C5" s="367" t="n"/>
      <c r="D5" s="318" t="n"/>
      <c r="E5" s="318" t="n"/>
      <c r="F5" s="318" t="n"/>
      <c r="G5" s="318" t="n"/>
      <c r="H5" s="318" t="n"/>
      <c r="I5" s="318" t="n"/>
      <c r="J5" s="318" t="n"/>
    </row>
    <row r="6" ht="25.5" customFormat="1" customHeight="1" s="294">
      <c r="A6" s="198" t="inlineStr">
        <is>
          <t>Наименование разрабатываемого показателя УНЦ</t>
        </is>
      </c>
      <c r="B6" s="199" t="n"/>
      <c r="C6" s="199" t="n"/>
      <c r="D6" s="345" t="inlineStr">
        <is>
          <t>Сети связи. Регистратор записи диспетчерских переговоров</t>
        </is>
      </c>
    </row>
    <row r="7" ht="12.75" customFormat="1" customHeight="1" s="294">
      <c r="A7" s="321" t="inlineStr">
        <is>
          <t>Единица измерения  — 1 объект</t>
        </is>
      </c>
      <c r="I7" s="337" t="n"/>
      <c r="J7" s="337" t="n"/>
    </row>
    <row r="8" ht="13.5" customFormat="1" customHeight="1" s="294">
      <c r="A8" s="321" t="n"/>
    </row>
    <row r="9" ht="27" customHeight="1" s="298">
      <c r="A9" s="342" t="inlineStr">
        <is>
          <t>№ пп.</t>
        </is>
      </c>
      <c r="B9" s="342" t="inlineStr">
        <is>
          <t>Код ресурса</t>
        </is>
      </c>
      <c r="C9" s="342" t="inlineStr">
        <is>
          <t>Наименование</t>
        </is>
      </c>
      <c r="D9" s="342" t="inlineStr">
        <is>
          <t>Ед. изм.</t>
        </is>
      </c>
      <c r="E9" s="342" t="inlineStr">
        <is>
          <t>Кол-во единиц по проектным данным</t>
        </is>
      </c>
      <c r="F9" s="342" t="inlineStr">
        <is>
          <t>Сметная стоимость в ценах на 01.01.2000 (руб.)</t>
        </is>
      </c>
      <c r="G9" s="414" t="n"/>
      <c r="H9" s="342" t="inlineStr">
        <is>
          <t>Удельный вес, %</t>
        </is>
      </c>
      <c r="I9" s="342" t="inlineStr">
        <is>
          <t>Сметная стоимость в ценах на 01.01.2023 (руб.)</t>
        </is>
      </c>
      <c r="J9" s="414" t="n"/>
      <c r="K9" s="295" t="n"/>
      <c r="L9" s="295" t="n"/>
      <c r="M9" s="295" t="n"/>
      <c r="N9" s="295" t="n"/>
    </row>
    <row r="10" ht="28.5" customHeight="1" s="298">
      <c r="A10" s="416" t="n"/>
      <c r="B10" s="416" t="n"/>
      <c r="C10" s="416" t="n"/>
      <c r="D10" s="416" t="n"/>
      <c r="E10" s="416" t="n"/>
      <c r="F10" s="342" t="inlineStr">
        <is>
          <t>на ед. изм.</t>
        </is>
      </c>
      <c r="G10" s="342" t="inlineStr">
        <is>
          <t>общая</t>
        </is>
      </c>
      <c r="H10" s="416" t="n"/>
      <c r="I10" s="342" t="inlineStr">
        <is>
          <t>на ед. изм.</t>
        </is>
      </c>
      <c r="J10" s="342" t="inlineStr">
        <is>
          <t>общая</t>
        </is>
      </c>
      <c r="K10" s="295" t="n"/>
      <c r="L10" s="295" t="n"/>
      <c r="M10" s="295" t="n"/>
      <c r="N10" s="295" t="n"/>
    </row>
    <row r="11" s="298">
      <c r="A11" s="342" t="n">
        <v>1</v>
      </c>
      <c r="B11" s="342" t="n">
        <v>2</v>
      </c>
      <c r="C11" s="342" t="n">
        <v>3</v>
      </c>
      <c r="D11" s="342" t="n">
        <v>4</v>
      </c>
      <c r="E11" s="342" t="n">
        <v>5</v>
      </c>
      <c r="F11" s="342" t="n">
        <v>6</v>
      </c>
      <c r="G11" s="342" t="n">
        <v>7</v>
      </c>
      <c r="H11" s="342" t="n">
        <v>8</v>
      </c>
      <c r="I11" s="343" t="n">
        <v>9</v>
      </c>
      <c r="J11" s="343" t="n">
        <v>10</v>
      </c>
      <c r="K11" s="295" t="n"/>
      <c r="L11" s="295" t="n"/>
      <c r="M11" s="295" t="n"/>
      <c r="N11" s="295" t="n"/>
    </row>
    <row r="12">
      <c r="A12" s="342" t="n"/>
      <c r="B12" s="350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33" t="n"/>
      <c r="J12" s="233" t="n"/>
    </row>
    <row r="13" ht="25.5" customHeight="1" s="298">
      <c r="A13" s="342" t="n">
        <v>1</v>
      </c>
      <c r="B13" s="274" t="inlineStr">
        <is>
          <t>1-5-5</t>
        </is>
      </c>
      <c r="C13" s="351" t="inlineStr">
        <is>
          <t>Затраты труда рабочих-строителей среднего разряда (5,5)</t>
        </is>
      </c>
      <c r="D13" s="342" t="inlineStr">
        <is>
          <t>чел.-ч.</t>
        </is>
      </c>
      <c r="E13" s="420">
        <f>G13/F13</f>
        <v/>
      </c>
      <c r="F13" s="273" t="n">
        <v>12.01</v>
      </c>
      <c r="G13" s="273" t="n">
        <v>1866.57</v>
      </c>
      <c r="H13" s="272">
        <f>G13/$G$14</f>
        <v/>
      </c>
      <c r="I13" s="273">
        <f>ФОТр.тек.!E13</f>
        <v/>
      </c>
      <c r="J13" s="273">
        <f>ROUND(I13*E13,2)</f>
        <v/>
      </c>
    </row>
    <row r="14" ht="25.5" customFormat="1" customHeight="1" s="295">
      <c r="A14" s="342" t="n"/>
      <c r="B14" s="342" t="n"/>
      <c r="C14" s="350" t="inlineStr">
        <is>
          <t>Итого по разделу "Затраты труда рабочих-строителей"</t>
        </is>
      </c>
      <c r="D14" s="342" t="inlineStr">
        <is>
          <t>чел.-ч.</t>
        </is>
      </c>
      <c r="E14" s="420">
        <f>SUM(E13:E13)</f>
        <v/>
      </c>
      <c r="F14" s="273" t="n"/>
      <c r="G14" s="273">
        <f>SUM(G13:G13)</f>
        <v/>
      </c>
      <c r="H14" s="354" t="n">
        <v>1</v>
      </c>
      <c r="I14" s="233" t="n"/>
      <c r="J14" s="273">
        <f>SUM(J13:J13)</f>
        <v/>
      </c>
    </row>
    <row r="15" ht="14.25" customFormat="1" customHeight="1" s="295">
      <c r="A15" s="342" t="n"/>
      <c r="B15" s="351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33" t="n"/>
      <c r="J15" s="233" t="n"/>
    </row>
    <row r="16" ht="14.25" customFormat="1" customHeight="1" s="295">
      <c r="A16" s="342" t="n">
        <v>2</v>
      </c>
      <c r="B16" s="342" t="n">
        <v>2</v>
      </c>
      <c r="C16" s="351" t="inlineStr">
        <is>
          <t>Затраты труда машинистов</t>
        </is>
      </c>
      <c r="D16" s="342" t="inlineStr">
        <is>
          <t>чел.-ч.</t>
        </is>
      </c>
      <c r="E16" s="420">
        <f>Прил.3!F17</f>
        <v/>
      </c>
      <c r="F16" s="273">
        <f>G16/E16</f>
        <v/>
      </c>
      <c r="G16" s="273">
        <f>Прил.3!H16</f>
        <v/>
      </c>
      <c r="H16" s="354" t="n">
        <v>1</v>
      </c>
      <c r="I16" s="273">
        <f>ROUND(F16*Прил.10!D11,2)</f>
        <v/>
      </c>
      <c r="J16" s="273">
        <f>ROUND(I16*E16,2)</f>
        <v/>
      </c>
    </row>
    <row r="17" ht="14.25" customFormat="1" customHeight="1" s="295">
      <c r="A17" s="342" t="n"/>
      <c r="B17" s="350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33" t="n"/>
      <c r="J17" s="233" t="n"/>
    </row>
    <row r="18" ht="14.25" customFormat="1" customHeight="1" s="295">
      <c r="A18" s="342" t="n"/>
      <c r="B18" s="351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33" t="n"/>
      <c r="J18" s="233" t="n"/>
    </row>
    <row r="19" ht="14.25" customFormat="1" customHeight="1" s="295">
      <c r="A19" s="342" t="n">
        <v>3</v>
      </c>
      <c r="B19" s="274" t="inlineStr">
        <is>
          <t>91.06.05-011</t>
        </is>
      </c>
      <c r="C19" s="351" t="inlineStr">
        <is>
          <t>Погрузчики, грузоподъемность 5 т</t>
        </is>
      </c>
      <c r="D19" s="342" t="inlineStr">
        <is>
          <t>маш.час</t>
        </is>
      </c>
      <c r="E19" s="420" t="n">
        <v>2.54</v>
      </c>
      <c r="F19" s="353" t="n">
        <v>89.98999999999999</v>
      </c>
      <c r="G19" s="273">
        <f>ROUND(E19*F19,2)</f>
        <v/>
      </c>
      <c r="H19" s="272">
        <f>G19/$G$25</f>
        <v/>
      </c>
      <c r="I19" s="273">
        <f>ROUND(F19*Прил.10!$D$12,2)</f>
        <v/>
      </c>
      <c r="J19" s="273">
        <f>ROUND(I19*E19,2)</f>
        <v/>
      </c>
    </row>
    <row r="20" ht="14.25" customFormat="1" customHeight="1" s="295">
      <c r="A20" s="342" t="n"/>
      <c r="B20" s="342" t="n"/>
      <c r="C20" s="351" t="inlineStr">
        <is>
          <t>Итого основные машины и механизмы</t>
        </is>
      </c>
      <c r="D20" s="342" t="n"/>
      <c r="E20" s="420" t="n"/>
      <c r="F20" s="273" t="n"/>
      <c r="G20" s="273">
        <f>SUM(G19:G19)</f>
        <v/>
      </c>
      <c r="H20" s="354">
        <f>G20/G25</f>
        <v/>
      </c>
      <c r="I20" s="235" t="n"/>
      <c r="J20" s="273">
        <f>SUM(J19:J19)</f>
        <v/>
      </c>
      <c r="K20" s="26" t="n"/>
    </row>
    <row r="21" hidden="1" outlineLevel="1" ht="25.5" customFormat="1" customHeight="1" s="295">
      <c r="A21" s="342" t="n">
        <v>4</v>
      </c>
      <c r="B21" s="274" t="inlineStr">
        <is>
          <t>91.17.04-233</t>
        </is>
      </c>
      <c r="C21" s="351" t="inlineStr">
        <is>
          <t>Установки для сварки ручной дуговой (постоянного тока)</t>
        </is>
      </c>
      <c r="D21" s="342" t="inlineStr">
        <is>
          <t>маш.час</t>
        </is>
      </c>
      <c r="E21" s="420" t="n">
        <v>0.52</v>
      </c>
      <c r="F21" s="353" t="n">
        <v>8.1</v>
      </c>
      <c r="G21" s="273">
        <f>ROUND(E21*F21,2)</f>
        <v/>
      </c>
      <c r="H21" s="272">
        <f>G21/$G$25</f>
        <v/>
      </c>
      <c r="I21" s="273">
        <f>ROUND(F21*Прил.10!$D$12,2)</f>
        <v/>
      </c>
      <c r="J21" s="273">
        <f>ROUND(I21*E21,2)</f>
        <v/>
      </c>
    </row>
    <row r="22" hidden="1" outlineLevel="1" ht="25.5" customFormat="1" customHeight="1" s="295">
      <c r="A22" s="342" t="n">
        <v>5</v>
      </c>
      <c r="B22" s="274" t="inlineStr">
        <is>
          <t>91.06.03-060</t>
        </is>
      </c>
      <c r="C22" s="351" t="inlineStr">
        <is>
          <t>Лебедки электрические тяговым усилием до 5,79 кН (0,59 т)</t>
        </is>
      </c>
      <c r="D22" s="342" t="inlineStr">
        <is>
          <t>маш.час</t>
        </is>
      </c>
      <c r="E22" s="420" t="n">
        <v>1.6</v>
      </c>
      <c r="F22" s="353" t="n">
        <v>1.7</v>
      </c>
      <c r="G22" s="273">
        <f>ROUND(E22*F22,2)</f>
        <v/>
      </c>
      <c r="H22" s="272">
        <f>G22/$G$25</f>
        <v/>
      </c>
      <c r="I22" s="273">
        <f>ROUND(F22*Прил.10!$D$12,2)</f>
        <v/>
      </c>
      <c r="J22" s="273">
        <f>ROUND(I22*E22,2)</f>
        <v/>
      </c>
    </row>
    <row r="23" hidden="1" outlineLevel="1" ht="25.5" customFormat="1" customHeight="1" s="295">
      <c r="A23" s="342" t="n">
        <v>6</v>
      </c>
      <c r="B23" s="274" t="inlineStr">
        <is>
          <t>91.14.02-001</t>
        </is>
      </c>
      <c r="C23" s="351" t="inlineStr">
        <is>
          <t>Автомобили бортовые, грузоподъемность до 5 т</t>
        </is>
      </c>
      <c r="D23" s="342" t="inlineStr">
        <is>
          <t>маш.час</t>
        </is>
      </c>
      <c r="E23" s="420" t="n">
        <v>0.02</v>
      </c>
      <c r="F23" s="353" t="n">
        <v>65.70999999999999</v>
      </c>
      <c r="G23" s="273">
        <f>ROUND(E23*F23,2)</f>
        <v/>
      </c>
      <c r="H23" s="272">
        <f>G23/$G$25</f>
        <v/>
      </c>
      <c r="I23" s="273">
        <f>ROUND(F23*Прил.10!$D$12,2)</f>
        <v/>
      </c>
      <c r="J23" s="273">
        <f>ROUND(I23*E23,2)</f>
        <v/>
      </c>
    </row>
    <row r="24" collapsed="1" ht="14.25" customFormat="1" customHeight="1" s="295">
      <c r="A24" s="342" t="n"/>
      <c r="B24" s="342" t="n"/>
      <c r="C24" s="351" t="inlineStr">
        <is>
          <t>Итого прочие машины и механизмы</t>
        </is>
      </c>
      <c r="D24" s="342" t="n"/>
      <c r="E24" s="352" t="n"/>
      <c r="F24" s="273" t="n"/>
      <c r="G24" s="235">
        <f>SUM(G21:G23)</f>
        <v/>
      </c>
      <c r="H24" s="272">
        <f>G24/G25</f>
        <v/>
      </c>
      <c r="I24" s="273" t="n"/>
      <c r="J24" s="235">
        <f>SUM(J21:J23)</f>
        <v/>
      </c>
    </row>
    <row r="25" ht="25.5" customFormat="1" customHeight="1" s="295">
      <c r="A25" s="342" t="n"/>
      <c r="B25" s="342" t="n"/>
      <c r="C25" s="350" t="inlineStr">
        <is>
          <t>Итого по разделу «Машины и механизмы»</t>
        </is>
      </c>
      <c r="D25" s="342" t="n"/>
      <c r="E25" s="352" t="n"/>
      <c r="F25" s="273" t="n"/>
      <c r="G25" s="273">
        <f>G24+G20</f>
        <v/>
      </c>
      <c r="H25" s="230">
        <f>H24+H20</f>
        <v/>
      </c>
      <c r="I25" s="231" t="n"/>
      <c r="J25" s="232">
        <f>J24+J20</f>
        <v/>
      </c>
    </row>
    <row r="26" ht="14.25" customFormat="1" customHeight="1" s="295">
      <c r="A26" s="342" t="n"/>
      <c r="B26" s="350" t="inlineStr">
        <is>
          <t>Оборудование</t>
        </is>
      </c>
      <c r="C26" s="413" t="n"/>
      <c r="D26" s="413" t="n"/>
      <c r="E26" s="413" t="n"/>
      <c r="F26" s="413" t="n"/>
      <c r="G26" s="413" t="n"/>
      <c r="H26" s="414" t="n"/>
      <c r="I26" s="233" t="n"/>
      <c r="J26" s="233" t="n"/>
    </row>
    <row r="27">
      <c r="A27" s="342" t="n"/>
      <c r="B27" s="351" t="inlineStr">
        <is>
          <t>Основное оборудование</t>
        </is>
      </c>
      <c r="C27" s="413" t="n"/>
      <c r="D27" s="413" t="n"/>
      <c r="E27" s="413" t="n"/>
      <c r="F27" s="413" t="n"/>
      <c r="G27" s="413" t="n"/>
      <c r="H27" s="414" t="n"/>
      <c r="I27" s="233" t="n"/>
      <c r="J27" s="233" t="n"/>
      <c r="K27" s="295" t="n"/>
      <c r="L27" s="295" t="n"/>
    </row>
    <row r="28" ht="14.25" customFormat="1" customHeight="1" s="295">
      <c r="A28" s="342" t="n">
        <v>7</v>
      </c>
      <c r="B28" s="342" t="inlineStr">
        <is>
          <t>БЦ.36.14</t>
        </is>
      </c>
      <c r="C28" s="351" t="inlineStr">
        <is>
          <t>Шкаф  CЗП  разм. 2200х800х800</t>
        </is>
      </c>
      <c r="D28" s="342" t="inlineStr">
        <is>
          <t>шт</t>
        </is>
      </c>
      <c r="E28" s="421" t="n">
        <v>1</v>
      </c>
      <c r="F28" s="273">
        <f>ROUND(I28/Прил.10!$D$14,2)</f>
        <v/>
      </c>
      <c r="G28" s="273">
        <f>ROUND(E28*F28,2)</f>
        <v/>
      </c>
      <c r="H28" s="272">
        <f>G28/$G$31</f>
        <v/>
      </c>
      <c r="I28" s="273" t="n">
        <v>1700000</v>
      </c>
      <c r="J28" s="273">
        <f>ROUND(I28*E28,2)</f>
        <v/>
      </c>
    </row>
    <row r="29">
      <c r="A29" s="342" t="n"/>
      <c r="B29" s="342" t="n"/>
      <c r="C29" s="351" t="inlineStr">
        <is>
          <t>Итого основное оборудование</t>
        </is>
      </c>
      <c r="D29" s="342" t="n"/>
      <c r="E29" s="420" t="n"/>
      <c r="F29" s="353" t="n"/>
      <c r="G29" s="273">
        <f>SUM(G28:G28)</f>
        <v/>
      </c>
      <c r="H29" s="272">
        <f>G29/$G$31</f>
        <v/>
      </c>
      <c r="I29" s="235" t="n"/>
      <c r="J29" s="273">
        <f>SUM(J28:J28)</f>
        <v/>
      </c>
      <c r="K29" s="295" t="n"/>
      <c r="L29" s="295" t="n"/>
    </row>
    <row r="30">
      <c r="A30" s="342" t="n"/>
      <c r="B30" s="342" t="n"/>
      <c r="C30" s="351" t="inlineStr">
        <is>
          <t>Итого прочее оборудование</t>
        </is>
      </c>
      <c r="D30" s="342" t="n"/>
      <c r="E30" s="420" t="n"/>
      <c r="F30" s="353" t="n"/>
      <c r="G30" s="273" t="n">
        <v>0</v>
      </c>
      <c r="H30" s="272">
        <f>G30/$G$31</f>
        <v/>
      </c>
      <c r="I30" s="235" t="n"/>
      <c r="J30" s="273" t="n">
        <v>0</v>
      </c>
      <c r="K30" s="295" t="n"/>
      <c r="L30" s="295" t="n"/>
    </row>
    <row r="31">
      <c r="A31" s="342" t="n"/>
      <c r="B31" s="342" t="n"/>
      <c r="C31" s="350" t="inlineStr">
        <is>
          <t>Итого по разделу «Оборудование»</t>
        </is>
      </c>
      <c r="D31" s="342" t="n"/>
      <c r="E31" s="352" t="n"/>
      <c r="F31" s="353" t="n"/>
      <c r="G31" s="273">
        <f>G29+G30</f>
        <v/>
      </c>
      <c r="H31" s="354">
        <f>H30+H29</f>
        <v/>
      </c>
      <c r="I31" s="235" t="n"/>
      <c r="J31" s="273">
        <f>J30+J29</f>
        <v/>
      </c>
      <c r="K31" s="295" t="n"/>
      <c r="L31" s="295" t="n"/>
    </row>
    <row r="32" ht="25.5" customHeight="1" s="298">
      <c r="A32" s="342" t="n"/>
      <c r="B32" s="342" t="n"/>
      <c r="C32" s="351" t="inlineStr">
        <is>
          <t>в том числе технологическое оборудование</t>
        </is>
      </c>
      <c r="D32" s="342" t="n"/>
      <c r="E32" s="421" t="n"/>
      <c r="F32" s="353" t="n"/>
      <c r="G32" s="273">
        <f>'Прил.6 Расчет ОБ'!G13</f>
        <v/>
      </c>
      <c r="H32" s="354" t="n"/>
      <c r="I32" s="235" t="n"/>
      <c r="J32" s="273">
        <f>J31</f>
        <v/>
      </c>
      <c r="K32" s="295" t="n"/>
      <c r="L32" s="295" t="n"/>
    </row>
    <row r="33" ht="14.25" customFormat="1" customHeight="1" s="295">
      <c r="A33" s="342" t="n"/>
      <c r="B33" s="350" t="inlineStr">
        <is>
          <t>Материалы</t>
        </is>
      </c>
      <c r="C33" s="413" t="n"/>
      <c r="D33" s="413" t="n"/>
      <c r="E33" s="413" t="n"/>
      <c r="F33" s="413" t="n"/>
      <c r="G33" s="413" t="n"/>
      <c r="H33" s="414" t="n"/>
      <c r="I33" s="233" t="n"/>
      <c r="J33" s="233" t="n"/>
    </row>
    <row r="34" ht="14.25" customFormat="1" customHeight="1" s="295">
      <c r="A34" s="343" t="n"/>
      <c r="B34" s="346" t="inlineStr">
        <is>
          <t>Основные материалы</t>
        </is>
      </c>
      <c r="C34" s="422" t="n"/>
      <c r="D34" s="422" t="n"/>
      <c r="E34" s="422" t="n"/>
      <c r="F34" s="422" t="n"/>
      <c r="G34" s="422" t="n"/>
      <c r="H34" s="423" t="n"/>
      <c r="I34" s="237" t="n"/>
      <c r="J34" s="237" t="n"/>
    </row>
    <row r="35" ht="25.5" customFormat="1" customHeight="1" s="295">
      <c r="A35" s="342" t="n">
        <v>8</v>
      </c>
      <c r="B35" s="342" t="inlineStr">
        <is>
          <t>11.2.11.05-0002</t>
        </is>
      </c>
      <c r="C35" s="351" t="inlineStr">
        <is>
          <t>Фанера клееная обрезная, сорт В/ВВ, ФК, ФБА, толщина 4 мм</t>
        </is>
      </c>
      <c r="D35" s="342" t="inlineStr">
        <is>
          <t>м3</t>
        </is>
      </c>
      <c r="E35" s="421" t="n">
        <v>0.008</v>
      </c>
      <c r="F35" s="353" t="n">
        <v>4949.4</v>
      </c>
      <c r="G35" s="273">
        <f>ROUND(E35*F35,2)</f>
        <v/>
      </c>
      <c r="H35" s="272">
        <f>G35/$G$49</f>
        <v/>
      </c>
      <c r="I35" s="273">
        <f>ROUND(F35*Прил.10!$D$13,2)</f>
        <v/>
      </c>
      <c r="J35" s="273">
        <f>ROUND(I35*E35,2)</f>
        <v/>
      </c>
    </row>
    <row r="36" ht="25.5" customFormat="1" customHeight="1" s="295">
      <c r="A36" s="342" t="n">
        <v>9</v>
      </c>
      <c r="B36" s="342" t="inlineStr">
        <is>
          <t>999-9950</t>
        </is>
      </c>
      <c r="C36" s="351" t="inlineStr">
        <is>
          <t>Вспомогательные ненормируемые ресурсы (2% от Оплаты труда рабочих)</t>
        </is>
      </c>
      <c r="D36" s="342" t="inlineStr">
        <is>
          <t>руб</t>
        </is>
      </c>
      <c r="E36" s="421" t="n">
        <v>36.87</v>
      </c>
      <c r="F36" s="353" t="n">
        <v>1</v>
      </c>
      <c r="G36" s="273">
        <f>ROUND(E36*F36,2)</f>
        <v/>
      </c>
      <c r="H36" s="272">
        <f>G36/$G$49</f>
        <v/>
      </c>
      <c r="I36" s="273">
        <f>ROUND(F36*Прил.10!$D$13,2)</f>
        <v/>
      </c>
      <c r="J36" s="273">
        <f>ROUND(I36*E36,2)</f>
        <v/>
      </c>
    </row>
    <row r="37" ht="14.25" customFormat="1" customHeight="1" s="295">
      <c r="A37" s="342" t="n">
        <v>10</v>
      </c>
      <c r="B37" s="342" t="inlineStr">
        <is>
          <t>08.3.08.02-0022</t>
        </is>
      </c>
      <c r="C37" s="351" t="inlineStr">
        <is>
          <t>Уголок горячекатаный, размер 50х50 мм</t>
        </is>
      </c>
      <c r="D37" s="342" t="inlineStr">
        <is>
          <t>т</t>
        </is>
      </c>
      <c r="E37" s="421" t="n">
        <v>0.0031</v>
      </c>
      <c r="F37" s="353" t="n">
        <v>5763</v>
      </c>
      <c r="G37" s="273">
        <f>ROUND(E37*F37,2)</f>
        <v/>
      </c>
      <c r="H37" s="272">
        <f>G37/$G$49</f>
        <v/>
      </c>
      <c r="I37" s="273">
        <f>ROUND(F37*Прил.10!$D$13,2)</f>
        <v/>
      </c>
      <c r="J37" s="273">
        <f>ROUND(I37*E37,2)</f>
        <v/>
      </c>
    </row>
    <row r="38" ht="25.5" customFormat="1" customHeight="1" s="295">
      <c r="A38" s="342" t="n">
        <v>11</v>
      </c>
      <c r="B38" s="342" t="inlineStr">
        <is>
          <t>01.7.15.03-0031</t>
        </is>
      </c>
      <c r="C38" s="351" t="inlineStr">
        <is>
          <t>Болты с гайками и шайбами оцинкованные, диаметр 6 мм</t>
        </is>
      </c>
      <c r="D38" s="342" t="inlineStr">
        <is>
          <t>кг</t>
        </is>
      </c>
      <c r="E38" s="421" t="n">
        <v>0.474</v>
      </c>
      <c r="F38" s="353" t="n">
        <v>28.22</v>
      </c>
      <c r="G38" s="273">
        <f>ROUND(E38*F38,2)</f>
        <v/>
      </c>
      <c r="H38" s="272">
        <f>G38/$G$49</f>
        <v/>
      </c>
      <c r="I38" s="273">
        <f>ROUND(F38*Прил.10!$D$13,2)</f>
        <v/>
      </c>
      <c r="J38" s="273">
        <f>ROUND(I38*E38,2)</f>
        <v/>
      </c>
    </row>
    <row r="39" ht="14.25" customFormat="1" customHeight="1" s="295">
      <c r="A39" s="204" t="n"/>
      <c r="B39" s="204" t="n"/>
      <c r="C39" s="205" t="inlineStr">
        <is>
          <t>Итого основные материалы</t>
        </is>
      </c>
      <c r="D39" s="344" t="n"/>
      <c r="E39" s="424" t="n"/>
      <c r="F39" s="232" t="n"/>
      <c r="G39" s="232">
        <f>SUM(G35:G38)</f>
        <v/>
      </c>
      <c r="H39" s="272">
        <f>G39/$G$49</f>
        <v/>
      </c>
      <c r="I39" s="273" t="n"/>
      <c r="J39" s="232">
        <f>SUM(J35:J38)</f>
        <v/>
      </c>
      <c r="K39" s="26" t="n"/>
      <c r="L39" s="26" t="n"/>
    </row>
    <row r="40" hidden="1" outlineLevel="1" ht="14.25" customFormat="1" customHeight="1" s="295">
      <c r="A40" s="342" t="n">
        <v>12</v>
      </c>
      <c r="B40" s="342" t="inlineStr">
        <is>
          <t>01.7.20.03-0012</t>
        </is>
      </c>
      <c r="C40" s="351" t="inlineStr">
        <is>
          <t>Мешковина джутовая</t>
        </is>
      </c>
      <c r="D40" s="342" t="inlineStr">
        <is>
          <t>м2</t>
        </is>
      </c>
      <c r="E40" s="421" t="n">
        <v>0.45</v>
      </c>
      <c r="F40" s="353" t="n">
        <v>8.33</v>
      </c>
      <c r="G40" s="273">
        <f>ROUND(E40*F40,2)</f>
        <v/>
      </c>
      <c r="H40" s="272">
        <f>G40/$G$49</f>
        <v/>
      </c>
      <c r="I40" s="273">
        <f>ROUND(F40*Прил.10!$D$13,2)</f>
        <v/>
      </c>
      <c r="J40" s="273">
        <f>ROUND(I40*E40,2)</f>
        <v/>
      </c>
    </row>
    <row r="41" hidden="1" outlineLevel="1" ht="38.25" customFormat="1" customHeight="1" s="295">
      <c r="A41" s="342" t="n">
        <v>13</v>
      </c>
      <c r="B41" s="342" t="inlineStr">
        <is>
          <t>14.4.02.04-0221</t>
        </is>
      </c>
      <c r="C41" s="351" t="inlineStr">
        <is>
          <t>Краска масляная готовая к применению для наружных и внутренних работ МА-15, белила цинковые</t>
        </is>
      </c>
      <c r="D41" s="342" t="inlineStr">
        <is>
          <t>т</t>
        </is>
      </c>
      <c r="E41" s="421" t="n">
        <v>0.00012</v>
      </c>
      <c r="F41" s="353" t="n">
        <v>26932.42</v>
      </c>
      <c r="G41" s="273">
        <f>ROUND(E41*F41,2)</f>
        <v/>
      </c>
      <c r="H41" s="272">
        <f>G41/$G$49</f>
        <v/>
      </c>
      <c r="I41" s="273">
        <f>ROUND(F41*Прил.10!$D$13,2)</f>
        <v/>
      </c>
      <c r="J41" s="273">
        <f>ROUND(I41*E41,2)</f>
        <v/>
      </c>
    </row>
    <row r="42" hidden="1" outlineLevel="1" ht="38.25" customFormat="1" customHeight="1" s="295">
      <c r="A42" s="342" t="n">
        <v>14</v>
      </c>
      <c r="B42" s="342" t="inlineStr">
        <is>
          <t>01.7.15.04-0056</t>
        </is>
      </c>
      <c r="C42" s="351" t="inlineStr">
        <is>
          <t>Винты самонарезающие, с уплотнительной прокладкой, размер 4,8х35 мм</t>
        </is>
      </c>
      <c r="D42" s="342" t="inlineStr">
        <is>
          <t>100 шт</t>
        </is>
      </c>
      <c r="E42" s="421" t="n">
        <v>0.16</v>
      </c>
      <c r="F42" s="353" t="n">
        <v>20</v>
      </c>
      <c r="G42" s="273">
        <f>ROUND(E42*F42,2)</f>
        <v/>
      </c>
      <c r="H42" s="272">
        <f>G42/$G$49</f>
        <v/>
      </c>
      <c r="I42" s="273">
        <f>ROUND(F42*Прил.10!$D$13,2)</f>
        <v/>
      </c>
      <c r="J42" s="273">
        <f>ROUND(I42*E42,2)</f>
        <v/>
      </c>
    </row>
    <row r="43" hidden="1" outlineLevel="1" ht="14.25" customFormat="1" customHeight="1" s="295">
      <c r="A43" s="342" t="n">
        <v>15</v>
      </c>
      <c r="B43" s="342" t="inlineStr">
        <is>
          <t>14.5.05.02-0001</t>
        </is>
      </c>
      <c r="C43" s="351" t="inlineStr">
        <is>
          <t>Олифа натуральная</t>
        </is>
      </c>
      <c r="D43" s="342" t="inlineStr">
        <is>
          <t>кг</t>
        </is>
      </c>
      <c r="E43" s="421" t="n">
        <v>0.07000000000000001</v>
      </c>
      <c r="F43" s="353" t="n">
        <v>32.6</v>
      </c>
      <c r="G43" s="273">
        <f>ROUND(E43*F43,2)</f>
        <v/>
      </c>
      <c r="H43" s="272">
        <f>G43/$G$49</f>
        <v/>
      </c>
      <c r="I43" s="273">
        <f>ROUND(F43*Прил.10!$D$13,2)</f>
        <v/>
      </c>
      <c r="J43" s="273">
        <f>ROUND(I43*E43,2)</f>
        <v/>
      </c>
    </row>
    <row r="44" hidden="1" outlineLevel="1" ht="14.25" customFormat="1" customHeight="1" s="295">
      <c r="A44" s="342" t="n">
        <v>16</v>
      </c>
      <c r="B44" s="342" t="inlineStr">
        <is>
          <t>01.7.11.07-0032</t>
        </is>
      </c>
      <c r="C44" s="351" t="inlineStr">
        <is>
          <t>Электроды сварочные Э42, диаметр 4 мм</t>
        </is>
      </c>
      <c r="D44" s="342" t="inlineStr">
        <is>
          <t>т</t>
        </is>
      </c>
      <c r="E44" s="421" t="n">
        <v>0.00014</v>
      </c>
      <c r="F44" s="353" t="n">
        <v>10315.01</v>
      </c>
      <c r="G44" s="273">
        <f>ROUND(E44*F44,2)</f>
        <v/>
      </c>
      <c r="H44" s="272">
        <f>G44/$G$49</f>
        <v/>
      </c>
      <c r="I44" s="273">
        <f>ROUND(F44*Прил.10!$D$13,2)</f>
        <v/>
      </c>
      <c r="J44" s="273">
        <f>ROUND(I44*E44,2)</f>
        <v/>
      </c>
    </row>
    <row r="45" hidden="1" outlineLevel="1" ht="14.25" customFormat="1" customHeight="1" s="295">
      <c r="A45" s="342" t="n">
        <v>17</v>
      </c>
      <c r="B45" s="342" t="inlineStr">
        <is>
          <t>01.7.02.07-0011</t>
        </is>
      </c>
      <c r="C45" s="351" t="inlineStr">
        <is>
          <t>Прессшпан листовой, марка А</t>
        </is>
      </c>
      <c r="D45" s="342" t="inlineStr">
        <is>
          <t>кг</t>
        </is>
      </c>
      <c r="E45" s="421" t="n">
        <v>0.015</v>
      </c>
      <c r="F45" s="353" t="n">
        <v>47.57</v>
      </c>
      <c r="G45" s="273">
        <f>ROUND(E45*F45,2)</f>
        <v/>
      </c>
      <c r="H45" s="272">
        <f>G45/$G$49</f>
        <v/>
      </c>
      <c r="I45" s="273">
        <f>ROUND(F45*Прил.10!$D$13,2)</f>
        <v/>
      </c>
      <c r="J45" s="273">
        <f>ROUND(I45*E45,2)</f>
        <v/>
      </c>
    </row>
    <row r="46" hidden="1" outlineLevel="1" ht="14.25" customFormat="1" customHeight="1" s="295">
      <c r="A46" s="342" t="n">
        <v>18</v>
      </c>
      <c r="B46" s="342" t="inlineStr">
        <is>
          <t>14.1.01.01-0003</t>
        </is>
      </c>
      <c r="C46" s="351" t="inlineStr">
        <is>
          <t>Клей столярный сухой</t>
        </is>
      </c>
      <c r="D46" s="342" t="inlineStr">
        <is>
          <t>кг</t>
        </is>
      </c>
      <c r="E46" s="421" t="n">
        <v>0.025</v>
      </c>
      <c r="F46" s="353" t="n">
        <v>16.95</v>
      </c>
      <c r="G46" s="273">
        <f>ROUND(E46*F46,2)</f>
        <v/>
      </c>
      <c r="H46" s="272">
        <f>G46/$G$49</f>
        <v/>
      </c>
      <c r="I46" s="273">
        <f>ROUND(F46*Прил.10!$D$13,2)</f>
        <v/>
      </c>
      <c r="J46" s="273">
        <f>ROUND(I46*E46,2)</f>
        <v/>
      </c>
    </row>
    <row r="47" hidden="1" outlineLevel="1" ht="14.25" customFormat="1" customHeight="1" s="295">
      <c r="A47" s="342" t="n">
        <v>19</v>
      </c>
      <c r="B47" s="342" t="inlineStr">
        <is>
          <t>08.1.02.04-0012</t>
        </is>
      </c>
      <c r="C47" s="351" t="inlineStr">
        <is>
          <t>Жесть белая, толщина 0,25 мм</t>
        </is>
      </c>
      <c r="D47" s="342" t="inlineStr">
        <is>
          <t>кг</t>
        </is>
      </c>
      <c r="E47" s="421" t="n">
        <v>0.03</v>
      </c>
      <c r="F47" s="353" t="n">
        <v>10.97</v>
      </c>
      <c r="G47" s="273">
        <f>ROUND(E47*F47,2)</f>
        <v/>
      </c>
      <c r="H47" s="272">
        <f>G47/$G$49</f>
        <v/>
      </c>
      <c r="I47" s="273">
        <f>ROUND(F47*Прил.10!$D$13,2)</f>
        <v/>
      </c>
      <c r="J47" s="273">
        <f>ROUND(I47*E47,2)</f>
        <v/>
      </c>
    </row>
    <row r="48" collapsed="1" ht="14.25" customFormat="1" customHeight="1" s="295">
      <c r="A48" s="342" t="n"/>
      <c r="B48" s="342" t="n"/>
      <c r="C48" s="351" t="inlineStr">
        <is>
          <t>Итого прочие материалы</t>
        </is>
      </c>
      <c r="D48" s="342" t="n"/>
      <c r="E48" s="352" t="n"/>
      <c r="F48" s="353" t="n"/>
      <c r="G48" s="273">
        <f>SUM(G40:G47)</f>
        <v/>
      </c>
      <c r="H48" s="272">
        <f>G48/$G$49</f>
        <v/>
      </c>
      <c r="I48" s="273" t="n"/>
      <c r="J48" s="273">
        <f>SUM(J40:J47)</f>
        <v/>
      </c>
    </row>
    <row r="49" ht="14.25" customFormat="1" customHeight="1" s="295">
      <c r="A49" s="342" t="n"/>
      <c r="B49" s="342" t="n"/>
      <c r="C49" s="350" t="inlineStr">
        <is>
          <t>Итого по разделу «Материалы»</t>
        </is>
      </c>
      <c r="D49" s="342" t="n"/>
      <c r="E49" s="352" t="n"/>
      <c r="F49" s="353" t="n"/>
      <c r="G49" s="273">
        <f>G39+G48</f>
        <v/>
      </c>
      <c r="H49" s="354">
        <f>G49/$G$49</f>
        <v/>
      </c>
      <c r="I49" s="273" t="n"/>
      <c r="J49" s="273">
        <f>J39+J48</f>
        <v/>
      </c>
    </row>
    <row r="50" ht="14.25" customFormat="1" customHeight="1" s="295">
      <c r="A50" s="342" t="n"/>
      <c r="B50" s="342" t="n"/>
      <c r="C50" s="351" t="inlineStr">
        <is>
          <t>ИТОГО ПО РМ</t>
        </is>
      </c>
      <c r="D50" s="342" t="n"/>
      <c r="E50" s="352" t="n"/>
      <c r="F50" s="353" t="n"/>
      <c r="G50" s="273">
        <f>G14+G25+G49</f>
        <v/>
      </c>
      <c r="H50" s="354" t="n"/>
      <c r="I50" s="273" t="n"/>
      <c r="J50" s="273">
        <f>J14+J25+J49</f>
        <v/>
      </c>
    </row>
    <row r="51" ht="14.25" customFormat="1" customHeight="1" s="295">
      <c r="A51" s="342" t="n"/>
      <c r="B51" s="342" t="n"/>
      <c r="C51" s="351" t="inlineStr">
        <is>
          <t>Накладные расходы</t>
        </is>
      </c>
      <c r="D51" s="210">
        <f>ROUND(G51/(G$16+$G$14),2)</f>
        <v/>
      </c>
      <c r="E51" s="352" t="n"/>
      <c r="F51" s="353" t="n"/>
      <c r="G51" s="273" t="n">
        <v>1703.8</v>
      </c>
      <c r="H51" s="354" t="n"/>
      <c r="I51" s="273" t="n"/>
      <c r="J51" s="273">
        <f>ROUND(D51*(J14+J16),2)</f>
        <v/>
      </c>
    </row>
    <row r="52" ht="14.25" customFormat="1" customHeight="1" s="295">
      <c r="A52" s="342" t="n"/>
      <c r="B52" s="342" t="n"/>
      <c r="C52" s="351" t="inlineStr">
        <is>
          <t>Сметная прибыль</t>
        </is>
      </c>
      <c r="D52" s="210">
        <f>ROUND(G52/(G$14+G$16),2)</f>
        <v/>
      </c>
      <c r="E52" s="352" t="n"/>
      <c r="F52" s="353" t="n"/>
      <c r="G52" s="273" t="n">
        <v>874.02</v>
      </c>
      <c r="H52" s="354" t="n"/>
      <c r="I52" s="273" t="n"/>
      <c r="J52" s="273">
        <f>ROUND(D52*(J14+J16),2)</f>
        <v/>
      </c>
    </row>
    <row r="53" ht="14.25" customFormat="1" customHeight="1" s="295">
      <c r="A53" s="342" t="n"/>
      <c r="B53" s="342" t="n"/>
      <c r="C53" s="351" t="inlineStr">
        <is>
          <t>Итого СМР (с НР и СП)</t>
        </is>
      </c>
      <c r="D53" s="342" t="n"/>
      <c r="E53" s="352" t="n"/>
      <c r="F53" s="353" t="n"/>
      <c r="G53" s="273">
        <f>G14+G25+G49+G51+G52</f>
        <v/>
      </c>
      <c r="H53" s="354" t="n"/>
      <c r="I53" s="273" t="n"/>
      <c r="J53" s="273">
        <f>J14+J25+J49+J51+J52</f>
        <v/>
      </c>
    </row>
    <row r="54" ht="14.25" customFormat="1" customHeight="1" s="295">
      <c r="A54" s="342" t="n"/>
      <c r="B54" s="342" t="n"/>
      <c r="C54" s="351" t="inlineStr">
        <is>
          <t>ВСЕГО СМР + ОБОРУДОВАНИЕ</t>
        </is>
      </c>
      <c r="D54" s="342" t="n"/>
      <c r="E54" s="352" t="n"/>
      <c r="F54" s="353" t="n"/>
      <c r="G54" s="273">
        <f>G53+G31</f>
        <v/>
      </c>
      <c r="H54" s="354" t="n"/>
      <c r="I54" s="273" t="n"/>
      <c r="J54" s="273">
        <f>J53+J31</f>
        <v/>
      </c>
    </row>
    <row r="55" ht="34.5" customFormat="1" customHeight="1" s="295">
      <c r="A55" s="342" t="n"/>
      <c r="B55" s="342" t="n"/>
      <c r="C55" s="351" t="inlineStr">
        <is>
          <t>ИТОГО ПОКАЗАТЕЛЬ НА ЕД. ИЗМ.</t>
        </is>
      </c>
      <c r="D55" s="342" t="inlineStr">
        <is>
          <t>объект</t>
        </is>
      </c>
      <c r="E55" s="425" t="n">
        <v>1</v>
      </c>
      <c r="F55" s="353" t="n"/>
      <c r="G55" s="273">
        <f>G54/E55</f>
        <v/>
      </c>
      <c r="H55" s="354" t="n"/>
      <c r="I55" s="273" t="n"/>
      <c r="J55" s="273">
        <f>J54/E55</f>
        <v/>
      </c>
    </row>
    <row r="57" ht="14.25" customFormat="1" customHeight="1" s="295">
      <c r="A57" s="294" t="inlineStr">
        <is>
          <t>Составил ______________________    Д.Ю. Нефедова</t>
        </is>
      </c>
    </row>
    <row r="58" ht="14.25" customFormat="1" customHeight="1" s="295">
      <c r="A58" s="297" t="inlineStr">
        <is>
          <t xml:space="preserve">                         (подпись, инициалы, фамилия)</t>
        </is>
      </c>
    </row>
    <row r="59" ht="14.25" customFormat="1" customHeight="1" s="295">
      <c r="A59" s="294" t="n"/>
    </row>
    <row r="60" ht="14.25" customFormat="1" customHeight="1" s="295">
      <c r="A60" s="294" t="inlineStr">
        <is>
          <t>Проверил ______________________        А.В. Костянецкая</t>
        </is>
      </c>
    </row>
    <row r="61" ht="14.25" customFormat="1" customHeight="1" s="295">
      <c r="A61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4.5703125" customWidth="1" style="298" min="6" max="6"/>
    <col width="14.140625" customWidth="1" style="298" min="7" max="7"/>
  </cols>
  <sheetData>
    <row r="1">
      <c r="A1" s="359" t="inlineStr">
        <is>
          <t>Приложение №6</t>
        </is>
      </c>
    </row>
    <row r="2" ht="21.75" customHeight="1" s="298">
      <c r="A2" s="359" t="n"/>
      <c r="B2" s="359" t="n"/>
      <c r="C2" s="359" t="n"/>
      <c r="D2" s="359" t="n"/>
      <c r="E2" s="359" t="n"/>
      <c r="F2" s="359" t="n"/>
      <c r="G2" s="359" t="n"/>
    </row>
    <row r="3">
      <c r="A3" s="318" t="inlineStr">
        <is>
          <t>Расчет стоимости оборудования</t>
        </is>
      </c>
    </row>
    <row r="4" ht="25.5" customHeight="1" s="298">
      <c r="A4" s="321" t="inlineStr">
        <is>
          <t>Наименование разрабатываемого показателя УНЦ — Сети связи. Регистратор записи диспетчерских переговоров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298">
      <c r="A6" s="364" t="inlineStr">
        <is>
          <t>№ пп.</t>
        </is>
      </c>
      <c r="B6" s="364" t="inlineStr">
        <is>
          <t>Код ресурса</t>
        </is>
      </c>
      <c r="C6" s="364" t="inlineStr">
        <is>
          <t>Наименование</t>
        </is>
      </c>
      <c r="D6" s="364" t="inlineStr">
        <is>
          <t>Ед. изм.</t>
        </is>
      </c>
      <c r="E6" s="342" t="inlineStr">
        <is>
          <t>Кол-во единиц по проектным данным</t>
        </is>
      </c>
      <c r="F6" s="364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2" t="inlineStr">
        <is>
          <t>на ед. изм.</t>
        </is>
      </c>
      <c r="G7" s="342" t="inlineStr">
        <is>
          <t>общая</t>
        </is>
      </c>
    </row>
    <row r="8">
      <c r="A8" s="342" t="n">
        <v>1</v>
      </c>
      <c r="B8" s="342" t="n">
        <v>2</v>
      </c>
      <c r="C8" s="342" t="n">
        <v>3</v>
      </c>
      <c r="D8" s="342" t="n">
        <v>4</v>
      </c>
      <c r="E8" s="342" t="n">
        <v>5</v>
      </c>
      <c r="F8" s="342" t="n">
        <v>6</v>
      </c>
      <c r="G8" s="342" t="n">
        <v>7</v>
      </c>
    </row>
    <row r="9" ht="15" customHeight="1" s="298">
      <c r="A9" s="185" t="n"/>
      <c r="B9" s="351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98">
      <c r="A10" s="342" t="n"/>
      <c r="B10" s="350" t="n"/>
      <c r="C10" s="351" t="inlineStr">
        <is>
          <t>ИТОГО ИНЖЕНЕРНОЕ ОБОРУДОВАНИЕ</t>
        </is>
      </c>
      <c r="D10" s="350" t="n"/>
      <c r="E10" s="187" t="n"/>
      <c r="F10" s="353" t="n"/>
      <c r="G10" s="273" t="n">
        <v>0</v>
      </c>
    </row>
    <row r="11">
      <c r="A11" s="342" t="n"/>
      <c r="B11" s="351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15.75" customFormat="1" customHeight="1" s="300">
      <c r="A12" s="342" t="n">
        <v>1</v>
      </c>
      <c r="B12" s="351">
        <f>'Прил.5 Расчет СМР и ОБ'!B28</f>
        <v/>
      </c>
      <c r="C12" s="351">
        <f>'Прил.5 Расчет СМР и ОБ'!C28</f>
        <v/>
      </c>
      <c r="D12" s="342">
        <f>'Прил.5 Расчет СМР и ОБ'!D28</f>
        <v/>
      </c>
      <c r="E12" s="421">
        <f>'Прил.5 Расчет СМР и ОБ'!E28</f>
        <v/>
      </c>
      <c r="F12" s="421">
        <f>'Прил.5 Расчет СМР и ОБ'!F28</f>
        <v/>
      </c>
      <c r="G12" s="273">
        <f>ROUND(E12*F12,2)</f>
        <v/>
      </c>
    </row>
    <row r="13" ht="25.5" customHeight="1" s="298">
      <c r="A13" s="342" t="n"/>
      <c r="B13" s="351" t="n"/>
      <c r="C13" s="351" t="inlineStr">
        <is>
          <t>ИТОГО ТЕХНОЛОГИЧЕСКОЕ ОБОРУДОВАНИЕ</t>
        </is>
      </c>
      <c r="D13" s="351" t="n"/>
      <c r="E13" s="363" t="n"/>
      <c r="F13" s="353" t="n"/>
      <c r="G13" s="273">
        <f>SUM(G12:G12)</f>
        <v/>
      </c>
    </row>
    <row r="14" ht="19.5" customHeight="1" s="298">
      <c r="A14" s="342" t="n"/>
      <c r="B14" s="351" t="n"/>
      <c r="C14" s="351" t="inlineStr">
        <is>
          <t>Всего по разделу «Оборудование»</t>
        </is>
      </c>
      <c r="D14" s="351" t="n"/>
      <c r="E14" s="363" t="n"/>
      <c r="F14" s="353" t="n"/>
      <c r="G14" s="273">
        <f>G10+G13</f>
        <v/>
      </c>
    </row>
    <row r="15">
      <c r="A15" s="296" t="n"/>
      <c r="B15" s="193" t="n"/>
      <c r="C15" s="296" t="n"/>
      <c r="D15" s="296" t="n"/>
      <c r="E15" s="296" t="n"/>
      <c r="F15" s="296" t="n"/>
      <c r="G15" s="296" t="n"/>
    </row>
    <row r="16">
      <c r="A16" s="294" t="inlineStr">
        <is>
          <t>Составил ______________________    Д.Ю. Нефедова</t>
        </is>
      </c>
      <c r="B16" s="295" t="n"/>
      <c r="C16" s="295" t="n"/>
      <c r="D16" s="296" t="n"/>
      <c r="E16" s="296" t="n"/>
      <c r="F16" s="296" t="n"/>
      <c r="G16" s="296" t="n"/>
    </row>
    <row r="17">
      <c r="A17" s="297" t="inlineStr">
        <is>
          <t xml:space="preserve">                         (подпись, инициалы, фамилия)</t>
        </is>
      </c>
      <c r="B17" s="295" t="n"/>
      <c r="C17" s="295" t="n"/>
      <c r="D17" s="296" t="n"/>
      <c r="E17" s="296" t="n"/>
      <c r="F17" s="296" t="n"/>
      <c r="G17" s="296" t="n"/>
    </row>
    <row r="18">
      <c r="A18" s="294" t="n"/>
      <c r="B18" s="295" t="n"/>
      <c r="C18" s="295" t="n"/>
      <c r="D18" s="296" t="n"/>
      <c r="E18" s="296" t="n"/>
      <c r="F18" s="296" t="n"/>
      <c r="G18" s="296" t="n"/>
    </row>
    <row r="19">
      <c r="A19" s="294" t="inlineStr">
        <is>
          <t>Проверил ______________________        А.В. Костянецкая</t>
        </is>
      </c>
      <c r="B19" s="295" t="n"/>
      <c r="C19" s="295" t="n"/>
      <c r="D19" s="296" t="n"/>
      <c r="E19" s="296" t="n"/>
      <c r="F19" s="296" t="n"/>
      <c r="G19" s="296" t="n"/>
    </row>
    <row r="20">
      <c r="A20" s="297" t="inlineStr">
        <is>
          <t xml:space="preserve">                        (подпись, инициалы, фамилия)</t>
        </is>
      </c>
      <c r="B20" s="295" t="n"/>
      <c r="C20" s="295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9"/>
  <sheetViews>
    <sheetView view="pageBreakPreview" workbookViewId="0">
      <selection activeCell="B15" sqref="B15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89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inlineStr">
        <is>
          <t>Единица измерения  — 1 ед</t>
        </is>
      </c>
      <c r="B7" s="300" t="n"/>
      <c r="C7" s="300" t="n"/>
      <c r="D7" s="300" t="n"/>
    </row>
    <row r="8" ht="15.75" customHeight="1" s="298">
      <c r="A8" s="300" t="inlineStr">
        <is>
          <t>Единица измерения  — 1 ед</t>
        </is>
      </c>
      <c r="B8" s="300" t="n"/>
      <c r="C8" s="300" t="n"/>
      <c r="D8" s="300" t="n"/>
    </row>
    <row r="9" ht="15.75" customHeight="1" s="298">
      <c r="A9" s="300" t="n"/>
      <c r="B9" s="300" t="n"/>
      <c r="C9" s="300" t="n"/>
      <c r="D9" s="300" t="n"/>
    </row>
    <row r="10">
      <c r="A10" s="330" t="inlineStr">
        <is>
          <t>Код показателя</t>
        </is>
      </c>
      <c r="B10" s="330" t="inlineStr">
        <is>
          <t>Наименование показателя</t>
        </is>
      </c>
      <c r="C10" s="330" t="inlineStr">
        <is>
          <t>Наименование РМ, входящих в состав показателя</t>
        </is>
      </c>
      <c r="D10" s="330" t="inlineStr">
        <is>
          <t>Норматив цены на 01.01.2023, тыс.руб.</t>
        </is>
      </c>
    </row>
    <row r="11">
      <c r="A11" s="416" t="n"/>
      <c r="B11" s="416" t="n"/>
      <c r="C11" s="416" t="n"/>
      <c r="D11" s="416" t="n"/>
    </row>
    <row r="12" ht="15.75" customHeight="1" s="298">
      <c r="A12" s="330" t="n">
        <v>1</v>
      </c>
      <c r="B12" s="330" t="n">
        <v>2</v>
      </c>
      <c r="C12" s="330" t="n">
        <v>3</v>
      </c>
      <c r="D12" s="330" t="n">
        <v>4</v>
      </c>
    </row>
    <row r="13" ht="31.5" customHeight="1" s="298">
      <c r="A13" s="330" t="inlineStr">
        <is>
          <t>И14-04</t>
        </is>
      </c>
      <c r="B13" s="330" t="inlineStr">
        <is>
          <t xml:space="preserve">УНЦ сети связи </t>
        </is>
      </c>
      <c r="C13" s="292">
        <f>D5</f>
        <v/>
      </c>
      <c r="D13" s="306">
        <f>'Прил.4 РМ'!C41/1000</f>
        <v/>
      </c>
    </row>
    <row r="15">
      <c r="A15" s="294" t="inlineStr">
        <is>
          <t>Составил ______________________      Е. А. Князева</t>
        </is>
      </c>
      <c r="B15" s="295" t="n"/>
      <c r="C15" s="295" t="n"/>
      <c r="D15" s="296" t="n"/>
    </row>
    <row r="16">
      <c r="A16" s="297" t="inlineStr">
        <is>
          <t xml:space="preserve">                         (подпись, инициалы, фамилия)</t>
        </is>
      </c>
      <c r="B16" s="295" t="n"/>
      <c r="C16" s="295" t="n"/>
      <c r="D16" s="296" t="n"/>
    </row>
    <row r="17">
      <c r="A17" s="294" t="n"/>
      <c r="B17" s="295" t="n"/>
      <c r="C17" s="295" t="n"/>
      <c r="D17" s="296" t="n"/>
    </row>
    <row r="18">
      <c r="A18" s="294" t="inlineStr">
        <is>
          <t>Проверил ______________________        А.В. Костянецкая</t>
        </is>
      </c>
      <c r="B18" s="295" t="n"/>
      <c r="C18" s="295" t="n"/>
      <c r="D18" s="296" t="n"/>
    </row>
    <row r="19">
      <c r="A19" s="297" t="inlineStr">
        <is>
          <t xml:space="preserve">                        (подпись, инициалы, фамилия)</t>
        </is>
      </c>
      <c r="B19" s="295" t="n"/>
      <c r="C19" s="295" t="n"/>
      <c r="D19" s="296" t="n"/>
    </row>
  </sheetData>
  <mergeCells count="5">
    <mergeCell ref="D10:D11"/>
    <mergeCell ref="A5:C5"/>
    <mergeCell ref="A10:A11"/>
    <mergeCell ref="C10:C11"/>
    <mergeCell ref="B10:B11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topLeftCell="A10" zoomScale="85" zoomScaleNormal="85" workbookViewId="0">
      <selection activeCell="B27" sqref="B27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25" t="inlineStr">
        <is>
          <t>Приложение № 10</t>
        </is>
      </c>
    </row>
    <row r="5" ht="18.75" customHeight="1" s="298">
      <c r="B5" s="180" t="n"/>
    </row>
    <row r="6" ht="15.75" customHeight="1" s="298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66" t="n"/>
    </row>
    <row r="8">
      <c r="B8" s="366" t="n"/>
      <c r="C8" s="366" t="n"/>
      <c r="D8" s="366" t="n"/>
      <c r="E8" s="366" t="n"/>
    </row>
    <row r="9" ht="47.25" customHeight="1" s="298">
      <c r="B9" s="330" t="inlineStr">
        <is>
          <t>Наименование индекса / норм сопутствующих затрат</t>
        </is>
      </c>
      <c r="C9" s="330" t="inlineStr">
        <is>
          <t>Дата применения и обоснование индекса / норм сопутствующих затрат</t>
        </is>
      </c>
      <c r="D9" s="330" t="inlineStr">
        <is>
          <t>Размер индекса / норма сопутствующих затрат</t>
        </is>
      </c>
    </row>
    <row r="10" ht="15.75" customHeight="1" s="298">
      <c r="B10" s="330" t="n">
        <v>1</v>
      </c>
      <c r="C10" s="330" t="n">
        <v>2</v>
      </c>
      <c r="D10" s="330" t="n">
        <v>3</v>
      </c>
    </row>
    <row r="11" ht="45" customHeight="1" s="298">
      <c r="B11" s="330" t="inlineStr">
        <is>
          <t xml:space="preserve">Индекс изменения сметной стоимости на 1 квартал 2023 года. ОЗП </t>
        </is>
      </c>
      <c r="C11" s="330" t="inlineStr">
        <is>
          <t>Письмо Минстроя России от 30.03.2023г. №17106-ИФ/09 прил.1</t>
        </is>
      </c>
      <c r="D11" s="330" t="n">
        <v>44.29</v>
      </c>
    </row>
    <row r="12" ht="29.25" customHeight="1" s="298">
      <c r="B12" s="330" t="inlineStr">
        <is>
          <t>Индекс изменения сметной стоимости на 1 квартал 2023 года. ЭМ</t>
        </is>
      </c>
      <c r="C12" s="330" t="inlineStr">
        <is>
          <t>Письмо Минстроя России от 30.03.2023г. №17106-ИФ/09 прил.1</t>
        </is>
      </c>
      <c r="D12" s="330" t="n">
        <v>13.47</v>
      </c>
    </row>
    <row r="13" ht="29.25" customHeight="1" s="298">
      <c r="B13" s="330" t="inlineStr">
        <is>
          <t>Индекс изменения сметной стоимости на 1 квартал 2023 года. МАТ</t>
        </is>
      </c>
      <c r="C13" s="330" t="inlineStr">
        <is>
          <t>Письмо Минстроя России от 30.03.2023г. №17106-ИФ/09 прил.1</t>
        </is>
      </c>
      <c r="D13" s="330" t="n">
        <v>8.039999999999999</v>
      </c>
    </row>
    <row r="14" ht="30.75" customHeight="1" s="298">
      <c r="B14" s="330" t="inlineStr">
        <is>
          <t>Индекс изменения сметной стоимости на 1 квартал 2023 года. ОБ</t>
        </is>
      </c>
      <c r="C14" s="168" t="inlineStr">
        <is>
          <t>Письмо Минстроя России от 23.02.2023г. №9791-ИФ/09 прил.6</t>
        </is>
      </c>
      <c r="D14" s="330" t="n">
        <v>6.26</v>
      </c>
    </row>
    <row r="15" ht="89.25" customHeight="1" s="298">
      <c r="B15" s="330" t="inlineStr">
        <is>
          <t>Временные здания и сооружения</t>
        </is>
      </c>
      <c r="C15" s="33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0.039</v>
      </c>
    </row>
    <row r="16" ht="78.75" customHeight="1" s="298">
      <c r="B16" s="330" t="inlineStr">
        <is>
          <t>Дополнительные затраты при производстве строительно-монтажных работ в зимнее время</t>
        </is>
      </c>
      <c r="C16" s="33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4.5" customHeight="1" s="298">
      <c r="B17" s="330" t="inlineStr">
        <is>
          <t>Пусконаладочные работы*</t>
        </is>
      </c>
      <c r="C17" s="330" t="n"/>
      <c r="D17" s="330" t="inlineStr">
        <is>
          <t>Расчет</t>
        </is>
      </c>
    </row>
    <row r="18" ht="31.5" customHeight="1" s="298">
      <c r="B18" s="330" t="inlineStr">
        <is>
          <t>Строительный контроль</t>
        </is>
      </c>
      <c r="C18" s="330" t="inlineStr">
        <is>
          <t>Постановление Правительства РФ от 21.06.10 г. № 468</t>
        </is>
      </c>
      <c r="D18" s="181" t="n">
        <v>0.0214</v>
      </c>
    </row>
    <row r="19" ht="31.5" customHeight="1" s="298">
      <c r="B19" s="330" t="inlineStr">
        <is>
          <t>Авторский надзор - 0,2%</t>
        </is>
      </c>
      <c r="C19" s="330" t="inlineStr">
        <is>
          <t>Приказ от 4.08.2020 № 421/пр п.173</t>
        </is>
      </c>
      <c r="D19" s="181" t="n">
        <v>0.002</v>
      </c>
    </row>
    <row r="20" ht="24" customHeight="1" s="298">
      <c r="B20" s="330" t="inlineStr">
        <is>
          <t>Непредвиденные расходы</t>
        </is>
      </c>
      <c r="C20" s="330" t="inlineStr">
        <is>
          <t>Приказ от 4.08.2020 № 421/пр п.179</t>
        </is>
      </c>
      <c r="D20" s="181" t="n">
        <v>0.03</v>
      </c>
    </row>
    <row r="21" ht="18.75" customHeight="1" s="298">
      <c r="B21" s="182" t="n"/>
    </row>
    <row r="22" ht="18.75" customHeight="1" s="298">
      <c r="B22" s="182" t="n"/>
    </row>
    <row r="23" ht="18.75" customHeight="1" s="298">
      <c r="B23" s="182" t="n"/>
    </row>
    <row r="24" ht="18.75" customHeight="1" s="298">
      <c r="B24" s="182" t="n"/>
    </row>
    <row r="27">
      <c r="B27" s="294" t="inlineStr">
        <is>
          <t>Составил ______________________        Д.Ю. Нефедова</t>
        </is>
      </c>
      <c r="C27" s="295" t="n"/>
    </row>
    <row r="28">
      <c r="B28" s="297" t="inlineStr">
        <is>
          <t xml:space="preserve">                         (подпись, инициалы, фамилия)</t>
        </is>
      </c>
      <c r="C28" s="295" t="n"/>
    </row>
    <row r="29">
      <c r="B29" s="294" t="n"/>
      <c r="C29" s="295" t="n"/>
    </row>
    <row r="30">
      <c r="B30" s="294" t="inlineStr">
        <is>
          <t>Проверил ______________________        А.В. Костянецкая</t>
        </is>
      </c>
      <c r="C30" s="295" t="n"/>
    </row>
    <row r="31">
      <c r="B31" s="297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opLeftCell="A4" workbookViewId="0">
      <selection activeCell="C18" sqref="C18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0" t="inlineStr">
        <is>
          <t>С1ср</t>
        </is>
      </c>
      <c r="D7" s="330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30" t="inlineStr">
        <is>
          <t>tср</t>
        </is>
      </c>
      <c r="D8" s="330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30" t="inlineStr">
        <is>
          <t>Кув</t>
        </is>
      </c>
      <c r="D9" s="330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30" t="n"/>
      <c r="D10" s="330" t="n"/>
      <c r="E10" s="426" t="n">
        <v>5.5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30" t="inlineStr">
        <is>
          <t>КТ</t>
        </is>
      </c>
      <c r="D11" s="330" t="inlineStr">
        <is>
          <t>-</t>
        </is>
      </c>
      <c r="E11" s="427" t="n">
        <v>1.67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330" t="inlineStr">
        <is>
          <t>Кинф</t>
        </is>
      </c>
      <c r="D12" s="330" t="inlineStr">
        <is>
          <t>-</t>
        </is>
      </c>
      <c r="E12" s="428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02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17">
        <f>((E7*E9/E8)*E11)*E12</f>
        <v/>
      </c>
      <c r="F13" s="3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2025-01-24T12:01:49Z</dcterms:modified>
  <cp:lastModifiedBy>Nikolay Ivanov</cp:lastModifiedBy>
  <cp:lastPrinted>2023-11-27T07:45:16Z</cp:lastPrinted>
</cp:coreProperties>
</file>