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'Прил.3'!$11:$13</definedName>
    <definedName name="_xlnm.Print_Area" localSheetId="2">'Прил.3'!$A$1:$H$68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ОБ'!$A$1:$J$84</definedName>
    <definedName name="_xlnm.Print_Area" localSheetId="5">'Прил.6 Расчет ОБ'!$A$1:$G$24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4" fillId="0" borderId="0" pivotButton="0" quotePrefix="0" xfId="0"/>
    <xf numFmtId="10" fontId="19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20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6" fontId="16" fillId="0" borderId="0" pivotButton="0" quotePrefix="0" xfId="0"/>
    <xf numFmtId="4" fontId="17" fillId="0" borderId="0" pivotButton="0" quotePrefix="0" xfId="0"/>
    <xf numFmtId="43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68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2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N34"/>
  <sheetViews>
    <sheetView view="pageBreakPreview" topLeftCell="A25" zoomScale="70" zoomScaleNormal="55" workbookViewId="0">
      <selection activeCell="C30" sqref="C30"/>
    </sheetView>
  </sheetViews>
  <sheetFormatPr baseColWidth="8" defaultColWidth="9.140625" defaultRowHeight="15.75"/>
  <cols>
    <col width="9.140625" customWidth="1" style="296" min="1" max="2"/>
    <col width="36.85546875" customWidth="1" style="296" min="3" max="3"/>
    <col width="39.42578125" customWidth="1" style="296" min="4" max="4"/>
    <col hidden="1" width="36.5703125" customWidth="1" style="296" min="5" max="6"/>
    <col width="9.140625" customWidth="1" style="296" min="7" max="11"/>
    <col width="14.7109375" customWidth="1" style="296" min="12" max="12"/>
    <col width="17.7109375" customWidth="1" style="296" min="13" max="13"/>
    <col width="9.140625" customWidth="1" style="296" min="14" max="14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>
      <c r="B5" s="166" t="n"/>
      <c r="C5" s="166" t="n"/>
      <c r="D5" s="166" t="n"/>
      <c r="E5" s="166" t="n"/>
      <c r="F5" s="166" t="n"/>
    </row>
    <row r="6" s="294">
      <c r="A6" s="296" t="n"/>
      <c r="B6" s="166" t="n"/>
      <c r="C6" s="166" t="n"/>
      <c r="D6" s="166" t="n"/>
      <c r="E6" s="166" t="n"/>
      <c r="F6" s="166" t="n"/>
      <c r="G6" s="296" t="n"/>
      <c r="H6" s="296" t="n"/>
      <c r="I6" s="296" t="n"/>
      <c r="J6" s="296" t="n"/>
      <c r="K6" s="296" t="n"/>
      <c r="L6" s="296" t="n"/>
      <c r="M6" s="296" t="n"/>
      <c r="N6" s="296" t="n"/>
    </row>
    <row r="7" s="294">
      <c r="A7" s="296" t="n"/>
      <c r="B7" s="166" t="n"/>
      <c r="C7" s="166" t="n"/>
      <c r="D7" s="166" t="n"/>
      <c r="E7" s="166" t="n"/>
      <c r="F7" s="166" t="n"/>
      <c r="G7" s="296" t="n"/>
      <c r="H7" s="296" t="n"/>
      <c r="I7" s="296" t="n"/>
      <c r="J7" s="296" t="n"/>
      <c r="K7" s="296" t="n"/>
      <c r="L7" s="296" t="n"/>
      <c r="M7" s="296" t="n"/>
      <c r="N7" s="296" t="n"/>
    </row>
    <row r="8">
      <c r="B8" s="166" t="n"/>
      <c r="C8" s="166" t="n"/>
      <c r="D8" s="166" t="n"/>
      <c r="E8" s="166" t="n"/>
      <c r="F8" s="166" t="n"/>
    </row>
    <row r="9" ht="48.75" customHeight="1" s="294">
      <c r="B9" s="335" t="inlineStr">
        <is>
          <t>Наименование разрабатываемого показателя УНЦ — Сети связи. Аппаратура громкоговорящей и радиопоисковой связи</t>
        </is>
      </c>
    </row>
    <row r="10" ht="31.5" customHeight="1" s="294">
      <c r="B10" s="335" t="inlineStr">
        <is>
          <t>Сопоставимый уровень цен: 3 кв 2021</t>
        </is>
      </c>
    </row>
    <row r="11">
      <c r="B11" s="335" t="inlineStr">
        <is>
          <t>Единица измерения  — 1 объект</t>
        </is>
      </c>
    </row>
    <row r="12">
      <c r="B12" s="335" t="n"/>
    </row>
    <row r="13">
      <c r="B13" s="338" t="inlineStr">
        <is>
          <t>№ п/п</t>
        </is>
      </c>
      <c r="C13" s="338" t="inlineStr">
        <is>
          <t>Параметр</t>
        </is>
      </c>
      <c r="D13" s="308" t="inlineStr">
        <is>
          <t>Объект-представитель 1</t>
        </is>
      </c>
      <c r="E13" s="308" t="n"/>
      <c r="F13" s="308" t="n"/>
    </row>
    <row r="14" ht="31.5" customHeight="1" s="294">
      <c r="B14" s="338" t="n">
        <v>1</v>
      </c>
      <c r="C14" s="308" t="inlineStr">
        <is>
          <t>Наименование объекта-представителя</t>
        </is>
      </c>
      <c r="D14" s="338" t="inlineStr">
        <is>
          <t>Строительство ПС 220 кВ Налдинская с заходами ВЛ 220 кВ</t>
        </is>
      </c>
      <c r="E14" s="308" t="n"/>
      <c r="F14" s="308" t="n"/>
    </row>
    <row r="15" ht="31.5" customHeight="1" s="294">
      <c r="B15" s="338" t="n">
        <v>2</v>
      </c>
      <c r="C15" s="308" t="inlineStr">
        <is>
          <t>Наименование субъекта Российской Федерации</t>
        </is>
      </c>
      <c r="D15" s="338" t="inlineStr">
        <is>
          <t>Республика Саха (Якутия)</t>
        </is>
      </c>
      <c r="E15" s="308" t="n"/>
      <c r="F15" s="308" t="n"/>
    </row>
    <row r="16">
      <c r="B16" s="338" t="n">
        <v>3</v>
      </c>
      <c r="C16" s="308" t="inlineStr">
        <is>
          <t>Климатический район и подрайон</t>
        </is>
      </c>
      <c r="D16" s="338" t="inlineStr">
        <is>
          <t>IД</t>
        </is>
      </c>
      <c r="E16" s="308" t="n"/>
      <c r="F16" s="308" t="n"/>
    </row>
    <row r="17">
      <c r="B17" s="338" t="n">
        <v>4</v>
      </c>
      <c r="C17" s="308" t="inlineStr">
        <is>
          <t>Мощность объекта</t>
        </is>
      </c>
      <c r="D17" s="338" t="n">
        <v>1</v>
      </c>
      <c r="E17" s="303" t="n"/>
      <c r="F17" s="303" t="n"/>
    </row>
    <row r="18" ht="94.5" customHeight="1" s="294">
      <c r="B18" s="338" t="n">
        <v>5</v>
      </c>
      <c r="C18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8" s="338" t="inlineStr">
        <is>
          <t>Микрофонная панель RM-200M S - 2 шт;
Громкоговорители - 32 шт;
Кабель радиофикации - 1,675 км</t>
        </is>
      </c>
      <c r="E18" s="308" t="n"/>
      <c r="F18" s="308" t="n"/>
    </row>
    <row r="19" ht="78.75" customHeight="1" s="294">
      <c r="B19" s="338" t="n">
        <v>6</v>
      </c>
      <c r="C19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9" s="170">
        <f>SUM(D20:D23)</f>
        <v/>
      </c>
      <c r="E19" s="170" t="n"/>
      <c r="F19" s="170" t="n"/>
    </row>
    <row r="20">
      <c r="B20" s="171" t="inlineStr">
        <is>
          <t>6.1</t>
        </is>
      </c>
      <c r="C20" s="308" t="inlineStr">
        <is>
          <t>строительно-монтажные работы</t>
        </is>
      </c>
      <c r="D20" s="170">
        <f>209.61033</f>
        <v/>
      </c>
      <c r="E20" s="170" t="n"/>
      <c r="F20" s="170" t="n"/>
    </row>
    <row r="21" ht="15.75" customHeight="1" s="294">
      <c r="B21" s="171" t="inlineStr">
        <is>
          <t>6.2</t>
        </is>
      </c>
      <c r="C21" s="308" t="inlineStr">
        <is>
          <t>оборудование и инвентарь</t>
        </is>
      </c>
      <c r="D21" s="170">
        <f>415.7449</f>
        <v/>
      </c>
      <c r="E21" s="170" t="n"/>
      <c r="F21" s="170" t="n"/>
    </row>
    <row r="22" ht="16.5" customHeight="1" s="294">
      <c r="B22" s="171" t="inlineStr">
        <is>
          <t>6.3</t>
        </is>
      </c>
      <c r="C22" s="308" t="inlineStr">
        <is>
          <t>пусконаладочные работы</t>
        </is>
      </c>
      <c r="D22" s="170" t="n">
        <v>0</v>
      </c>
      <c r="E22" s="170" t="n"/>
      <c r="F22" s="170" t="n"/>
      <c r="L22" s="416" t="n"/>
    </row>
    <row r="23" ht="35.25" customHeight="1" s="294">
      <c r="B23" s="171" t="inlineStr">
        <is>
          <t>6.4</t>
        </is>
      </c>
      <c r="C23" s="172" t="inlineStr">
        <is>
          <t>прочие и лимитированные затраты</t>
        </is>
      </c>
      <c r="D23" s="170">
        <f>D20*3.9%+(D20+D20*3.9%)*7%</f>
        <v/>
      </c>
      <c r="E23" s="170" t="n"/>
      <c r="F23" s="170" t="n"/>
    </row>
    <row r="24">
      <c r="B24" s="338" t="n">
        <v>7</v>
      </c>
      <c r="C24" s="172" t="inlineStr">
        <is>
          <t>Сопоставимый уровень цен</t>
        </is>
      </c>
      <c r="D24" s="338" t="inlineStr">
        <is>
          <t>3 кв 2021</t>
        </is>
      </c>
      <c r="E24" s="338" t="n"/>
      <c r="F24" s="170" t="n"/>
    </row>
    <row r="25" ht="123" customHeight="1" s="294">
      <c r="B25" s="338" t="n">
        <v>8</v>
      </c>
      <c r="C25" s="1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5" s="170">
        <f>D19</f>
        <v/>
      </c>
      <c r="E25" s="170" t="n"/>
      <c r="F25" s="417" t="n"/>
    </row>
    <row r="26" ht="60.75" customHeight="1" s="294">
      <c r="B26" s="338" t="n">
        <v>9</v>
      </c>
      <c r="C26" s="169" t="inlineStr">
        <is>
          <t>Приведенная сметная стоимость на единицу мощности, тыс. руб. (строка 8/строку 4)</t>
        </is>
      </c>
      <c r="D26" s="170">
        <f>D25/D17</f>
        <v/>
      </c>
      <c r="E26" s="170" t="n"/>
      <c r="F26" s="170" t="n"/>
    </row>
    <row r="27" ht="164.25" customHeight="1" s="294">
      <c r="B27" s="338" t="n">
        <v>10</v>
      </c>
      <c r="C27" s="308" t="inlineStr">
        <is>
          <t>Примечание</t>
        </is>
      </c>
      <c r="D27" s="33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объект</t>
        </is>
      </c>
      <c r="E27" s="308" t="n"/>
      <c r="F27" s="308" t="n"/>
    </row>
    <row r="28">
      <c r="B28" s="175" t="n"/>
      <c r="C28" s="176" t="n"/>
      <c r="D28" s="176" t="n"/>
      <c r="E28" s="176" t="n"/>
      <c r="F28" s="176" t="n"/>
    </row>
    <row r="29" ht="37.5" customHeight="1" s="294">
      <c r="B29" s="177" t="n"/>
    </row>
    <row r="30">
      <c r="B30" s="296" t="inlineStr">
        <is>
          <t>Составил ______________________        Д.Ю. Нефедова</t>
        </is>
      </c>
    </row>
    <row r="31">
      <c r="B31" s="177" t="inlineStr">
        <is>
          <t xml:space="preserve">                         (подпись, инициалы, фамилия)</t>
        </is>
      </c>
    </row>
    <row r="33">
      <c r="B33" s="296" t="inlineStr">
        <is>
          <t>Проверил ______________________        А.В. Костянецкая</t>
        </is>
      </c>
    </row>
    <row r="34">
      <c r="B34" s="177" t="inlineStr">
        <is>
          <t xml:space="preserve">                        (подпись, инициалы, фамилия)</t>
        </is>
      </c>
    </row>
  </sheetData>
  <mergeCells count="5">
    <mergeCell ref="B4:F4"/>
    <mergeCell ref="B10:F10"/>
    <mergeCell ref="B11:F11"/>
    <mergeCell ref="B3:F3"/>
    <mergeCell ref="B9:F9"/>
  </mergeCells>
  <pageMargins left="0.7" right="0.7" top="0.75" bottom="0.75" header="0.3" footer="0.3"/>
  <pageSetup orientation="portrait" paperSize="9" scale="9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4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96" min="1" max="1"/>
    <col width="9.140625" customWidth="1" style="296" min="2" max="2"/>
    <col width="35.28515625" customWidth="1" style="296" min="3" max="3"/>
    <col width="13.85546875" customWidth="1" style="296" min="4" max="4"/>
    <col width="24.85546875" customWidth="1" style="296" min="5" max="5"/>
    <col width="15.570312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  <col width="9.140625" customWidth="1" style="296" min="12" max="12"/>
  </cols>
  <sheetData>
    <row r="3">
      <c r="B3" s="333" t="inlineStr">
        <is>
          <t>Приложение № 2</t>
        </is>
      </c>
      <c r="K3" s="177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  <c r="K5" s="166" t="n"/>
    </row>
    <row r="6" ht="30" customHeight="1" s="294">
      <c r="B6" s="337" t="inlineStr">
        <is>
          <t>Наименование разрабатываемого показателя УНЦ — Сети связи. Аппаратура громкоговорящей и радиопоисковой связи</t>
        </is>
      </c>
      <c r="K6" s="177" t="n"/>
      <c r="L6" s="239" t="n"/>
    </row>
    <row r="7">
      <c r="B7" s="335" t="inlineStr">
        <is>
          <t>Единица измерения  — 1 объект</t>
        </is>
      </c>
      <c r="L7" s="239" t="n"/>
    </row>
    <row r="8">
      <c r="B8" s="335" t="n"/>
    </row>
    <row r="9" ht="15.75" customHeight="1" s="294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4">
      <c r="B10" s="420" t="n"/>
      <c r="C10" s="420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2021 г., тыс. руб.</t>
        </is>
      </c>
      <c r="G10" s="418" t="n"/>
      <c r="H10" s="418" t="n"/>
      <c r="I10" s="418" t="n"/>
      <c r="J10" s="419" t="n"/>
    </row>
    <row r="11" ht="31.5" customHeight="1" s="294">
      <c r="B11" s="421" t="n"/>
      <c r="C11" s="421" t="n"/>
      <c r="D11" s="421" t="n"/>
      <c r="E11" s="421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63" customHeight="1" s="294">
      <c r="B12" s="184" t="n">
        <v>1</v>
      </c>
      <c r="C12" s="313" t="inlineStr">
        <is>
          <t>Микрофонная панель RM-200M S - 2 шт;
Громкоговорители - 32 шт;
Кабель радиофикации - 1,675 км</t>
        </is>
      </c>
      <c r="D12" s="178" t="inlineStr">
        <is>
          <t>05-02-03</t>
        </is>
      </c>
      <c r="E12" s="308" t="inlineStr">
        <is>
          <t>Системы связи. Внутриобъектная связь</t>
        </is>
      </c>
      <c r="F12" s="241" t="n"/>
      <c r="G12" s="241">
        <f>209.61033</f>
        <v/>
      </c>
      <c r="H12" s="241">
        <f>415.7449</f>
        <v/>
      </c>
      <c r="I12" s="179" t="n"/>
      <c r="J12" s="180">
        <f>SUM(F12:I12)</f>
        <v/>
      </c>
    </row>
    <row r="13" ht="15.75" customHeight="1" s="294">
      <c r="B13" s="336" t="inlineStr">
        <is>
          <t>Всего по объекту:</t>
        </is>
      </c>
      <c r="C13" s="418" t="n"/>
      <c r="D13" s="418" t="n"/>
      <c r="E13" s="419" t="n"/>
      <c r="F13" s="181" t="n"/>
      <c r="G13" s="181">
        <f>SUM(G12:G12)</f>
        <v/>
      </c>
      <c r="H13" s="181">
        <f>SUM(H12:H12)</f>
        <v/>
      </c>
      <c r="I13" s="320" t="n"/>
      <c r="J13" s="183">
        <f>SUM(F13:I13)</f>
        <v/>
      </c>
    </row>
    <row r="14" ht="28.5" customHeight="1" s="294">
      <c r="B14" s="336" t="inlineStr">
        <is>
          <t>Всего по объекту в сопоставимом уровне цен 3 кв. 2021 г:</t>
        </is>
      </c>
      <c r="C14" s="418" t="n"/>
      <c r="D14" s="418" t="n"/>
      <c r="E14" s="419" t="n"/>
      <c r="F14" s="181" t="n"/>
      <c r="G14" s="181">
        <f>G13</f>
        <v/>
      </c>
      <c r="H14" s="181">
        <f>H13</f>
        <v/>
      </c>
      <c r="I14" s="320" t="n"/>
      <c r="J14" s="183">
        <f>SUM(F14:I14)</f>
        <v/>
      </c>
    </row>
    <row r="15">
      <c r="B15" s="335" t="n"/>
    </row>
    <row r="18">
      <c r="B18" s="344" t="inlineStr">
        <is>
          <t>*</t>
        </is>
      </c>
      <c r="C18" s="296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6" t="inlineStr">
        <is>
          <t>Составил ______________________        Д.Ю. Нефедова</t>
        </is>
      </c>
    </row>
    <row r="23">
      <c r="B23" s="177" t="inlineStr">
        <is>
          <t xml:space="preserve">                         (подпись, инициалы, фамилия)</t>
        </is>
      </c>
    </row>
    <row r="25">
      <c r="B25" s="296" t="inlineStr">
        <is>
          <t>Проверил ______________________        А.В. Костянецкая</t>
        </is>
      </c>
    </row>
    <row r="26">
      <c r="B26" s="177" t="inlineStr">
        <is>
          <t xml:space="preserve">                        (подпись, инициалы, фамилия)</t>
        </is>
      </c>
    </row>
    <row r="41">
      <c r="I41" s="422" t="n"/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55" zoomScale="85" workbookViewId="0">
      <selection activeCell="A7" sqref="A7:XFD7"/>
    </sheetView>
  </sheetViews>
  <sheetFormatPr baseColWidth="8" defaultColWidth="9.140625" defaultRowHeight="15.75"/>
  <cols>
    <col width="9.140625" customWidth="1" style="296" min="1" max="1"/>
    <col width="12.5703125" customWidth="1" style="296" min="2" max="2"/>
    <col width="22.42578125" customWidth="1" style="296" min="3" max="3"/>
    <col width="49.7109375" customWidth="1" style="296" min="4" max="4"/>
    <col width="10.140625" customWidth="1" style="229" min="5" max="5"/>
    <col width="20.7109375" customWidth="1" style="296" min="6" max="6"/>
    <col width="16.140625" customWidth="1" style="296" min="7" max="7"/>
    <col width="16.7109375" customWidth="1" style="296" min="8" max="8"/>
    <col width="9.140625" customWidth="1" style="296" min="9" max="10"/>
    <col width="14" customWidth="1" style="296" min="11" max="11"/>
    <col width="9.140625" customWidth="1" style="296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>
      <c r="A4" s="335" t="n"/>
    </row>
    <row r="5" ht="41.25" customHeight="1" s="294">
      <c r="A5" s="337" t="inlineStr">
        <is>
          <t>Наименование разрабатываемого показателя УНЦ - Сети связи. Аппаратура громкоговорящей и радиопоисковой связи</t>
        </is>
      </c>
    </row>
    <row r="6" s="294">
      <c r="A6" s="230" t="n"/>
      <c r="B6" s="230" t="n"/>
      <c r="C6" s="230" t="n"/>
      <c r="D6" s="230" t="n"/>
      <c r="E6" s="166" t="n"/>
      <c r="F6" s="230" t="n"/>
      <c r="G6" s="230" t="n"/>
      <c r="H6" s="230" t="n"/>
      <c r="I6" s="296" t="n"/>
      <c r="J6" s="296" t="n"/>
      <c r="K6" s="296" t="n"/>
      <c r="L6" s="296" t="n"/>
    </row>
    <row r="7" s="294">
      <c r="A7" s="230" t="n"/>
      <c r="B7" s="230" t="n"/>
      <c r="C7" s="230" t="n"/>
      <c r="D7" s="230" t="n"/>
      <c r="E7" s="166" t="n"/>
      <c r="F7" s="230" t="n"/>
      <c r="G7" s="230" t="n"/>
      <c r="H7" s="230" t="n"/>
      <c r="I7" s="296" t="n"/>
      <c r="J7" s="296" t="n"/>
      <c r="K7" s="296" t="n"/>
      <c r="L7" s="296" t="n"/>
    </row>
    <row r="8">
      <c r="A8" s="230" t="n"/>
      <c r="B8" s="230" t="n"/>
      <c r="C8" s="230" t="n"/>
      <c r="D8" s="230" t="n"/>
      <c r="E8" s="166" t="n"/>
      <c r="F8" s="230" t="n"/>
      <c r="G8" s="230" t="n"/>
      <c r="H8" s="230" t="n"/>
    </row>
    <row r="9" ht="38.25" customHeight="1" s="294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19" t="n"/>
    </row>
    <row r="10" ht="40.5" customHeight="1" s="294">
      <c r="A10" s="421" t="n"/>
      <c r="B10" s="421" t="n"/>
      <c r="C10" s="421" t="n"/>
      <c r="D10" s="421" t="n"/>
      <c r="E10" s="421" t="n"/>
      <c r="F10" s="421" t="n"/>
      <c r="G10" s="338" t="inlineStr">
        <is>
          <t>на ед.изм.</t>
        </is>
      </c>
      <c r="H10" s="338" t="inlineStr">
        <is>
          <t>общая</t>
        </is>
      </c>
    </row>
    <row r="11">
      <c r="A11" s="313" t="n">
        <v>1</v>
      </c>
      <c r="B11" s="313" t="n"/>
      <c r="C11" s="313" t="n">
        <v>2</v>
      </c>
      <c r="D11" s="313" t="inlineStr">
        <is>
          <t>З</t>
        </is>
      </c>
      <c r="E11" s="313" t="n">
        <v>4</v>
      </c>
      <c r="F11" s="313" t="n">
        <v>5</v>
      </c>
      <c r="G11" s="313" t="n">
        <v>6</v>
      </c>
      <c r="H11" s="313" t="n">
        <v>7</v>
      </c>
    </row>
    <row r="12" customFormat="1" s="285">
      <c r="A12" s="339" t="inlineStr">
        <is>
          <t>Затраты труда рабочих</t>
        </is>
      </c>
      <c r="B12" s="418" t="n"/>
      <c r="C12" s="418" t="n"/>
      <c r="D12" s="418" t="n"/>
      <c r="E12" s="419" t="n"/>
      <c r="F12" s="232" t="n">
        <v>242.21433333333</v>
      </c>
      <c r="G12" s="232" t="n"/>
      <c r="H12" s="232">
        <f>SUM(H13:H17)</f>
        <v/>
      </c>
      <c r="I12" s="296" t="n"/>
      <c r="J12" s="296" t="n"/>
      <c r="K12" s="296" t="n"/>
    </row>
    <row r="13">
      <c r="A13" s="340" t="n">
        <v>1</v>
      </c>
      <c r="B13" s="235" t="inlineStr">
        <is>
          <t> </t>
        </is>
      </c>
      <c r="C13" s="236" t="inlineStr">
        <is>
          <t>10-3-1</t>
        </is>
      </c>
      <c r="D13" s="341" t="inlineStr">
        <is>
          <t>Инженер I категории</t>
        </is>
      </c>
      <c r="E13" s="238" t="inlineStr">
        <is>
          <t>чел.-ч</t>
        </is>
      </c>
      <c r="F13" s="324" t="n">
        <v>124.93333333333</v>
      </c>
      <c r="G13" s="185" t="n">
        <v>15.49</v>
      </c>
      <c r="H13" s="185">
        <f>ROUND(F13*G13,2)</f>
        <v/>
      </c>
      <c r="L13" s="285" t="n"/>
    </row>
    <row r="14">
      <c r="A14" s="340" t="n">
        <v>2</v>
      </c>
      <c r="B14" s="235" t="inlineStr">
        <is>
          <t> </t>
        </is>
      </c>
      <c r="C14" s="236" t="inlineStr">
        <is>
          <t>1-3-0</t>
        </is>
      </c>
      <c r="D14" s="341" t="inlineStr">
        <is>
          <t>Затраты труда рабочих (ср 3)</t>
        </is>
      </c>
      <c r="E14" s="238" t="inlineStr">
        <is>
          <t>чел.-ч</t>
        </is>
      </c>
      <c r="F14" s="324" t="n">
        <v>58.275</v>
      </c>
      <c r="G14" s="185" t="n">
        <v>8.529999999999999</v>
      </c>
      <c r="H14" s="185">
        <f>ROUND(F14*G14,2)</f>
        <v/>
      </c>
      <c r="L14" s="256" t="n"/>
    </row>
    <row r="15">
      <c r="A15" s="340" t="n">
        <v>3</v>
      </c>
      <c r="B15" s="235" t="inlineStr">
        <is>
          <t> </t>
        </is>
      </c>
      <c r="C15" s="236" t="inlineStr">
        <is>
          <t>1-3-5</t>
        </is>
      </c>
      <c r="D15" s="341" t="inlineStr">
        <is>
          <t>Затраты труда рабочих (ср 3,5)</t>
        </is>
      </c>
      <c r="E15" s="238" t="inlineStr">
        <is>
          <t>чел.-ч</t>
        </is>
      </c>
      <c r="F15" s="324" t="n">
        <v>34.333333333333</v>
      </c>
      <c r="G15" s="185" t="n">
        <v>9.07</v>
      </c>
      <c r="H15" s="185">
        <f>ROUND(F15*G15,2)</f>
        <v/>
      </c>
      <c r="L15" s="285" t="n"/>
    </row>
    <row r="16">
      <c r="A16" s="340" t="n">
        <v>4</v>
      </c>
      <c r="B16" s="235" t="inlineStr">
        <is>
          <t> </t>
        </is>
      </c>
      <c r="C16" s="236" t="inlineStr">
        <is>
          <t>1-3-8</t>
        </is>
      </c>
      <c r="D16" s="341" t="inlineStr">
        <is>
          <t>Затраты труда рабочих (ср 3,8)</t>
        </is>
      </c>
      <c r="E16" s="238" t="inlineStr">
        <is>
          <t>чел.-ч</t>
        </is>
      </c>
      <c r="F16" s="324" t="n">
        <v>13</v>
      </c>
      <c r="G16" s="185" t="n">
        <v>9.4</v>
      </c>
      <c r="H16" s="185">
        <f>ROUND(F16*G16,2)</f>
        <v/>
      </c>
      <c r="L16" s="285" t="n"/>
    </row>
    <row r="17">
      <c r="A17" s="340" t="n">
        <v>5</v>
      </c>
      <c r="B17" s="235" t="inlineStr">
        <is>
          <t> </t>
        </is>
      </c>
      <c r="C17" s="236" t="inlineStr">
        <is>
          <t>1-4-0</t>
        </is>
      </c>
      <c r="D17" s="341" t="inlineStr">
        <is>
          <t>Затраты труда рабочих (ср 4)</t>
        </is>
      </c>
      <c r="E17" s="238" t="inlineStr">
        <is>
          <t>чел.-ч</t>
        </is>
      </c>
      <c r="F17" s="324" t="n">
        <v>11.672666666667</v>
      </c>
      <c r="G17" s="185" t="n">
        <v>9.619999999999999</v>
      </c>
      <c r="H17" s="185">
        <f>ROUND(F17*G17,2)</f>
        <v/>
      </c>
      <c r="L17" s="285" t="n"/>
    </row>
    <row r="18">
      <c r="A18" s="339" t="inlineStr">
        <is>
          <t>Затраты труда машинистов</t>
        </is>
      </c>
      <c r="B18" s="418" t="n"/>
      <c r="C18" s="418" t="n"/>
      <c r="D18" s="418" t="n"/>
      <c r="E18" s="419" t="n"/>
      <c r="F18" s="339" t="n">
        <v>7.8066</v>
      </c>
      <c r="G18" s="232" t="n"/>
      <c r="H18" s="232">
        <f>H19</f>
        <v/>
      </c>
    </row>
    <row r="19">
      <c r="A19" s="340" t="n">
        <v>6</v>
      </c>
      <c r="B19" s="340" t="inlineStr">
        <is>
          <t> </t>
        </is>
      </c>
      <c r="C19" s="323" t="n">
        <v>2</v>
      </c>
      <c r="D19" s="341" t="inlineStr">
        <is>
          <t>Затраты труда машинистов</t>
        </is>
      </c>
      <c r="E19" s="238" t="inlineStr">
        <is>
          <t>чел.-ч</t>
        </is>
      </c>
      <c r="F19" s="340" t="n">
        <v>7.8066</v>
      </c>
      <c r="G19" s="185" t="n"/>
      <c r="H19" s="185" t="n">
        <v>78.53</v>
      </c>
    </row>
    <row r="20" customFormat="1" s="285">
      <c r="A20" s="339" t="inlineStr">
        <is>
          <t>Машины и механизмы</t>
        </is>
      </c>
      <c r="B20" s="418" t="n"/>
      <c r="C20" s="418" t="n"/>
      <c r="D20" s="418" t="n"/>
      <c r="E20" s="419" t="n"/>
      <c r="F20" s="339" t="n"/>
      <c r="G20" s="232" t="n"/>
      <c r="H20" s="232">
        <f>SUM(H21:H22)</f>
        <v/>
      </c>
      <c r="I20" s="296" t="n"/>
      <c r="J20" s="296" t="n"/>
      <c r="K20" s="296" t="n"/>
    </row>
    <row r="21">
      <c r="A21" s="340" t="n">
        <v>7</v>
      </c>
      <c r="B21" s="340" t="inlineStr">
        <is>
          <t> </t>
        </is>
      </c>
      <c r="C21" s="323" t="inlineStr">
        <is>
          <t>91.06.05-011</t>
        </is>
      </c>
      <c r="D21" s="341" t="inlineStr">
        <is>
          <t>Погрузчики, грузоподъемность 5 т</t>
        </is>
      </c>
      <c r="E21" s="238" t="inlineStr">
        <is>
          <t>маш.час</t>
        </is>
      </c>
      <c r="F21" s="340" t="n">
        <v>7.8066</v>
      </c>
      <c r="G21" s="185" t="n">
        <v>89.98999999999999</v>
      </c>
      <c r="H21" s="185">
        <f>ROUND(F21*G21,2)</f>
        <v/>
      </c>
    </row>
    <row r="22" ht="31.5" customFormat="1" customHeight="1" s="285">
      <c r="A22" s="340" t="n">
        <v>8</v>
      </c>
      <c r="B22" s="340" t="inlineStr">
        <is>
          <t> </t>
        </is>
      </c>
      <c r="C22" s="323" t="inlineStr">
        <is>
          <t>91.17.04-233</t>
        </is>
      </c>
      <c r="D22" s="341" t="inlineStr">
        <is>
          <t>Установки для сварки ручной дуговой (постоянного тока)</t>
        </is>
      </c>
      <c r="E22" s="238" t="inlineStr">
        <is>
          <t>маш.час</t>
        </is>
      </c>
      <c r="F22" s="340" t="n">
        <v>2.769</v>
      </c>
      <c r="G22" s="185" t="n">
        <v>8.1</v>
      </c>
      <c r="H22" s="185">
        <f>ROUND(F22*G22,2)</f>
        <v/>
      </c>
      <c r="I22" s="296" t="n"/>
      <c r="J22" s="296" t="n"/>
      <c r="K22" s="296" t="n"/>
    </row>
    <row r="23">
      <c r="A23" s="339" t="inlineStr">
        <is>
          <t>Оборудование</t>
        </is>
      </c>
      <c r="B23" s="418" t="n"/>
      <c r="C23" s="418" t="n"/>
      <c r="D23" s="418" t="n"/>
      <c r="E23" s="419" t="n"/>
      <c r="F23" s="339" t="n"/>
      <c r="G23" s="232" t="n"/>
      <c r="H23" s="232">
        <f>SUM(H24:H28)</f>
        <v/>
      </c>
    </row>
    <row r="24" ht="31.5" customFormat="1" customHeight="1" s="285">
      <c r="A24" s="340" t="n">
        <v>9</v>
      </c>
      <c r="B24" s="340" t="inlineStr">
        <is>
          <t> </t>
        </is>
      </c>
      <c r="C24" s="323" t="inlineStr">
        <is>
          <t>Прайс из СД ОП</t>
        </is>
      </c>
      <c r="D24" s="341" t="inlineStr">
        <is>
          <t>Микрофонная панель RM-200M S, ООО «Юнител Инжиниринг»</t>
        </is>
      </c>
      <c r="E24" s="238" t="inlineStr">
        <is>
          <t>шт.</t>
        </is>
      </c>
      <c r="F24" s="340" t="n">
        <v>2</v>
      </c>
      <c r="G24" s="185" t="n">
        <v>15956.83</v>
      </c>
      <c r="H24" s="185">
        <f>ROUND(F24*G24,2)</f>
        <v/>
      </c>
      <c r="I24" s="296" t="n"/>
      <c r="J24" s="296" t="n"/>
      <c r="K24" s="296" t="n"/>
    </row>
    <row r="25" ht="31.5" customFormat="1" customHeight="1" s="285">
      <c r="A25" s="340" t="n">
        <v>10</v>
      </c>
      <c r="B25" s="340" t="inlineStr">
        <is>
          <t> </t>
        </is>
      </c>
      <c r="C25" s="323" t="inlineStr">
        <is>
          <t>61.2.04.06-0012</t>
        </is>
      </c>
      <c r="D25" s="341" t="inlineStr">
        <is>
          <t>Прибор речевого оповещения "Рупор", два канала по 10 Вт</t>
        </is>
      </c>
      <c r="E25" s="238" t="inlineStr">
        <is>
          <t>шт.</t>
        </is>
      </c>
      <c r="F25" s="340" t="n">
        <v>13</v>
      </c>
      <c r="G25" s="185" t="n">
        <v>1444.49</v>
      </c>
      <c r="H25" s="185">
        <f>ROUND(F25*G25,2)</f>
        <v/>
      </c>
      <c r="I25" s="296" t="n"/>
      <c r="J25" s="296" t="n"/>
      <c r="K25" s="296" t="n"/>
    </row>
    <row r="26" ht="31.5" customFormat="1" customHeight="1" s="285">
      <c r="A26" s="340" t="n">
        <v>11</v>
      </c>
      <c r="B26" s="340" t="inlineStr">
        <is>
          <t> </t>
        </is>
      </c>
      <c r="C26" s="323" t="inlineStr">
        <is>
          <t>61.3.02.04-0005</t>
        </is>
      </c>
      <c r="D26" s="341" t="inlineStr">
        <is>
          <t>Громкоговоритель: CS-820 двухполосный уличный алюминиевый</t>
        </is>
      </c>
      <c r="E26" s="238" t="inlineStr">
        <is>
          <t>шт.</t>
        </is>
      </c>
      <c r="F26" s="340" t="n">
        <v>13</v>
      </c>
      <c r="G26" s="185" t="n">
        <v>1121.5</v>
      </c>
      <c r="H26" s="185">
        <f>ROUND(F26*G26,2)</f>
        <v/>
      </c>
      <c r="I26" s="296" t="n"/>
      <c r="J26" s="296" t="n"/>
      <c r="K26" s="296" t="n"/>
    </row>
    <row r="27" ht="31.5" customFormat="1" customHeight="1" s="285">
      <c r="A27" s="340" t="n">
        <v>12</v>
      </c>
      <c r="B27" s="340" t="inlineStr">
        <is>
          <t> </t>
        </is>
      </c>
      <c r="C27" s="323" t="inlineStr">
        <is>
          <t>61.3.02.04-0005</t>
        </is>
      </c>
      <c r="D27" s="341" t="inlineStr">
        <is>
          <t>Громкоговоритель: CS-820 двухполосный уличный алюминиевый</t>
        </is>
      </c>
      <c r="E27" s="238" t="inlineStr">
        <is>
          <t>шт.</t>
        </is>
      </c>
      <c r="F27" s="340" t="n">
        <v>6</v>
      </c>
      <c r="G27" s="185" t="n">
        <v>1121.5</v>
      </c>
      <c r="H27" s="185">
        <f>ROUND(F27*G27,2)</f>
        <v/>
      </c>
      <c r="I27" s="296" t="n"/>
      <c r="J27" s="296" t="n"/>
      <c r="K27" s="296" t="n"/>
    </row>
    <row r="28" customFormat="1" s="285">
      <c r="A28" s="340" t="n">
        <v>13</v>
      </c>
      <c r="B28" s="340" t="inlineStr">
        <is>
          <t> </t>
        </is>
      </c>
      <c r="C28" s="323" t="inlineStr">
        <is>
          <t>61.1.03.01-0003</t>
        </is>
      </c>
      <c r="D28" s="341" t="inlineStr">
        <is>
          <t>Адаптер сотовой связи АССВ-030</t>
        </is>
      </c>
      <c r="E28" s="238" t="inlineStr">
        <is>
          <t>шт.</t>
        </is>
      </c>
      <c r="F28" s="340" t="n">
        <v>2</v>
      </c>
      <c r="G28" s="185" t="n">
        <v>1386.87</v>
      </c>
      <c r="H28" s="185">
        <f>ROUND(F28*G28,2)</f>
        <v/>
      </c>
      <c r="I28" s="296" t="n"/>
      <c r="J28" s="296" t="n"/>
      <c r="K28" s="296" t="n"/>
    </row>
    <row r="29">
      <c r="A29" s="339" t="inlineStr">
        <is>
          <t>Материалы</t>
        </is>
      </c>
      <c r="B29" s="418" t="n"/>
      <c r="C29" s="418" t="n"/>
      <c r="D29" s="418" t="n"/>
      <c r="E29" s="419" t="n"/>
      <c r="F29" s="339" t="n"/>
      <c r="G29" s="232" t="n"/>
      <c r="H29" s="232">
        <f>SUM(H30:H59)</f>
        <v/>
      </c>
    </row>
    <row r="30" ht="31.5" customHeight="1" s="294">
      <c r="A30" s="340" t="n">
        <v>14</v>
      </c>
      <c r="B30" s="340" t="inlineStr">
        <is>
          <t> </t>
        </is>
      </c>
      <c r="C30" s="323" t="inlineStr">
        <is>
          <t>21.1.08.01-0313</t>
        </is>
      </c>
      <c r="D30" s="341" t="inlineStr">
        <is>
          <t>Кабель пожарной сигнализации КПСЭнг(A)-FRLS 1х2х1,5</t>
        </is>
      </c>
      <c r="E30" s="238" t="inlineStr">
        <is>
          <t>1000 м</t>
        </is>
      </c>
      <c r="F30" s="340" t="n">
        <v>1.32702</v>
      </c>
      <c r="G30" s="185" t="n">
        <v>5545.45</v>
      </c>
      <c r="H30" s="185">
        <f>ROUND(F30*G30,2)</f>
        <v/>
      </c>
    </row>
    <row r="31">
      <c r="A31" s="340" t="n">
        <v>15</v>
      </c>
      <c r="B31" s="340" t="inlineStr">
        <is>
          <t> </t>
        </is>
      </c>
      <c r="C31" s="323" t="inlineStr">
        <is>
          <t>22.2.02.15-0003</t>
        </is>
      </c>
      <c r="D31" s="341" t="inlineStr">
        <is>
          <t>Скрепы фигурные СкФ-30</t>
        </is>
      </c>
      <c r="E31" s="238" t="inlineStr">
        <is>
          <t>100 шт</t>
        </is>
      </c>
      <c r="F31" s="340" t="n">
        <v>29.484</v>
      </c>
      <c r="G31" s="185" t="n">
        <v>155.74</v>
      </c>
      <c r="H31" s="185">
        <f>ROUND(F31*G31,2)</f>
        <v/>
      </c>
    </row>
    <row r="32">
      <c r="A32" s="340" t="n">
        <v>16</v>
      </c>
      <c r="B32" s="340" t="inlineStr">
        <is>
          <t> </t>
        </is>
      </c>
      <c r="C32" s="323" t="inlineStr">
        <is>
          <t>21.1.08.01-0083</t>
        </is>
      </c>
      <c r="D32" s="341" t="inlineStr">
        <is>
          <t>Кабель пожарной сигнализации КПСВВ 1х2х1</t>
        </is>
      </c>
      <c r="E32" s="238" t="inlineStr">
        <is>
          <t>1000 м</t>
        </is>
      </c>
      <c r="F32" s="340" t="n">
        <v>0.34884</v>
      </c>
      <c r="G32" s="185" t="n">
        <v>4077.61</v>
      </c>
      <c r="H32" s="185">
        <f>ROUND(F32*G32,2)</f>
        <v/>
      </c>
    </row>
    <row r="33">
      <c r="A33" s="340" t="n">
        <v>17</v>
      </c>
      <c r="B33" s="340" t="inlineStr">
        <is>
          <t> </t>
        </is>
      </c>
      <c r="C33" s="323" t="inlineStr">
        <is>
          <t>21.2.03.09-0105</t>
        </is>
      </c>
      <c r="D33" s="341" t="inlineStr">
        <is>
          <t>Провод силовой ПРТО 1х1,5-660</t>
        </is>
      </c>
      <c r="E33" s="238" t="inlineStr">
        <is>
          <t>1000 м</t>
        </is>
      </c>
      <c r="F33" s="340" t="n">
        <v>0.199</v>
      </c>
      <c r="G33" s="185" t="n">
        <v>1819.3</v>
      </c>
      <c r="H33" s="185">
        <f>ROUND(F33*G33,2)</f>
        <v/>
      </c>
    </row>
    <row r="34" ht="78.75" customHeight="1" s="294">
      <c r="A34" s="340" t="n">
        <v>18</v>
      </c>
      <c r="B34" s="340" t="inlineStr">
        <is>
          <t> </t>
        </is>
      </c>
      <c r="C34" s="323" t="inlineStr">
        <is>
          <t>21.2.03.02-0001</t>
        </is>
      </c>
      <c r="D34" s="341" t="inlineStr">
        <is>
      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      </is>
      </c>
      <c r="E34" s="238" t="inlineStr">
        <is>
          <t>1000 м</t>
        </is>
      </c>
      <c r="F34" s="340" t="n">
        <v>0.12</v>
      </c>
      <c r="G34" s="185" t="n">
        <v>3005.8</v>
      </c>
      <c r="H34" s="185">
        <f>ROUND(F34*G34,2)</f>
        <v/>
      </c>
    </row>
    <row r="35">
      <c r="A35" s="340" t="n">
        <v>19</v>
      </c>
      <c r="B35" s="340" t="inlineStr">
        <is>
          <t> </t>
        </is>
      </c>
      <c r="C35" s="323" t="inlineStr">
        <is>
          <t>20.5.02.01-0001</t>
        </is>
      </c>
      <c r="D35" s="341" t="inlineStr">
        <is>
          <t>Коробка абонентская АК-1</t>
        </is>
      </c>
      <c r="E35" s="238" t="inlineStr">
        <is>
          <t>шт</t>
        </is>
      </c>
      <c r="F35" s="340" t="n">
        <v>9</v>
      </c>
      <c r="G35" s="185" t="n">
        <v>38.42</v>
      </c>
      <c r="H35" s="185">
        <f>ROUND(F35*G35,2)</f>
        <v/>
      </c>
    </row>
    <row r="36" ht="31.5" customHeight="1" s="294">
      <c r="A36" s="340" t="n">
        <v>20</v>
      </c>
      <c r="B36" s="340" t="inlineStr">
        <is>
          <t> </t>
        </is>
      </c>
      <c r="C36" s="323" t="inlineStr">
        <is>
          <t>07.2.07.04-0007</t>
        </is>
      </c>
      <c r="D36" s="341" t="inlineStr">
        <is>
          <t>Конструкции стальные индивидуальные решетчатые сварные, масса до 0,1 т</t>
        </is>
      </c>
      <c r="E36" s="238" t="inlineStr">
        <is>
          <t>т</t>
        </is>
      </c>
      <c r="F36" s="340" t="n">
        <v>0.026</v>
      </c>
      <c r="G36" s="185" t="n">
        <v>11500</v>
      </c>
      <c r="H36" s="185">
        <f>ROUND(F36*G36,2)</f>
        <v/>
      </c>
    </row>
    <row r="37" ht="31.5" customHeight="1" s="294">
      <c r="A37" s="340" t="n">
        <v>21</v>
      </c>
      <c r="B37" s="340" t="inlineStr">
        <is>
          <t> </t>
        </is>
      </c>
      <c r="C37" s="323" t="inlineStr">
        <is>
          <t>999-9950</t>
        </is>
      </c>
      <c r="D37" s="341" t="inlineStr">
        <is>
          <t>Вспомогательные ненормируемые ресурсы (2% от Оплаты труда рабочих)</t>
        </is>
      </c>
      <c r="E37" s="238" t="inlineStr">
        <is>
          <t>руб</t>
        </is>
      </c>
      <c r="F37" s="340" t="n">
        <v>178.68</v>
      </c>
      <c r="G37" s="185" t="n">
        <v>1</v>
      </c>
      <c r="H37" s="185">
        <f>ROUND(F37*G37,2)</f>
        <v/>
      </c>
    </row>
    <row r="38">
      <c r="A38" s="340" t="n">
        <v>22</v>
      </c>
      <c r="B38" s="340" t="inlineStr">
        <is>
          <t> </t>
        </is>
      </c>
      <c r="C38" s="323" t="inlineStr">
        <is>
          <t>25.2.01.01-0001</t>
        </is>
      </c>
      <c r="D38" s="341" t="inlineStr">
        <is>
          <t>Бирки-оконцеватели</t>
        </is>
      </c>
      <c r="E38" s="238" t="inlineStr">
        <is>
          <t>100 шт</t>
        </is>
      </c>
      <c r="F38" s="340" t="n">
        <v>2.6</v>
      </c>
      <c r="G38" s="185" t="n">
        <v>63</v>
      </c>
      <c r="H38" s="185">
        <f>ROUND(F38*G38,2)</f>
        <v/>
      </c>
    </row>
    <row r="39">
      <c r="A39" s="340" t="n">
        <v>23</v>
      </c>
      <c r="B39" s="340" t="inlineStr">
        <is>
          <t> </t>
        </is>
      </c>
      <c r="C39" s="323" t="inlineStr">
        <is>
          <t>01.7.15.14-0168</t>
        </is>
      </c>
      <c r="D39" s="341" t="inlineStr">
        <is>
          <t>Шурупы с полукруглой головкой 5х70 мм</t>
        </is>
      </c>
      <c r="E39" s="238" t="inlineStr">
        <is>
          <t>т</t>
        </is>
      </c>
      <c r="F39" s="340" t="n">
        <v>0.0131355</v>
      </c>
      <c r="G39" s="185" t="n">
        <v>12430</v>
      </c>
      <c r="H39" s="185">
        <f>ROUND(F39*G39,2)</f>
        <v/>
      </c>
    </row>
    <row r="40">
      <c r="A40" s="340" t="n">
        <v>24</v>
      </c>
      <c r="B40" s="340" t="inlineStr">
        <is>
          <t> </t>
        </is>
      </c>
      <c r="C40" s="323" t="inlineStr">
        <is>
          <t>20.5.02.01-0001</t>
        </is>
      </c>
      <c r="D40" s="341" t="inlineStr">
        <is>
          <t>Коробка абонентская АК-1</t>
        </is>
      </c>
      <c r="E40" s="238" t="inlineStr">
        <is>
          <t>шт</t>
        </is>
      </c>
      <c r="F40" s="340" t="n">
        <v>4</v>
      </c>
      <c r="G40" s="185" t="n">
        <v>38.42</v>
      </c>
      <c r="H40" s="185">
        <f>ROUND(F40*G40,2)</f>
        <v/>
      </c>
    </row>
    <row r="41">
      <c r="A41" s="340" t="n">
        <v>25</v>
      </c>
      <c r="B41" s="340" t="inlineStr">
        <is>
          <t> </t>
        </is>
      </c>
      <c r="C41" s="323" t="inlineStr">
        <is>
          <t>01.7.20.04-0002</t>
        </is>
      </c>
      <c r="D41" s="341" t="inlineStr">
        <is>
          <t>Нитки капроновые</t>
        </is>
      </c>
      <c r="E41" s="238" t="inlineStr">
        <is>
          <t>кг</t>
        </is>
      </c>
      <c r="F41" s="340" t="n">
        <v>0.678</v>
      </c>
      <c r="G41" s="185" t="n">
        <v>112.57</v>
      </c>
      <c r="H41" s="185">
        <f>ROUND(F41*G41,2)</f>
        <v/>
      </c>
    </row>
    <row r="42">
      <c r="A42" s="340" t="n">
        <v>26</v>
      </c>
      <c r="B42" s="340" t="inlineStr">
        <is>
          <t> </t>
        </is>
      </c>
      <c r="C42" s="323" t="inlineStr">
        <is>
          <t>22.2.02.23-0011</t>
        </is>
      </c>
      <c r="D42" s="341" t="inlineStr">
        <is>
          <t>Глухари</t>
        </is>
      </c>
      <c r="E42" s="238" t="inlineStr">
        <is>
          <t>100 шт</t>
        </is>
      </c>
      <c r="F42" s="340" t="n">
        <v>0.352</v>
      </c>
      <c r="G42" s="185" t="n">
        <v>164</v>
      </c>
      <c r="H42" s="185">
        <f>ROUND(F42*G42,2)</f>
        <v/>
      </c>
    </row>
    <row r="43">
      <c r="A43" s="340" t="n">
        <v>27</v>
      </c>
      <c r="B43" s="340" t="inlineStr">
        <is>
          <t> </t>
        </is>
      </c>
      <c r="C43" s="323" t="inlineStr">
        <is>
          <t>20.1.02.23-0082</t>
        </is>
      </c>
      <c r="D43" s="341" t="inlineStr">
        <is>
          <t>Перемычки гибкие, тип ПГС-50</t>
        </is>
      </c>
      <c r="E43" s="238" t="inlineStr">
        <is>
          <t>10 шт</t>
        </is>
      </c>
      <c r="F43" s="340" t="n">
        <v>1.3</v>
      </c>
      <c r="G43" s="185" t="n">
        <v>39</v>
      </c>
      <c r="H43" s="185">
        <f>ROUND(F43*G43,2)</f>
        <v/>
      </c>
    </row>
    <row r="44" ht="47.25" customHeight="1" s="294">
      <c r="A44" s="340" t="n">
        <v>28</v>
      </c>
      <c r="B44" s="340" t="inlineStr">
        <is>
          <t> </t>
        </is>
      </c>
      <c r="C44" s="323" t="inlineStr">
        <is>
          <t>01.7.06.05-0042</t>
        </is>
      </c>
      <c r="D44" s="341" t="inlineStr">
        <is>
          <t>Лента липкая изоляционная на поликасиновом компаунде, ширина 20-30 мм, толщина от 0,14 до 0,19 мм</t>
        </is>
      </c>
      <c r="E44" s="238" t="inlineStr">
        <is>
          <t>кг</t>
        </is>
      </c>
      <c r="F44" s="340" t="n">
        <v>0.492</v>
      </c>
      <c r="G44" s="185" t="n">
        <v>91.29000000000001</v>
      </c>
      <c r="H44" s="185">
        <f>ROUND(F44*G44,2)</f>
        <v/>
      </c>
    </row>
    <row r="45">
      <c r="A45" s="340" t="n">
        <v>29</v>
      </c>
      <c r="B45" s="340" t="inlineStr">
        <is>
          <t> </t>
        </is>
      </c>
      <c r="C45" s="323" t="inlineStr">
        <is>
          <t>08.3.03.04-0012</t>
        </is>
      </c>
      <c r="D45" s="341" t="inlineStr">
        <is>
          <t>Проволока светлая, диаметр 1,1 мм</t>
        </is>
      </c>
      <c r="E45" s="238" t="inlineStr">
        <is>
          <t>т</t>
        </is>
      </c>
      <c r="F45" s="340" t="n">
        <v>0.003402</v>
      </c>
      <c r="G45" s="185" t="n">
        <v>10200</v>
      </c>
      <c r="H45" s="185">
        <f>ROUND(F45*G45,2)</f>
        <v/>
      </c>
    </row>
    <row r="46">
      <c r="A46" s="340" t="n">
        <v>30</v>
      </c>
      <c r="B46" s="340" t="inlineStr">
        <is>
          <t> </t>
        </is>
      </c>
      <c r="C46" s="323" t="inlineStr">
        <is>
          <t>03.1.01.01-0002</t>
        </is>
      </c>
      <c r="D46" s="341" t="inlineStr">
        <is>
          <t>Гипс строительный Г-3</t>
        </is>
      </c>
      <c r="E46" s="238" t="inlineStr">
        <is>
          <t>т</t>
        </is>
      </c>
      <c r="F46" s="340" t="n">
        <v>0.031185</v>
      </c>
      <c r="G46" s="185" t="n">
        <v>729.98</v>
      </c>
      <c r="H46" s="185">
        <f>ROUND(F46*G46,2)</f>
        <v/>
      </c>
      <c r="J46" s="163" t="n"/>
    </row>
    <row r="47" ht="47.25" customHeight="1" s="294">
      <c r="A47" s="340" t="n">
        <v>31</v>
      </c>
      <c r="B47" s="340" t="inlineStr">
        <is>
          <t> </t>
        </is>
      </c>
      <c r="C47" s="323" t="inlineStr">
        <is>
          <t>01.7.06.05-0041</t>
        </is>
      </c>
      <c r="D47" s="341" t="inlineStr">
        <is>
          <t>Лента изоляционная прорезиненная односторонняя, ширина 20 мм, толщина 0,25-0,35 мм</t>
        </is>
      </c>
      <c r="E47" s="238" t="inlineStr">
        <is>
          <t>кг</t>
        </is>
      </c>
      <c r="F47" s="340" t="n">
        <v>0.52</v>
      </c>
      <c r="G47" s="185" t="n">
        <v>30.4</v>
      </c>
      <c r="H47" s="185">
        <f>ROUND(F47*G47,2)</f>
        <v/>
      </c>
      <c r="J47" s="163" t="n"/>
    </row>
    <row r="48">
      <c r="A48" s="340" t="n">
        <v>32</v>
      </c>
      <c r="B48" s="340" t="inlineStr">
        <is>
          <t> </t>
        </is>
      </c>
      <c r="C48" s="323" t="inlineStr">
        <is>
          <t>01.7.15.07-0014</t>
        </is>
      </c>
      <c r="D48" s="341" t="inlineStr">
        <is>
          <t>Дюбели распорные полипропиленовые</t>
        </is>
      </c>
      <c r="E48" s="238" t="inlineStr">
        <is>
          <t>100 шт</t>
        </is>
      </c>
      <c r="F48" s="340" t="n">
        <v>0.182</v>
      </c>
      <c r="G48" s="185" t="n">
        <v>86</v>
      </c>
      <c r="H48" s="185">
        <f>ROUND(F48*G48,2)</f>
        <v/>
      </c>
      <c r="J48" s="163" t="n"/>
    </row>
    <row r="49">
      <c r="A49" s="340" t="n">
        <v>33</v>
      </c>
      <c r="B49" s="340" t="inlineStr">
        <is>
          <t> </t>
        </is>
      </c>
      <c r="C49" s="323" t="inlineStr">
        <is>
          <t>01.3.01.02-0002</t>
        </is>
      </c>
      <c r="D49" s="341" t="inlineStr">
        <is>
          <t>Вазелин технический</t>
        </is>
      </c>
      <c r="E49" s="238" t="inlineStr">
        <is>
          <t>кг</t>
        </is>
      </c>
      <c r="F49" s="340" t="n">
        <v>0.26</v>
      </c>
      <c r="G49" s="185" t="n">
        <v>44.97</v>
      </c>
      <c r="H49" s="185">
        <f>ROUND(F49*G49,2)</f>
        <v/>
      </c>
      <c r="J49" s="163" t="n"/>
    </row>
    <row r="50">
      <c r="A50" s="340" t="n">
        <v>34</v>
      </c>
      <c r="B50" s="340" t="inlineStr">
        <is>
          <t> </t>
        </is>
      </c>
      <c r="C50" s="323" t="inlineStr">
        <is>
          <t>14.4.02.09-0001</t>
        </is>
      </c>
      <c r="D50" s="341" t="inlineStr">
        <is>
          <t>Краска</t>
        </is>
      </c>
      <c r="E50" s="238" t="inlineStr">
        <is>
          <t>кг</t>
        </is>
      </c>
      <c r="F50" s="340" t="n">
        <v>0.39</v>
      </c>
      <c r="G50" s="185" t="n">
        <v>28.6</v>
      </c>
      <c r="H50" s="185">
        <f>ROUND(F50*G50,2)</f>
        <v/>
      </c>
      <c r="J50" s="163" t="n"/>
    </row>
    <row r="51">
      <c r="A51" s="340" t="n">
        <v>35</v>
      </c>
      <c r="B51" s="340" t="inlineStr">
        <is>
          <t> </t>
        </is>
      </c>
      <c r="C51" s="323" t="inlineStr">
        <is>
          <t>01.7.02.07-0011</t>
        </is>
      </c>
      <c r="D51" s="341" t="inlineStr">
        <is>
          <t>Прессшпан листовой, марка А</t>
        </is>
      </c>
      <c r="E51" s="238" t="inlineStr">
        <is>
          <t>кг</t>
        </is>
      </c>
      <c r="F51" s="340" t="n">
        <v>0.2034</v>
      </c>
      <c r="G51" s="185" t="n">
        <v>47.57</v>
      </c>
      <c r="H51" s="185">
        <f>ROUND(F51*G51,2)</f>
        <v/>
      </c>
      <c r="J51" s="163" t="n"/>
    </row>
    <row r="52">
      <c r="A52" s="340" t="n">
        <v>36</v>
      </c>
      <c r="B52" s="340" t="inlineStr">
        <is>
          <t> </t>
        </is>
      </c>
      <c r="C52" s="323" t="inlineStr">
        <is>
          <t>01.7.11.07-0034</t>
        </is>
      </c>
      <c r="D52" s="341" t="inlineStr">
        <is>
          <t>Электроды сварочные Э42А, диаметр 4 мм</t>
        </is>
      </c>
      <c r="E52" s="238" t="inlineStr">
        <is>
          <t>кг</t>
        </is>
      </c>
      <c r="F52" s="340" t="n">
        <v>0.91</v>
      </c>
      <c r="G52" s="185" t="n">
        <v>10.57</v>
      </c>
      <c r="H52" s="185">
        <f>ROUND(F52*G52,2)</f>
        <v/>
      </c>
      <c r="J52" s="163" t="n"/>
    </row>
    <row r="53">
      <c r="A53" s="340" t="n">
        <v>37</v>
      </c>
      <c r="B53" s="340" t="inlineStr">
        <is>
          <t> </t>
        </is>
      </c>
      <c r="C53" s="323" t="inlineStr">
        <is>
          <t>14.4.03.17-0011</t>
        </is>
      </c>
      <c r="D53" s="341" t="inlineStr">
        <is>
          <t>Лак электроизоляционный 318</t>
        </is>
      </c>
      <c r="E53" s="238" t="inlineStr">
        <is>
          <t>кг</t>
        </is>
      </c>
      <c r="F53" s="340" t="n">
        <v>0.26</v>
      </c>
      <c r="G53" s="185" t="n">
        <v>35.63</v>
      </c>
      <c r="H53" s="185">
        <f>ROUND(F53*G53,2)</f>
        <v/>
      </c>
      <c r="J53" s="163" t="n"/>
    </row>
    <row r="54" ht="31.5" customHeight="1" s="294">
      <c r="A54" s="340" t="n">
        <v>38</v>
      </c>
      <c r="B54" s="340" t="inlineStr">
        <is>
          <t> </t>
        </is>
      </c>
      <c r="C54" s="323" t="inlineStr">
        <is>
          <t>01.7.07.03-0007</t>
        </is>
      </c>
      <c r="D54" s="341" t="inlineStr">
        <is>
          <t>Воск полиэтиленовый неокисленный ПВ-25, ПВ-100, ПВ-200, ПВ-300, ПВ-500</t>
        </is>
      </c>
      <c r="E54" s="238" t="inlineStr">
        <is>
          <t>т</t>
        </is>
      </c>
      <c r="F54" s="340" t="n">
        <v>0.000339</v>
      </c>
      <c r="G54" s="185" t="n">
        <v>22419</v>
      </c>
      <c r="H54" s="185">
        <f>ROUND(F54*G54,2)</f>
        <v/>
      </c>
      <c r="J54" s="163" t="n"/>
    </row>
    <row r="55">
      <c r="A55" s="340" t="n">
        <v>39</v>
      </c>
      <c r="B55" s="340" t="inlineStr">
        <is>
          <t> </t>
        </is>
      </c>
      <c r="C55" s="323" t="inlineStr">
        <is>
          <t>01.7.15.03-0042</t>
        </is>
      </c>
      <c r="D55" s="341" t="inlineStr">
        <is>
          <t>Болты с гайками и шайбами строительные</t>
        </is>
      </c>
      <c r="E55" s="238" t="inlineStr">
        <is>
          <t>кг</t>
        </is>
      </c>
      <c r="F55" s="340" t="n">
        <v>0.637</v>
      </c>
      <c r="G55" s="185" t="n">
        <v>9.039999999999999</v>
      </c>
      <c r="H55" s="185">
        <f>ROUND(F55*G55,2)</f>
        <v/>
      </c>
      <c r="J55" s="163" t="n"/>
    </row>
    <row r="56">
      <c r="A56" s="340" t="n">
        <v>40</v>
      </c>
      <c r="B56" s="340" t="inlineStr">
        <is>
          <t> </t>
        </is>
      </c>
      <c r="C56" s="323" t="inlineStr">
        <is>
          <t>01.7.20.04-0005</t>
        </is>
      </c>
      <c r="D56" s="341" t="inlineStr">
        <is>
          <t>Нитки швейные</t>
        </is>
      </c>
      <c r="E56" s="238" t="inlineStr">
        <is>
          <t>кг</t>
        </is>
      </c>
      <c r="F56" s="340" t="n">
        <v>0.026</v>
      </c>
      <c r="G56" s="185" t="n">
        <v>133.05</v>
      </c>
      <c r="H56" s="185">
        <f>ROUND(F56*G56,2)</f>
        <v/>
      </c>
      <c r="J56" s="163" t="n"/>
    </row>
    <row r="57" ht="31.5" customHeight="1" s="294">
      <c r="A57" s="340" t="n">
        <v>41</v>
      </c>
      <c r="B57" s="340" t="inlineStr">
        <is>
          <t> </t>
        </is>
      </c>
      <c r="C57" s="323" t="inlineStr">
        <is>
          <t>10.3.02.03-0012</t>
        </is>
      </c>
      <c r="D57" s="341" t="inlineStr">
        <is>
          <t>Припои оловянно-свинцовые бессурьмянистые, марка ПОС40</t>
        </is>
      </c>
      <c r="E57" s="238" t="inlineStr">
        <is>
          <t>т</t>
        </is>
      </c>
      <c r="F57" s="340" t="n">
        <v>2e-05</v>
      </c>
      <c r="G57" s="185" t="n">
        <v>65750</v>
      </c>
      <c r="H57" s="185">
        <f>ROUND(F57*G57,2)</f>
        <v/>
      </c>
      <c r="J57" s="163" t="n"/>
    </row>
    <row r="58">
      <c r="A58" s="340" t="n">
        <v>42</v>
      </c>
      <c r="B58" s="340" t="inlineStr">
        <is>
          <t> </t>
        </is>
      </c>
      <c r="C58" s="323" t="inlineStr">
        <is>
          <t>01.7.20.04-0003</t>
        </is>
      </c>
      <c r="D58" s="341" t="inlineStr">
        <is>
          <t>Нитки суровые</t>
        </is>
      </c>
      <c r="E58" s="238" t="inlineStr">
        <is>
          <t>кг</t>
        </is>
      </c>
      <c r="F58" s="340" t="n">
        <v>0.004</v>
      </c>
      <c r="G58" s="185" t="n">
        <v>155</v>
      </c>
      <c r="H58" s="185">
        <f>ROUND(F58*G58,2)</f>
        <v/>
      </c>
      <c r="J58" s="163" t="n"/>
    </row>
    <row r="59">
      <c r="A59" s="340" t="n">
        <v>43</v>
      </c>
      <c r="B59" s="340" t="inlineStr">
        <is>
          <t> </t>
        </is>
      </c>
      <c r="C59" s="323" t="inlineStr">
        <is>
          <t>01.7.02.09-0002</t>
        </is>
      </c>
      <c r="D59" s="341" t="inlineStr">
        <is>
          <t>Шпагат бумажный</t>
        </is>
      </c>
      <c r="E59" s="238" t="inlineStr">
        <is>
          <t>кг</t>
        </is>
      </c>
      <c r="F59" s="340" t="n">
        <v>0.052</v>
      </c>
      <c r="G59" s="185" t="n">
        <v>11.5</v>
      </c>
      <c r="H59" s="185">
        <f>ROUND(F59*G59,2)</f>
        <v/>
      </c>
      <c r="J59" s="163" t="n"/>
    </row>
    <row r="62">
      <c r="B62" s="296" t="inlineStr">
        <is>
          <t>Составил ______________________        Д.Ю. Нефедова</t>
        </is>
      </c>
    </row>
    <row r="63">
      <c r="B63" s="177" t="inlineStr">
        <is>
          <t xml:space="preserve">                         (подпись, инициалы, фамилия)</t>
        </is>
      </c>
    </row>
    <row r="65">
      <c r="B65" s="296" t="inlineStr">
        <is>
          <t>Проверил ______________________        А.В. Костянецкая</t>
        </is>
      </c>
    </row>
    <row r="66">
      <c r="B66" s="17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A20:E20"/>
    <mergeCell ref="D9:D10"/>
    <mergeCell ref="E9:E10"/>
    <mergeCell ref="A9:A10"/>
    <mergeCell ref="F9:F10"/>
    <mergeCell ref="A2:H2"/>
    <mergeCell ref="A23:E23"/>
    <mergeCell ref="A5:H5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11.42578125" customWidth="1" style="294" min="6" max="6"/>
    <col width="9.140625" customWidth="1" style="294" min="7" max="10"/>
    <col width="13.5703125" customWidth="1" style="294" min="11" max="11"/>
    <col width="9.140625" customWidth="1" style="294" min="12" max="12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64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26" t="inlineStr">
        <is>
          <t>Ресурсная модель</t>
        </is>
      </c>
    </row>
    <row r="6">
      <c r="B6" s="164" t="n"/>
      <c r="C6" s="290" t="n"/>
      <c r="D6" s="290" t="n"/>
      <c r="E6" s="290" t="n"/>
    </row>
    <row r="7" ht="25.5" customHeight="1" s="294">
      <c r="B7" s="342" t="inlineStr">
        <is>
          <t>Наименование разрабатываемого показателя УНЦ — Сети связи. Аппаратура громкоговорящей и радиопоисковой связи</t>
        </is>
      </c>
    </row>
    <row r="8">
      <c r="B8" s="343" t="inlineStr">
        <is>
          <t>Единица измерения  — 1 объект</t>
        </is>
      </c>
    </row>
    <row r="9">
      <c r="B9" s="164" t="n"/>
      <c r="C9" s="290" t="n"/>
      <c r="D9" s="290" t="n"/>
      <c r="E9" s="290" t="n"/>
    </row>
    <row r="10" ht="51" customHeight="1" s="294">
      <c r="B10" s="347" t="inlineStr">
        <is>
          <t>Наименование</t>
        </is>
      </c>
      <c r="C10" s="347" t="inlineStr">
        <is>
          <t>Сметная стоимость в ценах на 01.01.2023
 (руб.)</t>
        </is>
      </c>
      <c r="D10" s="347" t="inlineStr">
        <is>
          <t>Удельный вес, 
(в СМР)</t>
        </is>
      </c>
      <c r="E10" s="347" t="inlineStr">
        <is>
          <t>Удельный вес, % 
(от всего по РМ)</t>
        </is>
      </c>
    </row>
    <row r="11">
      <c r="B11" s="193" t="inlineStr">
        <is>
          <t>Оплата труда рабочих</t>
        </is>
      </c>
      <c r="C11" s="155">
        <f>'Прил.5 Расчет СМР и ОБ'!J15</f>
        <v/>
      </c>
      <c r="D11" s="156">
        <f>C11/$C$24</f>
        <v/>
      </c>
      <c r="E11" s="156">
        <f>C11/$C$40</f>
        <v/>
      </c>
    </row>
    <row r="12">
      <c r="B12" s="193" t="inlineStr">
        <is>
          <t>Эксплуатация машин основных</t>
        </is>
      </c>
      <c r="C12" s="155">
        <f>'Прил.5 Расчет СМР и ОБ'!J21</f>
        <v/>
      </c>
      <c r="D12" s="156">
        <f>C12/$C$24</f>
        <v/>
      </c>
      <c r="E12" s="156">
        <f>C12/$C$40</f>
        <v/>
      </c>
    </row>
    <row r="13">
      <c r="B13" s="193" t="inlineStr">
        <is>
          <t>Эксплуатация машин прочих</t>
        </is>
      </c>
      <c r="C13" s="155">
        <f>'Прил.5 Расчет СМР и ОБ'!J23</f>
        <v/>
      </c>
      <c r="D13" s="156">
        <f>C13/$C$24</f>
        <v/>
      </c>
      <c r="E13" s="156">
        <f>C13/$C$40</f>
        <v/>
      </c>
    </row>
    <row r="14">
      <c r="B14" s="193" t="inlineStr">
        <is>
          <t>ЭКСПЛУАТАЦИЯ МАШИН, ВСЕГО:</t>
        </is>
      </c>
      <c r="C14" s="155">
        <f>C13+C12</f>
        <v/>
      </c>
      <c r="D14" s="156">
        <f>C14/$C$24</f>
        <v/>
      </c>
      <c r="E14" s="156">
        <f>C14/$C$40</f>
        <v/>
      </c>
    </row>
    <row r="15">
      <c r="B15" s="193" t="inlineStr">
        <is>
          <t>в том числе зарплата машинистов</t>
        </is>
      </c>
      <c r="C15" s="155">
        <f>'Прил.5 Расчет СМР и ОБ'!J17</f>
        <v/>
      </c>
      <c r="D15" s="156">
        <f>C15/$C$24</f>
        <v/>
      </c>
      <c r="E15" s="156">
        <f>C15/$C$40</f>
        <v/>
      </c>
    </row>
    <row r="16">
      <c r="B16" s="193" t="inlineStr">
        <is>
          <t>Материалы основные</t>
        </is>
      </c>
      <c r="C16" s="155">
        <f>'Прил.5 Расчет СМР и ОБ'!J42</f>
        <v/>
      </c>
      <c r="D16" s="156">
        <f>C16/$C$24</f>
        <v/>
      </c>
      <c r="E16" s="156">
        <f>C16/$C$40</f>
        <v/>
      </c>
    </row>
    <row r="17">
      <c r="B17" s="193" t="inlineStr">
        <is>
          <t>Материалы прочие</t>
        </is>
      </c>
      <c r="C17" s="155">
        <f>'Прил.5 Расчет СМР и ОБ'!J69</f>
        <v/>
      </c>
      <c r="D17" s="156">
        <f>C17/$C$24</f>
        <v/>
      </c>
      <c r="E17" s="156">
        <f>C17/$C$40</f>
        <v/>
      </c>
    </row>
    <row r="18">
      <c r="B18" s="193" t="inlineStr">
        <is>
          <t>МАТЕРИАЛЫ, ВСЕГО:</t>
        </is>
      </c>
      <c r="C18" s="155">
        <f>C17+C16</f>
        <v/>
      </c>
      <c r="D18" s="156">
        <f>C18/$C$24</f>
        <v/>
      </c>
      <c r="E18" s="156">
        <f>C18/$C$40</f>
        <v/>
      </c>
    </row>
    <row r="19">
      <c r="B19" s="193" t="inlineStr">
        <is>
          <t>ИТОГО</t>
        </is>
      </c>
      <c r="C19" s="155">
        <f>C18+C14+C11</f>
        <v/>
      </c>
      <c r="D19" s="156" t="n"/>
      <c r="E19" s="193" t="n"/>
    </row>
    <row r="20">
      <c r="B20" s="193" t="inlineStr">
        <is>
          <t>Сметная прибыль, руб.</t>
        </is>
      </c>
      <c r="C20" s="155">
        <f>ROUND(C21*(C11+C15),2)</f>
        <v/>
      </c>
      <c r="D20" s="156">
        <f>C20/$C$24</f>
        <v/>
      </c>
      <c r="E20" s="156">
        <f>C20/$C$40</f>
        <v/>
      </c>
    </row>
    <row r="21">
      <c r="B21" s="193" t="inlineStr">
        <is>
          <t>Сметная прибыль, %</t>
        </is>
      </c>
      <c r="C21" s="159">
        <f>'Прил.5 Расчет СМР и ОБ'!D73</f>
        <v/>
      </c>
      <c r="D21" s="156" t="n"/>
      <c r="E21" s="193" t="n"/>
    </row>
    <row r="22">
      <c r="B22" s="193" t="inlineStr">
        <is>
          <t>Накладные расходы, руб.</t>
        </is>
      </c>
      <c r="C22" s="155">
        <f>ROUND(C23*(C11+C15),2)</f>
        <v/>
      </c>
      <c r="D22" s="156">
        <f>C22/$C$24</f>
        <v/>
      </c>
      <c r="E22" s="156">
        <f>C22/$C$40</f>
        <v/>
      </c>
    </row>
    <row r="23">
      <c r="B23" s="193" t="inlineStr">
        <is>
          <t>Накладные расходы, %</t>
        </is>
      </c>
      <c r="C23" s="159">
        <f>'Прил.5 Расчет СМР и ОБ'!D72</f>
        <v/>
      </c>
      <c r="D23" s="156" t="n"/>
      <c r="E23" s="193" t="n"/>
    </row>
    <row r="24">
      <c r="B24" s="193" t="inlineStr">
        <is>
          <t>ВСЕГО СМР с НР и СП</t>
        </is>
      </c>
      <c r="C24" s="155">
        <f>C19+C20+C22</f>
        <v/>
      </c>
      <c r="D24" s="156">
        <f>C24/$C$24</f>
        <v/>
      </c>
      <c r="E24" s="156">
        <f>C24/$C$40</f>
        <v/>
      </c>
    </row>
    <row r="25" ht="25.5" customHeight="1" s="294">
      <c r="B25" s="193" t="inlineStr">
        <is>
          <t>ВСЕГО стоимость оборудования, в том числе</t>
        </is>
      </c>
      <c r="C25" s="155">
        <f>'Прил.5 Расчет СМР и ОБ'!J34</f>
        <v/>
      </c>
      <c r="D25" s="156" t="n"/>
      <c r="E25" s="156">
        <f>C25/$C$40</f>
        <v/>
      </c>
    </row>
    <row r="26" ht="25.5" customHeight="1" s="294">
      <c r="B26" s="193" t="inlineStr">
        <is>
          <t>стоимость оборудования технологического</t>
        </is>
      </c>
      <c r="C26" s="155">
        <f>'Прил.5 Расчет СМР и ОБ'!J35</f>
        <v/>
      </c>
      <c r="D26" s="156" t="n"/>
      <c r="E26" s="156">
        <f>C26/$C$40</f>
        <v/>
      </c>
    </row>
    <row r="27">
      <c r="B27" s="193" t="inlineStr">
        <is>
          <t>ИТОГО (СМР + ОБОРУДОВАНИЕ)</t>
        </is>
      </c>
      <c r="C27" s="158">
        <f>C24+C25</f>
        <v/>
      </c>
      <c r="D27" s="156" t="n"/>
      <c r="E27" s="156">
        <f>C27/$C$40</f>
        <v/>
      </c>
    </row>
    <row r="28" ht="33" customHeight="1" s="294">
      <c r="B28" s="193" t="inlineStr">
        <is>
          <t>ПРОЧ. ЗАТР., УЧТЕННЫЕ ПОКАЗАТЕЛЕМ,  в том числе</t>
        </is>
      </c>
      <c r="C28" s="193" t="n"/>
      <c r="D28" s="193" t="n"/>
      <c r="E28" s="193" t="n"/>
      <c r="F28" s="157" t="n"/>
    </row>
    <row r="29" ht="25.5" customHeight="1" s="294">
      <c r="B29" s="193" t="inlineStr">
        <is>
          <t>Временные здания и сооружения - 3,9%</t>
        </is>
      </c>
      <c r="C29" s="158">
        <f>ROUND(C24*3.9%,2)</f>
        <v/>
      </c>
      <c r="D29" s="193" t="n"/>
      <c r="E29" s="156">
        <f>C29/$C$40</f>
        <v/>
      </c>
    </row>
    <row r="30" ht="38.25" customHeight="1" s="294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156">
        <f>C30/$C$40</f>
        <v/>
      </c>
      <c r="F30" s="157" t="n"/>
    </row>
    <row r="31">
      <c r="B31" s="281" t="inlineStr">
        <is>
          <t>Пусконаладочные работы</t>
        </is>
      </c>
      <c r="C31" s="282" t="n">
        <v>31380.3</v>
      </c>
      <c r="D31" s="281" t="n"/>
      <c r="E31" s="156">
        <f>C31/$C$40</f>
        <v/>
      </c>
    </row>
    <row r="32" ht="25.5" customHeight="1" s="294">
      <c r="B32" s="281" t="inlineStr">
        <is>
          <t>Затраты по перевозке работников к месту работы и обратно</t>
        </is>
      </c>
      <c r="C32" s="282">
        <f>ROUND($C$27*0,2)</f>
        <v/>
      </c>
      <c r="D32" s="281" t="n"/>
      <c r="E32" s="156">
        <f>C32/$C$40</f>
        <v/>
      </c>
      <c r="F32" s="280" t="n"/>
    </row>
    <row r="33" ht="25.5" customHeight="1" s="294">
      <c r="B33" s="281" t="inlineStr">
        <is>
          <t>Затраты, связанные с осуществлением работ вахтовым методом</t>
        </is>
      </c>
      <c r="C33" s="282">
        <f>ROUND($C$27*0,2)</f>
        <v/>
      </c>
      <c r="D33" s="281" t="n"/>
      <c r="E33" s="156">
        <f>C33/$C$40</f>
        <v/>
      </c>
    </row>
    <row r="34" ht="51" customHeight="1" s="294">
      <c r="B34" s="1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>
        <f>ROUND($C$27*0,2)</f>
        <v/>
      </c>
      <c r="D34" s="193" t="n"/>
      <c r="E34" s="156">
        <f>C34/$C$40</f>
        <v/>
      </c>
      <c r="G34" s="161" t="n"/>
    </row>
    <row r="35" ht="76.5" customHeight="1" s="294">
      <c r="B35" s="1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 t="n">
        <v>0</v>
      </c>
      <c r="D35" s="193" t="n"/>
      <c r="E35" s="156">
        <f>C35/$C$40</f>
        <v/>
      </c>
    </row>
    <row r="36" ht="25.5" customHeight="1" s="294">
      <c r="B36" s="193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193" t="n"/>
      <c r="E36" s="156">
        <f>C36/$C$40</f>
        <v/>
      </c>
      <c r="K36" s="157" t="n"/>
    </row>
    <row r="37">
      <c r="B37" s="193" t="inlineStr">
        <is>
          <t>Авторский надзор - 0,2%</t>
        </is>
      </c>
      <c r="C37" s="158">
        <f>ROUND((C27+C32+C33+C34+C35+C29+C31+C30)*0.2%,2)</f>
        <v/>
      </c>
      <c r="D37" s="193" t="n"/>
      <c r="E37" s="156">
        <f>C37/$C$40</f>
        <v/>
      </c>
      <c r="K37" s="157" t="n"/>
    </row>
    <row r="38" ht="38.25" customHeight="1" s="294">
      <c r="B38" s="193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193" t="n"/>
      <c r="E38" s="156">
        <f>C38/$C$40</f>
        <v/>
      </c>
    </row>
    <row r="39" ht="13.5" customHeight="1" s="294">
      <c r="B39" s="193" t="inlineStr">
        <is>
          <t>Непредвиденные расходы</t>
        </is>
      </c>
      <c r="C39" s="155">
        <f>ROUND(C38*3%,2)</f>
        <v/>
      </c>
      <c r="D39" s="193" t="n"/>
      <c r="E39" s="156">
        <f>C39/$C$38</f>
        <v/>
      </c>
    </row>
    <row r="40">
      <c r="B40" s="193" t="inlineStr">
        <is>
          <t>ВСЕГО:</t>
        </is>
      </c>
      <c r="C40" s="155">
        <f>C39+C38</f>
        <v/>
      </c>
      <c r="D40" s="193" t="n"/>
      <c r="E40" s="156">
        <f>C40/$C$40</f>
        <v/>
      </c>
    </row>
    <row r="41">
      <c r="B41" s="193" t="inlineStr">
        <is>
          <t>ИТОГО ПОКАЗАТЕЛЬ НА ЕД. ИЗМ.</t>
        </is>
      </c>
      <c r="C41" s="155">
        <f>C40/'Прил.5 Расчет СМР и ОБ'!E76</f>
        <v/>
      </c>
      <c r="D41" s="193" t="n"/>
      <c r="E41" s="193" t="n"/>
    </row>
    <row r="42">
      <c r="B42" s="162" t="n"/>
      <c r="C42" s="290" t="n"/>
      <c r="D42" s="290" t="n"/>
      <c r="E42" s="290" t="n"/>
    </row>
    <row r="43">
      <c r="B43" s="162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162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162" t="n"/>
      <c r="C45" s="290" t="n"/>
      <c r="D45" s="290" t="n"/>
      <c r="E45" s="290" t="n"/>
    </row>
    <row r="46">
      <c r="B46" s="162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43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view="pageBreakPreview" topLeftCell="A23" zoomScale="85" workbookViewId="0">
      <selection activeCell="B78" sqref="B78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2.7109375" customWidth="1" style="291" min="5" max="5"/>
    <col width="15" customWidth="1" style="291" min="6" max="6"/>
    <col width="13.4257812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9.140625" customWidth="1" style="291" min="12" max="12"/>
    <col width="9.140625" customWidth="1" style="294" min="13" max="13"/>
  </cols>
  <sheetData>
    <row r="1" s="294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294">
      <c r="A2" s="291" t="n"/>
      <c r="B2" s="291" t="n"/>
      <c r="C2" s="291" t="n"/>
      <c r="D2" s="291" t="n"/>
      <c r="E2" s="291" t="n"/>
      <c r="F2" s="291" t="n"/>
      <c r="G2" s="291" t="n"/>
      <c r="H2" s="344" t="inlineStr">
        <is>
          <t>Приложение №5</t>
        </is>
      </c>
      <c r="K2" s="291" t="n"/>
      <c r="L2" s="291" t="n"/>
      <c r="M2" s="291" t="n"/>
      <c r="N2" s="291" t="n"/>
    </row>
    <row r="3" s="294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0">
      <c r="A4" s="326" t="inlineStr">
        <is>
          <t>Расчет стоимости СМР и оборудования</t>
        </is>
      </c>
    </row>
    <row r="5" ht="12.75" customFormat="1" customHeight="1" s="290">
      <c r="A5" s="326" t="n"/>
      <c r="B5" s="326" t="n"/>
      <c r="C5" s="372" t="n"/>
      <c r="D5" s="326" t="n"/>
      <c r="E5" s="326" t="n"/>
      <c r="F5" s="326" t="n"/>
      <c r="G5" s="326" t="n"/>
      <c r="H5" s="326" t="n"/>
      <c r="I5" s="326" t="n"/>
      <c r="J5" s="326" t="n"/>
    </row>
    <row r="6" ht="25.5" customFormat="1" customHeight="1" s="290">
      <c r="A6" s="206" t="inlineStr">
        <is>
          <t>Наименование разрабатываемого показателя УНЦ</t>
        </is>
      </c>
      <c r="B6" s="207" t="n"/>
      <c r="C6" s="207" t="n"/>
      <c r="D6" s="350" t="inlineStr">
        <is>
          <t>Сети связи. Аппаратура громкоговорящей и радиопоисковой связи</t>
        </is>
      </c>
    </row>
    <row r="7" ht="12.75" customFormat="1" customHeight="1" s="290">
      <c r="A7" s="329" t="inlineStr">
        <is>
          <t>Единица измерения  — 1 объект</t>
        </is>
      </c>
      <c r="I7" s="342" t="n"/>
      <c r="J7" s="342" t="n"/>
    </row>
    <row r="8" ht="13.5" customFormat="1" customHeight="1" s="290">
      <c r="A8" s="329" t="n"/>
    </row>
    <row r="9" ht="27" customHeight="1" s="294">
      <c r="A9" s="347" t="inlineStr">
        <is>
          <t>№ пп.</t>
        </is>
      </c>
      <c r="B9" s="347" t="inlineStr">
        <is>
          <t>Код ресурса</t>
        </is>
      </c>
      <c r="C9" s="347" t="inlineStr">
        <is>
          <t>Наименование</t>
        </is>
      </c>
      <c r="D9" s="347" t="inlineStr">
        <is>
          <t>Ед. изм.</t>
        </is>
      </c>
      <c r="E9" s="347" t="inlineStr">
        <is>
          <t>Кол-во единиц по проектным данным</t>
        </is>
      </c>
      <c r="F9" s="347" t="inlineStr">
        <is>
          <t>Сметная стоимость в ценах на 01.01.2000 (руб.)</t>
        </is>
      </c>
      <c r="G9" s="419" t="n"/>
      <c r="H9" s="347" t="inlineStr">
        <is>
          <t>Удельный вес, %</t>
        </is>
      </c>
      <c r="I9" s="347" t="inlineStr">
        <is>
          <t>Сметная стоимость в ценах на 01.01.2023 (руб.)</t>
        </is>
      </c>
      <c r="J9" s="419" t="n"/>
      <c r="K9" s="291" t="n"/>
      <c r="L9" s="291" t="n"/>
      <c r="M9" s="291" t="n"/>
      <c r="N9" s="291" t="n"/>
    </row>
    <row r="10" ht="28.5" customHeight="1" s="294">
      <c r="A10" s="421" t="n"/>
      <c r="B10" s="421" t="n"/>
      <c r="C10" s="421" t="n"/>
      <c r="D10" s="421" t="n"/>
      <c r="E10" s="421" t="n"/>
      <c r="F10" s="347" t="inlineStr">
        <is>
          <t>на ед. изм.</t>
        </is>
      </c>
      <c r="G10" s="347" t="inlineStr">
        <is>
          <t>общая</t>
        </is>
      </c>
      <c r="H10" s="421" t="n"/>
      <c r="I10" s="347" t="inlineStr">
        <is>
          <t>на ед. изм.</t>
        </is>
      </c>
      <c r="J10" s="347" t="inlineStr">
        <is>
          <t>общая</t>
        </is>
      </c>
      <c r="K10" s="291" t="n"/>
      <c r="L10" s="291" t="n"/>
      <c r="M10" s="291" t="n"/>
      <c r="N10" s="291" t="n"/>
    </row>
    <row r="11" s="294">
      <c r="A11" s="347" t="n">
        <v>1</v>
      </c>
      <c r="B11" s="347" t="n">
        <v>2</v>
      </c>
      <c r="C11" s="347" t="n">
        <v>3</v>
      </c>
      <c r="D11" s="347" t="n">
        <v>4</v>
      </c>
      <c r="E11" s="347" t="n">
        <v>5</v>
      </c>
      <c r="F11" s="347" t="n">
        <v>6</v>
      </c>
      <c r="G11" s="347" t="n">
        <v>7</v>
      </c>
      <c r="H11" s="347" t="n">
        <v>8</v>
      </c>
      <c r="I11" s="348" t="n">
        <v>9</v>
      </c>
      <c r="J11" s="348" t="n">
        <v>10</v>
      </c>
      <c r="K11" s="291" t="n"/>
      <c r="L11" s="291" t="n"/>
      <c r="M11" s="291" t="n"/>
      <c r="N11" s="291" t="n"/>
    </row>
    <row r="12">
      <c r="A12" s="347" t="n"/>
      <c r="B12" s="355" t="inlineStr">
        <is>
          <t>Затраты труда рабочих-строителей</t>
        </is>
      </c>
      <c r="C12" s="418" t="n"/>
      <c r="D12" s="418" t="n"/>
      <c r="E12" s="418" t="n"/>
      <c r="F12" s="418" t="n"/>
      <c r="G12" s="418" t="n"/>
      <c r="H12" s="419" t="n"/>
      <c r="I12" s="268" t="n"/>
      <c r="J12" s="268" t="n"/>
    </row>
    <row r="13" ht="25.5" customHeight="1" s="294">
      <c r="A13" s="347" t="n">
        <v>1</v>
      </c>
      <c r="B13" s="258" t="inlineStr">
        <is>
          <t>1-3-3</t>
        </is>
      </c>
      <c r="C13" s="356" t="inlineStr">
        <is>
          <t>Затраты труда рабочих-строителей среднего разряда (3,3)</t>
        </is>
      </c>
      <c r="D13" s="347" t="inlineStr">
        <is>
          <t>чел.-ч.</t>
        </is>
      </c>
      <c r="E13" s="423">
        <f>G13/F13</f>
        <v/>
      </c>
      <c r="F13" s="264" t="n">
        <v>8.859999999999999</v>
      </c>
      <c r="G13" s="264">
        <f>SUM(Прил.3!H14:H17)</f>
        <v/>
      </c>
      <c r="H13" s="262">
        <f>G13/$G$15</f>
        <v/>
      </c>
      <c r="I13" s="264">
        <f>ФОТр.тек.!E13</f>
        <v/>
      </c>
      <c r="J13" s="264">
        <f>ROUND(I13*E13,2)</f>
        <v/>
      </c>
    </row>
    <row r="14">
      <c r="A14" s="347" t="n">
        <v>2</v>
      </c>
      <c r="B14" s="258" t="inlineStr">
        <is>
          <t>10-30-1</t>
        </is>
      </c>
      <c r="C14" s="356" t="inlineStr">
        <is>
          <t>Инженер I категории</t>
        </is>
      </c>
      <c r="D14" s="347" t="inlineStr">
        <is>
          <t>чел.-ч.</t>
        </is>
      </c>
      <c r="E14" s="423" t="n">
        <v>124.93333333333</v>
      </c>
      <c r="F14" s="264" t="n">
        <v>15.49</v>
      </c>
      <c r="G14" s="264">
        <f>Прил.3!H13</f>
        <v/>
      </c>
      <c r="H14" s="262">
        <f>G14/$G$15</f>
        <v/>
      </c>
      <c r="I14" s="264">
        <f>ФОТр.тек.!E21</f>
        <v/>
      </c>
      <c r="J14" s="264">
        <f>ROUND(I14*E14,2)</f>
        <v/>
      </c>
    </row>
    <row r="15" ht="25.5" customFormat="1" customHeight="1" s="291">
      <c r="A15" s="347" t="n"/>
      <c r="B15" s="347" t="n"/>
      <c r="C15" s="355" t="inlineStr">
        <is>
          <t>Итого по разделу "Затраты труда рабочих-строителей"</t>
        </is>
      </c>
      <c r="D15" s="347" t="inlineStr">
        <is>
          <t>чел.-ч.</t>
        </is>
      </c>
      <c r="E15" s="423">
        <f>SUM(E13:E14)</f>
        <v/>
      </c>
      <c r="F15" s="264" t="n"/>
      <c r="G15" s="264">
        <f>SUM(G13:G14)</f>
        <v/>
      </c>
      <c r="H15" s="359" t="n">
        <v>1</v>
      </c>
      <c r="I15" s="268" t="n"/>
      <c r="J15" s="264">
        <f>SUM(J13:J14)</f>
        <v/>
      </c>
    </row>
    <row r="16" ht="14.25" customFormat="1" customHeight="1" s="291">
      <c r="A16" s="347" t="n"/>
      <c r="B16" s="356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68" t="n"/>
      <c r="J16" s="268" t="n"/>
    </row>
    <row r="17" ht="14.25" customFormat="1" customHeight="1" s="291">
      <c r="A17" s="347" t="n">
        <v>3</v>
      </c>
      <c r="B17" s="347" t="n">
        <v>2</v>
      </c>
      <c r="C17" s="356" t="inlineStr">
        <is>
          <t>Затраты труда машинистов</t>
        </is>
      </c>
      <c r="D17" s="347" t="inlineStr">
        <is>
          <t>чел.-ч.</t>
        </is>
      </c>
      <c r="E17" s="423">
        <f>Прил.3!F19</f>
        <v/>
      </c>
      <c r="F17" s="264">
        <f>G17/E17</f>
        <v/>
      </c>
      <c r="G17" s="264">
        <f>Прил.3!H18</f>
        <v/>
      </c>
      <c r="H17" s="359" t="n">
        <v>1</v>
      </c>
      <c r="I17" s="264">
        <f>ROUND(F17*Прил.10!D11,2)</f>
        <v/>
      </c>
      <c r="J17" s="264">
        <f>ROUND(I17*E17,2)</f>
        <v/>
      </c>
    </row>
    <row r="18" ht="14.25" customFormat="1" customHeight="1" s="291">
      <c r="A18" s="347" t="n"/>
      <c r="B18" s="355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68" t="n"/>
      <c r="J18" s="268" t="n"/>
    </row>
    <row r="19" ht="14.25" customFormat="1" customHeight="1" s="291">
      <c r="A19" s="347" t="n"/>
      <c r="B19" s="356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68" t="n"/>
      <c r="J19" s="268" t="n"/>
    </row>
    <row r="20" ht="14.25" customFormat="1" customHeight="1" s="291">
      <c r="A20" s="347" t="n">
        <v>4</v>
      </c>
      <c r="B20" s="258" t="inlineStr">
        <is>
          <t>91.06.05-011</t>
        </is>
      </c>
      <c r="C20" s="356" t="inlineStr">
        <is>
          <t>Погрузчики, грузоподъемность 5 т</t>
        </is>
      </c>
      <c r="D20" s="347" t="inlineStr">
        <is>
          <t>маш.час</t>
        </is>
      </c>
      <c r="E20" s="423" t="n">
        <v>7.8066</v>
      </c>
      <c r="F20" s="358" t="n">
        <v>89.98999999999999</v>
      </c>
      <c r="G20" s="264">
        <f>ROUND(E20*F20,2)</f>
        <v/>
      </c>
      <c r="H20" s="262">
        <f>G20/$G$24</f>
        <v/>
      </c>
      <c r="I20" s="264">
        <f>ROUND(F20*Прил.10!$D$12,2)</f>
        <v/>
      </c>
      <c r="J20" s="264">
        <f>ROUND(I20*E20,2)</f>
        <v/>
      </c>
    </row>
    <row r="21" ht="14.25" customFormat="1" customHeight="1" s="291">
      <c r="A21" s="347" t="n"/>
      <c r="B21" s="347" t="n"/>
      <c r="C21" s="356" t="inlineStr">
        <is>
          <t>Итого основные машины и механизмы</t>
        </is>
      </c>
      <c r="D21" s="347" t="n"/>
      <c r="E21" s="423" t="n"/>
      <c r="F21" s="264" t="n"/>
      <c r="G21" s="264">
        <f>SUM(G20:G20)</f>
        <v/>
      </c>
      <c r="H21" s="359">
        <f>G21/G24</f>
        <v/>
      </c>
      <c r="I21" s="270" t="n"/>
      <c r="J21" s="264">
        <f>SUM(J20:J20)</f>
        <v/>
      </c>
      <c r="K21" s="227" t="n"/>
    </row>
    <row r="22" hidden="1" outlineLevel="1" ht="25.5" customFormat="1" customHeight="1" s="291">
      <c r="A22" s="347" t="n">
        <v>5</v>
      </c>
      <c r="B22" s="258" t="inlineStr">
        <is>
          <t>91.17.04-233</t>
        </is>
      </c>
      <c r="C22" s="356" t="inlineStr">
        <is>
          <t>Установки для сварки ручной дуговой (постоянного тока)</t>
        </is>
      </c>
      <c r="D22" s="347" t="inlineStr">
        <is>
          <t>маш.час</t>
        </is>
      </c>
      <c r="E22" s="423" t="n">
        <v>2.769</v>
      </c>
      <c r="F22" s="358" t="n">
        <v>8.1</v>
      </c>
      <c r="G22" s="264">
        <f>ROUND(E22*F22,2)</f>
        <v/>
      </c>
      <c r="H22" s="262">
        <f>G22/$G$24</f>
        <v/>
      </c>
      <c r="I22" s="264">
        <f>ROUND(F22*Прил.10!$D$12,2)</f>
        <v/>
      </c>
      <c r="J22" s="264">
        <f>ROUND(I22*E22,2)</f>
        <v/>
      </c>
    </row>
    <row r="23" collapsed="1" ht="14.25" customFormat="1" customHeight="1" s="291">
      <c r="A23" s="347" t="n"/>
      <c r="B23" s="347" t="n"/>
      <c r="C23" s="356" t="inlineStr">
        <is>
          <t>Итого прочие машины и механизмы</t>
        </is>
      </c>
      <c r="D23" s="347" t="n"/>
      <c r="E23" s="357" t="n"/>
      <c r="F23" s="264" t="n"/>
      <c r="G23" s="270">
        <f>SUM(G22:G22)</f>
        <v/>
      </c>
      <c r="H23" s="262">
        <f>G23/G24</f>
        <v/>
      </c>
      <c r="I23" s="264" t="n"/>
      <c r="J23" s="270">
        <f>SUM(J22:J22)</f>
        <v/>
      </c>
    </row>
    <row r="24" ht="25.5" customFormat="1" customHeight="1" s="291">
      <c r="A24" s="347" t="n"/>
      <c r="B24" s="347" t="n"/>
      <c r="C24" s="355" t="inlineStr">
        <is>
          <t>Итого по разделу «Машины и механизмы»</t>
        </is>
      </c>
      <c r="D24" s="347" t="n"/>
      <c r="E24" s="357" t="n"/>
      <c r="F24" s="264" t="n"/>
      <c r="G24" s="264">
        <f>G23+G21</f>
        <v/>
      </c>
      <c r="H24" s="265">
        <f>H23+H21</f>
        <v/>
      </c>
      <c r="I24" s="266" t="n"/>
      <c r="J24" s="267">
        <f>J23+J21</f>
        <v/>
      </c>
    </row>
    <row r="25" ht="14.25" customFormat="1" customHeight="1" s="291">
      <c r="A25" s="347" t="n"/>
      <c r="B25" s="355" t="inlineStr">
        <is>
          <t>Оборудование</t>
        </is>
      </c>
      <c r="C25" s="418" t="n"/>
      <c r="D25" s="418" t="n"/>
      <c r="E25" s="418" t="n"/>
      <c r="F25" s="418" t="n"/>
      <c r="G25" s="418" t="n"/>
      <c r="H25" s="419" t="n"/>
      <c r="I25" s="268" t="n"/>
      <c r="J25" s="268" t="n"/>
    </row>
    <row r="26">
      <c r="A26" s="347" t="n"/>
      <c r="B26" s="356" t="inlineStr">
        <is>
          <t>Основное оборудование</t>
        </is>
      </c>
      <c r="C26" s="418" t="n"/>
      <c r="D26" s="418" t="n"/>
      <c r="E26" s="418" t="n"/>
      <c r="F26" s="418" t="n"/>
      <c r="G26" s="418" t="n"/>
      <c r="H26" s="419" t="n"/>
      <c r="I26" s="268" t="n"/>
      <c r="J26" s="268" t="n"/>
      <c r="K26" s="291" t="n"/>
      <c r="L26" s="291" t="n"/>
    </row>
    <row r="27" ht="25.5" customFormat="1" customHeight="1" s="291">
      <c r="A27" s="347" t="n">
        <v>6</v>
      </c>
      <c r="B27" s="347" t="inlineStr">
        <is>
          <t>Прайс из СД ОП</t>
        </is>
      </c>
      <c r="C27" s="356" t="inlineStr">
        <is>
          <t>Микрофонная панель RM-200M S, ООО «Юнител Инжиниринг»</t>
        </is>
      </c>
      <c r="D27" s="347" t="inlineStr">
        <is>
          <t>шт.</t>
        </is>
      </c>
      <c r="E27" s="424" t="n">
        <v>2</v>
      </c>
      <c r="F27" s="358" t="n">
        <v>15956.83</v>
      </c>
      <c r="G27" s="264">
        <f>ROUND(E27*F27,2)</f>
        <v/>
      </c>
      <c r="H27" s="262">
        <f>G27/$G$70</f>
        <v/>
      </c>
      <c r="I27" s="264">
        <f>ROUND(F27*Прил.10!$D$14,2)</f>
        <v/>
      </c>
      <c r="J27" s="264">
        <f>ROUND(I27*E27,2)</f>
        <v/>
      </c>
    </row>
    <row r="28" ht="25.5" customFormat="1" customHeight="1" s="291">
      <c r="A28" s="347" t="n">
        <v>7</v>
      </c>
      <c r="B28" s="347" t="inlineStr">
        <is>
          <t>61.2.04.06-0012</t>
        </is>
      </c>
      <c r="C28" s="356" t="inlineStr">
        <is>
          <t>Прибор речевого оповещения "Рупор", два канала по 10 Вт</t>
        </is>
      </c>
      <c r="D28" s="347" t="inlineStr">
        <is>
          <t>шт.</t>
        </is>
      </c>
      <c r="E28" s="424" t="n">
        <v>13</v>
      </c>
      <c r="F28" s="358" t="n">
        <v>1444.49</v>
      </c>
      <c r="G28" s="264">
        <f>ROUND(E28*F28,2)</f>
        <v/>
      </c>
      <c r="H28" s="262">
        <f>G28/$G$70</f>
        <v/>
      </c>
      <c r="I28" s="264">
        <f>ROUND(F28*Прил.10!$D$14,2)</f>
        <v/>
      </c>
      <c r="J28" s="264">
        <f>ROUND(I28*E28,2)</f>
        <v/>
      </c>
    </row>
    <row r="29" ht="25.5" customFormat="1" customHeight="1" s="291">
      <c r="A29" s="347" t="n">
        <v>8</v>
      </c>
      <c r="B29" s="347" t="inlineStr">
        <is>
          <t>61.3.02.04-0005</t>
        </is>
      </c>
      <c r="C29" s="356" t="inlineStr">
        <is>
          <t>Громкоговоритель: CS-820 двухполосный уличный алюминиевый</t>
        </is>
      </c>
      <c r="D29" s="347" t="inlineStr">
        <is>
          <t>шт.</t>
        </is>
      </c>
      <c r="E29" s="424" t="n">
        <v>13</v>
      </c>
      <c r="F29" s="358" t="n">
        <v>1121.5</v>
      </c>
      <c r="G29" s="264">
        <f>ROUND(E29*F29,2)</f>
        <v/>
      </c>
      <c r="H29" s="262">
        <f>G29/$G$70</f>
        <v/>
      </c>
      <c r="I29" s="264">
        <f>ROUND(F29*Прил.10!$D$14,2)</f>
        <v/>
      </c>
      <c r="J29" s="264">
        <f>ROUND(I29*E29,2)</f>
        <v/>
      </c>
    </row>
    <row r="30">
      <c r="A30" s="347" t="n"/>
      <c r="B30" s="347" t="n"/>
      <c r="C30" s="356" t="inlineStr">
        <is>
          <t>Итого основное оборудование</t>
        </is>
      </c>
      <c r="D30" s="347" t="n"/>
      <c r="E30" s="423" t="n"/>
      <c r="F30" s="358" t="n"/>
      <c r="G30" s="264">
        <f>SUM(G27:G29)</f>
        <v/>
      </c>
      <c r="H30" s="262">
        <f>G30/$G$34</f>
        <v/>
      </c>
      <c r="I30" s="270" t="n"/>
      <c r="J30" s="264">
        <f>SUM(J27:J29)</f>
        <v/>
      </c>
      <c r="K30" s="291" t="n"/>
      <c r="L30" s="291" t="n"/>
    </row>
    <row r="31" hidden="1" outlineLevel="1" ht="25.5" customFormat="1" customHeight="1" s="291">
      <c r="A31" s="347" t="n">
        <v>9</v>
      </c>
      <c r="B31" s="347" t="inlineStr">
        <is>
          <t>61.3.02.04-0005</t>
        </is>
      </c>
      <c r="C31" s="356" t="inlineStr">
        <is>
          <t>Громкоговоритель: CS-820 двухполосный уличный алюминиевый</t>
        </is>
      </c>
      <c r="D31" s="347" t="inlineStr">
        <is>
          <t>шт.</t>
        </is>
      </c>
      <c r="E31" s="424" t="n">
        <v>6</v>
      </c>
      <c r="F31" s="358" t="n">
        <v>1121.5</v>
      </c>
      <c r="G31" s="264">
        <f>ROUND(E31*F31,2)</f>
        <v/>
      </c>
      <c r="H31" s="262">
        <f>G31/$G$70</f>
        <v/>
      </c>
      <c r="I31" s="264">
        <f>ROUND(F31*Прил.10!$D$14,2)</f>
        <v/>
      </c>
      <c r="J31" s="264">
        <f>ROUND(I31*E31,2)</f>
        <v/>
      </c>
    </row>
    <row r="32" hidden="1" outlineLevel="1" ht="14.25" customFormat="1" customHeight="1" s="291">
      <c r="A32" s="347" t="n">
        <v>10</v>
      </c>
      <c r="B32" s="347" t="inlineStr">
        <is>
          <t>61.1.03.01-0003</t>
        </is>
      </c>
      <c r="C32" s="356" t="inlineStr">
        <is>
          <t>Адаптер сотовой связи АССВ-030</t>
        </is>
      </c>
      <c r="D32" s="347" t="inlineStr">
        <is>
          <t>шт.</t>
        </is>
      </c>
      <c r="E32" s="424" t="n">
        <v>2</v>
      </c>
      <c r="F32" s="358" t="n">
        <v>1386.87</v>
      </c>
      <c r="G32" s="264">
        <f>ROUND(E32*F32,2)</f>
        <v/>
      </c>
      <c r="H32" s="262">
        <f>G32/$G$70</f>
        <v/>
      </c>
      <c r="I32" s="264">
        <f>ROUND(F32*Прил.10!$D$14,2)</f>
        <v/>
      </c>
      <c r="J32" s="264">
        <f>ROUND(I32*E32,2)</f>
        <v/>
      </c>
    </row>
    <row r="33" collapsed="1" s="294">
      <c r="A33" s="347" t="n"/>
      <c r="B33" s="347" t="n"/>
      <c r="C33" s="356" t="inlineStr">
        <is>
          <t>Итого прочее оборудование</t>
        </is>
      </c>
      <c r="D33" s="347" t="n"/>
      <c r="E33" s="423" t="n"/>
      <c r="F33" s="358" t="n"/>
      <c r="G33" s="264">
        <f>SUM(G31:G32)</f>
        <v/>
      </c>
      <c r="H33" s="262">
        <f>G33/$G$34</f>
        <v/>
      </c>
      <c r="I33" s="270" t="n"/>
      <c r="J33" s="264">
        <f>SUM(J31:J32)</f>
        <v/>
      </c>
      <c r="K33" s="291" t="n"/>
      <c r="L33" s="291" t="n"/>
    </row>
    <row r="34">
      <c r="A34" s="347" t="n"/>
      <c r="B34" s="347" t="n"/>
      <c r="C34" s="355" t="inlineStr">
        <is>
          <t>Итого по разделу «Оборудование»</t>
        </is>
      </c>
      <c r="D34" s="347" t="n"/>
      <c r="E34" s="357" t="n"/>
      <c r="F34" s="358" t="n"/>
      <c r="G34" s="264">
        <f>G30+G33</f>
        <v/>
      </c>
      <c r="H34" s="359">
        <f>H33+H30</f>
        <v/>
      </c>
      <c r="I34" s="270" t="n"/>
      <c r="J34" s="264">
        <f>J33+J30</f>
        <v/>
      </c>
      <c r="K34" s="291" t="n"/>
      <c r="L34" s="291" t="n"/>
    </row>
    <row r="35" ht="25.5" customHeight="1" s="294">
      <c r="A35" s="347" t="n"/>
      <c r="B35" s="347" t="n"/>
      <c r="C35" s="356" t="inlineStr">
        <is>
          <t>в том числе технологическое оборудование</t>
        </is>
      </c>
      <c r="D35" s="347" t="n"/>
      <c r="E35" s="424" t="n"/>
      <c r="F35" s="358" t="n"/>
      <c r="G35" s="264">
        <f>'Прил.6 Расчет ОБ'!G17</f>
        <v/>
      </c>
      <c r="H35" s="359" t="n"/>
      <c r="I35" s="270" t="n"/>
      <c r="J35" s="264">
        <f>J34</f>
        <v/>
      </c>
      <c r="K35" s="291" t="n"/>
      <c r="L35" s="291" t="n"/>
    </row>
    <row r="36" ht="14.25" customFormat="1" customHeight="1" s="291">
      <c r="A36" s="347" t="n"/>
      <c r="B36" s="355" t="inlineStr">
        <is>
          <t>Материалы</t>
        </is>
      </c>
      <c r="C36" s="418" t="n"/>
      <c r="D36" s="418" t="n"/>
      <c r="E36" s="418" t="n"/>
      <c r="F36" s="418" t="n"/>
      <c r="G36" s="418" t="n"/>
      <c r="H36" s="419" t="n"/>
      <c r="I36" s="268" t="n"/>
      <c r="J36" s="268" t="n"/>
    </row>
    <row r="37" ht="14.25" customFormat="1" customHeight="1" s="291">
      <c r="A37" s="348" t="n"/>
      <c r="B37" s="351" t="inlineStr">
        <is>
          <t>Основные материалы</t>
        </is>
      </c>
      <c r="C37" s="425" t="n"/>
      <c r="D37" s="425" t="n"/>
      <c r="E37" s="425" t="n"/>
      <c r="F37" s="425" t="n"/>
      <c r="G37" s="425" t="n"/>
      <c r="H37" s="426" t="n"/>
      <c r="I37" s="275" t="n"/>
      <c r="J37" s="275" t="n"/>
    </row>
    <row r="38" ht="25.5" customFormat="1" customHeight="1" s="291">
      <c r="A38" s="347" t="n">
        <v>11</v>
      </c>
      <c r="B38" s="347" t="inlineStr">
        <is>
          <t>21.1.08.01-0313</t>
        </is>
      </c>
      <c r="C38" s="356" t="inlineStr">
        <is>
          <t>Кабель пожарной сигнализации КПСЭнг(A)-FRLS 1х2х1,5</t>
        </is>
      </c>
      <c r="D38" s="347" t="inlineStr">
        <is>
          <t>1000 м</t>
        </is>
      </c>
      <c r="E38" s="424" t="n">
        <v>1.32702</v>
      </c>
      <c r="F38" s="358" t="n">
        <v>5545.45</v>
      </c>
      <c r="G38" s="264">
        <f>ROUND(E38*F38,2)</f>
        <v/>
      </c>
      <c r="H38" s="262">
        <f>G38/$G$70</f>
        <v/>
      </c>
      <c r="I38" s="264">
        <f>ROUND(F38*Прил.10!$D$13,2)</f>
        <v/>
      </c>
      <c r="J38" s="264">
        <f>ROUND(I38*E38,2)</f>
        <v/>
      </c>
    </row>
    <row r="39" ht="14.25" customFormat="1" customHeight="1" s="291">
      <c r="A39" s="347" t="n">
        <v>12</v>
      </c>
      <c r="B39" s="347" t="inlineStr">
        <is>
          <t>22.2.02.15-0003</t>
        </is>
      </c>
      <c r="C39" s="356" t="inlineStr">
        <is>
          <t>Скрепы фигурные СкФ-30</t>
        </is>
      </c>
      <c r="D39" s="347" t="inlineStr">
        <is>
          <t>100 шт</t>
        </is>
      </c>
      <c r="E39" s="424" t="n">
        <v>29.484</v>
      </c>
      <c r="F39" s="358" t="n">
        <v>155.74</v>
      </c>
      <c r="G39" s="264">
        <f>ROUND(E39*F39,2)</f>
        <v/>
      </c>
      <c r="H39" s="262">
        <f>G39/$G$70</f>
        <v/>
      </c>
      <c r="I39" s="264">
        <f>ROUND(F39*Прил.10!$D$13,2)</f>
        <v/>
      </c>
      <c r="J39" s="264">
        <f>ROUND(I39*E39,2)</f>
        <v/>
      </c>
    </row>
    <row r="40" ht="25.5" customFormat="1" customHeight="1" s="291">
      <c r="A40" s="347" t="n">
        <v>13</v>
      </c>
      <c r="B40" s="347" t="inlineStr">
        <is>
          <t>21.1.08.01-0083</t>
        </is>
      </c>
      <c r="C40" s="356" t="inlineStr">
        <is>
          <t>Кабель пожарной сигнализации КПСВВ 1х2х1</t>
        </is>
      </c>
      <c r="D40" s="347" t="inlineStr">
        <is>
          <t>1000 м</t>
        </is>
      </c>
      <c r="E40" s="424" t="n">
        <v>0.34884</v>
      </c>
      <c r="F40" s="358" t="n">
        <v>4077.61</v>
      </c>
      <c r="G40" s="264">
        <f>ROUND(E40*F40,2)</f>
        <v/>
      </c>
      <c r="H40" s="262">
        <f>G40/$G$70</f>
        <v/>
      </c>
      <c r="I40" s="264">
        <f>ROUND(F40*Прил.10!$D$13,2)</f>
        <v/>
      </c>
      <c r="J40" s="264">
        <f>ROUND(I40*E40,2)</f>
        <v/>
      </c>
    </row>
    <row r="41" ht="14.25" customFormat="1" customHeight="1" s="291">
      <c r="A41" s="347" t="n">
        <v>14</v>
      </c>
      <c r="B41" s="347" t="inlineStr">
        <is>
          <t>21.2.03.09-0105</t>
        </is>
      </c>
      <c r="C41" s="356" t="inlineStr">
        <is>
          <t>Провод силовой ПРТО 1х1,5-660</t>
        </is>
      </c>
      <c r="D41" s="347" t="inlineStr">
        <is>
          <t>1000 м</t>
        </is>
      </c>
      <c r="E41" s="424" t="n">
        <v>0.199</v>
      </c>
      <c r="F41" s="358" t="n">
        <v>1819.3</v>
      </c>
      <c r="G41" s="264">
        <f>ROUND(E41*F41,2)</f>
        <v/>
      </c>
      <c r="H41" s="262">
        <f>G41/$G$70</f>
        <v/>
      </c>
      <c r="I41" s="264">
        <f>ROUND(F41*Прил.10!$D$13,2)</f>
        <v/>
      </c>
      <c r="J41" s="264">
        <f>ROUND(I41*E41,2)</f>
        <v/>
      </c>
    </row>
    <row r="42" ht="14.25" customFormat="1" customHeight="1" s="291">
      <c r="A42" s="221" t="n"/>
      <c r="B42" s="221" t="n"/>
      <c r="C42" s="222" t="inlineStr">
        <is>
          <t>Итого основные материалы</t>
        </is>
      </c>
      <c r="D42" s="349" t="n"/>
      <c r="E42" s="427" t="n"/>
      <c r="F42" s="267" t="n"/>
      <c r="G42" s="267">
        <f>SUM(G38:G41)</f>
        <v/>
      </c>
      <c r="H42" s="262">
        <f>G42/$G$70</f>
        <v/>
      </c>
      <c r="I42" s="264" t="n"/>
      <c r="J42" s="267">
        <f>SUM(J38:J41)</f>
        <v/>
      </c>
      <c r="K42" s="227" t="n"/>
      <c r="L42" s="227" t="n"/>
    </row>
    <row r="43" hidden="1" outlineLevel="1" ht="63.75" customFormat="1" customHeight="1" s="291">
      <c r="A43" s="347" t="n">
        <v>15</v>
      </c>
      <c r="B43" s="347" t="inlineStr">
        <is>
          <t>21.2.03.02-0001</t>
        </is>
      </c>
      <c r="C43" s="356" t="inlineStr">
        <is>
      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      </is>
      </c>
      <c r="D43" s="347" t="inlineStr">
        <is>
          <t>1000 м</t>
        </is>
      </c>
      <c r="E43" s="424" t="n">
        <v>0.12</v>
      </c>
      <c r="F43" s="358" t="n">
        <v>3005.8</v>
      </c>
      <c r="G43" s="264">
        <f>ROUND(E43*F43,2)</f>
        <v/>
      </c>
      <c r="H43" s="262">
        <f>G43/$G$70</f>
        <v/>
      </c>
      <c r="I43" s="264">
        <f>ROUND(F43*Прил.10!$D$13,2)</f>
        <v/>
      </c>
      <c r="J43" s="264">
        <f>ROUND(I43*E43,2)</f>
        <v/>
      </c>
    </row>
    <row r="44" hidden="1" outlineLevel="1" ht="14.25" customFormat="1" customHeight="1" s="291">
      <c r="A44" s="347" t="n">
        <v>16</v>
      </c>
      <c r="B44" s="347" t="inlineStr">
        <is>
          <t>20.5.02.01-0001</t>
        </is>
      </c>
      <c r="C44" s="356" t="inlineStr">
        <is>
          <t>Коробка абонентская АК-1</t>
        </is>
      </c>
      <c r="D44" s="347" t="inlineStr">
        <is>
          <t>шт</t>
        </is>
      </c>
      <c r="E44" s="424" t="n">
        <v>9</v>
      </c>
      <c r="F44" s="358" t="n">
        <v>38.42</v>
      </c>
      <c r="G44" s="264">
        <f>ROUND(E44*F44,2)</f>
        <v/>
      </c>
      <c r="H44" s="262">
        <f>G44/$G$70</f>
        <v/>
      </c>
      <c r="I44" s="264">
        <f>ROUND(F44*Прил.10!$D$13,2)</f>
        <v/>
      </c>
      <c r="J44" s="264">
        <f>ROUND(I44*E44,2)</f>
        <v/>
      </c>
    </row>
    <row r="45" hidden="1" outlineLevel="1" ht="25.5" customFormat="1" customHeight="1" s="291">
      <c r="A45" s="347" t="n">
        <v>17</v>
      </c>
      <c r="B45" s="347" t="inlineStr">
        <is>
          <t>07.2.07.04-0007</t>
        </is>
      </c>
      <c r="C45" s="356" t="inlineStr">
        <is>
          <t>Конструкции стальные индивидуальные решетчатые сварные, масса до 0,1 т</t>
        </is>
      </c>
      <c r="D45" s="347" t="inlineStr">
        <is>
          <t>т</t>
        </is>
      </c>
      <c r="E45" s="424" t="n">
        <v>0.026</v>
      </c>
      <c r="F45" s="358" t="n">
        <v>11500</v>
      </c>
      <c r="G45" s="264">
        <f>ROUND(E45*F45,2)</f>
        <v/>
      </c>
      <c r="H45" s="262">
        <f>G45/$G$70</f>
        <v/>
      </c>
      <c r="I45" s="264">
        <f>ROUND(F45*Прил.10!$D$13,2)</f>
        <v/>
      </c>
      <c r="J45" s="264">
        <f>ROUND(I45*E45,2)</f>
        <v/>
      </c>
    </row>
    <row r="46" hidden="1" outlineLevel="1" ht="25.5" customFormat="1" customHeight="1" s="291">
      <c r="A46" s="347" t="n">
        <v>18</v>
      </c>
      <c r="B46" s="347" t="inlineStr">
        <is>
          <t>999-9950</t>
        </is>
      </c>
      <c r="C46" s="356" t="inlineStr">
        <is>
          <t>Вспомогательные ненормируемые ресурсы (2% от Оплаты труда рабочих)</t>
        </is>
      </c>
      <c r="D46" s="347" t="inlineStr">
        <is>
          <t>руб</t>
        </is>
      </c>
      <c r="E46" s="424" t="n">
        <v>178.68</v>
      </c>
      <c r="F46" s="358" t="n">
        <v>1</v>
      </c>
      <c r="G46" s="264">
        <f>ROUND(E46*F46,2)</f>
        <v/>
      </c>
      <c r="H46" s="262">
        <f>G46/$G$70</f>
        <v/>
      </c>
      <c r="I46" s="264">
        <f>ROUND(F46*Прил.10!$D$13,2)</f>
        <v/>
      </c>
      <c r="J46" s="264">
        <f>ROUND(I46*E46,2)</f>
        <v/>
      </c>
    </row>
    <row r="47" hidden="1" outlineLevel="1" ht="14.25" customFormat="1" customHeight="1" s="291">
      <c r="A47" s="347" t="n">
        <v>19</v>
      </c>
      <c r="B47" s="347" t="inlineStr">
        <is>
          <t>25.2.01.01-0001</t>
        </is>
      </c>
      <c r="C47" s="356" t="inlineStr">
        <is>
          <t>Бирки-оконцеватели</t>
        </is>
      </c>
      <c r="D47" s="347" t="inlineStr">
        <is>
          <t>100 шт</t>
        </is>
      </c>
      <c r="E47" s="424" t="n">
        <v>2.6</v>
      </c>
      <c r="F47" s="358" t="n">
        <v>63</v>
      </c>
      <c r="G47" s="264">
        <f>ROUND(E47*F47,2)</f>
        <v/>
      </c>
      <c r="H47" s="262">
        <f>G47/$G$70</f>
        <v/>
      </c>
      <c r="I47" s="264">
        <f>ROUND(F47*Прил.10!$D$13,2)</f>
        <v/>
      </c>
      <c r="J47" s="264">
        <f>ROUND(I47*E47,2)</f>
        <v/>
      </c>
    </row>
    <row r="48" hidden="1" outlineLevel="1" ht="14.25" customFormat="1" customHeight="1" s="291">
      <c r="A48" s="347" t="n">
        <v>20</v>
      </c>
      <c r="B48" s="347" t="inlineStr">
        <is>
          <t>01.7.15.14-0168</t>
        </is>
      </c>
      <c r="C48" s="356" t="inlineStr">
        <is>
          <t>Шурупы с полукруглой головкой 5х70 мм</t>
        </is>
      </c>
      <c r="D48" s="347" t="inlineStr">
        <is>
          <t>т</t>
        </is>
      </c>
      <c r="E48" s="424" t="n">
        <v>0.0131355</v>
      </c>
      <c r="F48" s="358" t="n">
        <v>12430</v>
      </c>
      <c r="G48" s="264">
        <f>ROUND(E48*F48,2)</f>
        <v/>
      </c>
      <c r="H48" s="262">
        <f>G48/$G$70</f>
        <v/>
      </c>
      <c r="I48" s="264">
        <f>ROUND(F48*Прил.10!$D$13,2)</f>
        <v/>
      </c>
      <c r="J48" s="264">
        <f>ROUND(I48*E48,2)</f>
        <v/>
      </c>
    </row>
    <row r="49" hidden="1" outlineLevel="1" ht="14.25" customFormat="1" customHeight="1" s="291">
      <c r="A49" s="347" t="n">
        <v>21</v>
      </c>
      <c r="B49" s="347" t="inlineStr">
        <is>
          <t>20.5.02.01-0001</t>
        </is>
      </c>
      <c r="C49" s="356" t="inlineStr">
        <is>
          <t>Коробка абонентская АК-1</t>
        </is>
      </c>
      <c r="D49" s="347" t="inlineStr">
        <is>
          <t>шт</t>
        </is>
      </c>
      <c r="E49" s="424" t="n">
        <v>4</v>
      </c>
      <c r="F49" s="358" t="n">
        <v>38.42</v>
      </c>
      <c r="G49" s="264">
        <f>ROUND(E49*F49,2)</f>
        <v/>
      </c>
      <c r="H49" s="262">
        <f>G49/$G$70</f>
        <v/>
      </c>
      <c r="I49" s="264">
        <f>ROUND(F49*Прил.10!$D$13,2)</f>
        <v/>
      </c>
      <c r="J49" s="264">
        <f>ROUND(I49*E49,2)</f>
        <v/>
      </c>
    </row>
    <row r="50" hidden="1" outlineLevel="1" ht="14.25" customFormat="1" customHeight="1" s="291">
      <c r="A50" s="347" t="n">
        <v>22</v>
      </c>
      <c r="B50" s="347" t="inlineStr">
        <is>
          <t>01.7.20.04-0002</t>
        </is>
      </c>
      <c r="C50" s="356" t="inlineStr">
        <is>
          <t>Нитки капроновые</t>
        </is>
      </c>
      <c r="D50" s="347" t="inlineStr">
        <is>
          <t>кг</t>
        </is>
      </c>
      <c r="E50" s="424" t="n">
        <v>0.678</v>
      </c>
      <c r="F50" s="358" t="n">
        <v>112.57</v>
      </c>
      <c r="G50" s="264">
        <f>ROUND(E50*F50,2)</f>
        <v/>
      </c>
      <c r="H50" s="262">
        <f>G50/$G$70</f>
        <v/>
      </c>
      <c r="I50" s="264">
        <f>ROUND(F50*Прил.10!$D$13,2)</f>
        <v/>
      </c>
      <c r="J50" s="264">
        <f>ROUND(I50*E50,2)</f>
        <v/>
      </c>
    </row>
    <row r="51" hidden="1" outlineLevel="1" ht="14.25" customFormat="1" customHeight="1" s="291">
      <c r="A51" s="347" t="n">
        <v>23</v>
      </c>
      <c r="B51" s="347" t="inlineStr">
        <is>
          <t>22.2.02.23-0011</t>
        </is>
      </c>
      <c r="C51" s="356" t="inlineStr">
        <is>
          <t>Глухари</t>
        </is>
      </c>
      <c r="D51" s="347" t="inlineStr">
        <is>
          <t>100 шт</t>
        </is>
      </c>
      <c r="E51" s="424" t="n">
        <v>0.352</v>
      </c>
      <c r="F51" s="358" t="n">
        <v>164</v>
      </c>
      <c r="G51" s="264">
        <f>ROUND(E51*F51,2)</f>
        <v/>
      </c>
      <c r="H51" s="262">
        <f>G51/$G$70</f>
        <v/>
      </c>
      <c r="I51" s="264">
        <f>ROUND(F51*Прил.10!$D$13,2)</f>
        <v/>
      </c>
      <c r="J51" s="264">
        <f>ROUND(I51*E51,2)</f>
        <v/>
      </c>
    </row>
    <row r="52" hidden="1" outlineLevel="1" ht="14.25" customFormat="1" customHeight="1" s="291">
      <c r="A52" s="347" t="n">
        <v>24</v>
      </c>
      <c r="B52" s="347" t="inlineStr">
        <is>
          <t>20.1.02.23-0082</t>
        </is>
      </c>
      <c r="C52" s="356" t="inlineStr">
        <is>
          <t>Перемычки гибкие, тип ПГС-50</t>
        </is>
      </c>
      <c r="D52" s="347" t="inlineStr">
        <is>
          <t>10 шт</t>
        </is>
      </c>
      <c r="E52" s="424" t="n">
        <v>1.3</v>
      </c>
      <c r="F52" s="358" t="n">
        <v>39</v>
      </c>
      <c r="G52" s="264">
        <f>ROUND(E52*F52,2)</f>
        <v/>
      </c>
      <c r="H52" s="262">
        <f>G52/$G$70</f>
        <v/>
      </c>
      <c r="I52" s="264">
        <f>ROUND(F52*Прил.10!$D$13,2)</f>
        <v/>
      </c>
      <c r="J52" s="264">
        <f>ROUND(I52*E52,2)</f>
        <v/>
      </c>
    </row>
    <row r="53" hidden="1" outlineLevel="1" ht="38.25" customFormat="1" customHeight="1" s="291">
      <c r="A53" s="347" t="n">
        <v>25</v>
      </c>
      <c r="B53" s="347" t="inlineStr">
        <is>
          <t>01.7.06.05-0042</t>
        </is>
      </c>
      <c r="C53" s="356" t="inlineStr">
        <is>
          <t>Лента липкая изоляционная на поликасиновом компаунде, ширина 20-30 мм, толщина от 0,14 до 0,19 мм</t>
        </is>
      </c>
      <c r="D53" s="347" t="inlineStr">
        <is>
          <t>кг</t>
        </is>
      </c>
      <c r="E53" s="424" t="n">
        <v>0.492</v>
      </c>
      <c r="F53" s="358" t="n">
        <v>91.29000000000001</v>
      </c>
      <c r="G53" s="264">
        <f>ROUND(E53*F53,2)</f>
        <v/>
      </c>
      <c r="H53" s="262">
        <f>G53/$G$70</f>
        <v/>
      </c>
      <c r="I53" s="264">
        <f>ROUND(F53*Прил.10!$D$13,2)</f>
        <v/>
      </c>
      <c r="J53" s="264">
        <f>ROUND(I53*E53,2)</f>
        <v/>
      </c>
    </row>
    <row r="54" hidden="1" outlineLevel="1" ht="14.25" customFormat="1" customHeight="1" s="291">
      <c r="A54" s="347" t="n">
        <v>26</v>
      </c>
      <c r="B54" s="347" t="inlineStr">
        <is>
          <t>08.3.03.04-0012</t>
        </is>
      </c>
      <c r="C54" s="356" t="inlineStr">
        <is>
          <t>Проволока светлая, диаметр 1,1 мм</t>
        </is>
      </c>
      <c r="D54" s="347" t="inlineStr">
        <is>
          <t>т</t>
        </is>
      </c>
      <c r="E54" s="424" t="n">
        <v>0.003402</v>
      </c>
      <c r="F54" s="358" t="n">
        <v>10200</v>
      </c>
      <c r="G54" s="264">
        <f>ROUND(E54*F54,2)</f>
        <v/>
      </c>
      <c r="H54" s="262">
        <f>G54/$G$70</f>
        <v/>
      </c>
      <c r="I54" s="264">
        <f>ROUND(F54*Прил.10!$D$13,2)</f>
        <v/>
      </c>
      <c r="J54" s="264">
        <f>ROUND(I54*E54,2)</f>
        <v/>
      </c>
    </row>
    <row r="55" hidden="1" outlineLevel="1" ht="14.25" customFormat="1" customHeight="1" s="291">
      <c r="A55" s="347" t="n">
        <v>27</v>
      </c>
      <c r="B55" s="347" t="inlineStr">
        <is>
          <t>03.1.01.01-0002</t>
        </is>
      </c>
      <c r="C55" s="356" t="inlineStr">
        <is>
          <t>Гипс строительный Г-3</t>
        </is>
      </c>
      <c r="D55" s="347" t="inlineStr">
        <is>
          <t>т</t>
        </is>
      </c>
      <c r="E55" s="424" t="n">
        <v>0.031185</v>
      </c>
      <c r="F55" s="358" t="n">
        <v>729.98</v>
      </c>
      <c r="G55" s="264">
        <f>ROUND(E55*F55,2)</f>
        <v/>
      </c>
      <c r="H55" s="262">
        <f>G55/$G$70</f>
        <v/>
      </c>
      <c r="I55" s="264">
        <f>ROUND(F55*Прил.10!$D$13,2)</f>
        <v/>
      </c>
      <c r="J55" s="264">
        <f>ROUND(I55*E55,2)</f>
        <v/>
      </c>
    </row>
    <row r="56" hidden="1" outlineLevel="1" ht="38.25" customFormat="1" customHeight="1" s="291">
      <c r="A56" s="347" t="n">
        <v>28</v>
      </c>
      <c r="B56" s="347" t="inlineStr">
        <is>
          <t>01.7.06.05-0041</t>
        </is>
      </c>
      <c r="C56" s="356" t="inlineStr">
        <is>
          <t>Лента изоляционная прорезиненная односторонняя, ширина 20 мм, толщина 0,25-0,35 мм</t>
        </is>
      </c>
      <c r="D56" s="347" t="inlineStr">
        <is>
          <t>кг</t>
        </is>
      </c>
      <c r="E56" s="424" t="n">
        <v>0.52</v>
      </c>
      <c r="F56" s="358" t="n">
        <v>30.4</v>
      </c>
      <c r="G56" s="264">
        <f>ROUND(E56*F56,2)</f>
        <v/>
      </c>
      <c r="H56" s="262">
        <f>G56/$G$70</f>
        <v/>
      </c>
      <c r="I56" s="264">
        <f>ROUND(F56*Прил.10!$D$13,2)</f>
        <v/>
      </c>
      <c r="J56" s="264">
        <f>ROUND(I56*E56,2)</f>
        <v/>
      </c>
    </row>
    <row r="57" hidden="1" outlineLevel="1" ht="14.25" customFormat="1" customHeight="1" s="291">
      <c r="A57" s="347" t="n">
        <v>29</v>
      </c>
      <c r="B57" s="347" t="inlineStr">
        <is>
          <t>01.7.15.07-0014</t>
        </is>
      </c>
      <c r="C57" s="356" t="inlineStr">
        <is>
          <t>Дюбели распорные полипропиленовые</t>
        </is>
      </c>
      <c r="D57" s="347" t="inlineStr">
        <is>
          <t>100 шт</t>
        </is>
      </c>
      <c r="E57" s="424" t="n">
        <v>0.182</v>
      </c>
      <c r="F57" s="358" t="n">
        <v>86</v>
      </c>
      <c r="G57" s="264">
        <f>ROUND(E57*F57,2)</f>
        <v/>
      </c>
      <c r="H57" s="262">
        <f>G57/$G$70</f>
        <v/>
      </c>
      <c r="I57" s="264">
        <f>ROUND(F57*Прил.10!$D$13,2)</f>
        <v/>
      </c>
      <c r="J57" s="264">
        <f>ROUND(I57*E57,2)</f>
        <v/>
      </c>
    </row>
    <row r="58" hidden="1" outlineLevel="1" ht="14.25" customFormat="1" customHeight="1" s="291">
      <c r="A58" s="347" t="n">
        <v>30</v>
      </c>
      <c r="B58" s="347" t="inlineStr">
        <is>
          <t>01.3.01.02-0002</t>
        </is>
      </c>
      <c r="C58" s="356" t="inlineStr">
        <is>
          <t>Вазелин технический</t>
        </is>
      </c>
      <c r="D58" s="347" t="inlineStr">
        <is>
          <t>кг</t>
        </is>
      </c>
      <c r="E58" s="424" t="n">
        <v>0.26</v>
      </c>
      <c r="F58" s="358" t="n">
        <v>44.97</v>
      </c>
      <c r="G58" s="264">
        <f>ROUND(E58*F58,2)</f>
        <v/>
      </c>
      <c r="H58" s="262">
        <f>G58/$G$70</f>
        <v/>
      </c>
      <c r="I58" s="264">
        <f>ROUND(F58*Прил.10!$D$13,2)</f>
        <v/>
      </c>
      <c r="J58" s="264">
        <f>ROUND(I58*E58,2)</f>
        <v/>
      </c>
    </row>
    <row r="59" hidden="1" outlineLevel="1" ht="14.25" customFormat="1" customHeight="1" s="291">
      <c r="A59" s="347" t="n">
        <v>31</v>
      </c>
      <c r="B59" s="347" t="inlineStr">
        <is>
          <t>14.4.02.09-0001</t>
        </is>
      </c>
      <c r="C59" s="356" t="inlineStr">
        <is>
          <t>Краска</t>
        </is>
      </c>
      <c r="D59" s="347" t="inlineStr">
        <is>
          <t>кг</t>
        </is>
      </c>
      <c r="E59" s="424" t="n">
        <v>0.39</v>
      </c>
      <c r="F59" s="358" t="n">
        <v>28.6</v>
      </c>
      <c r="G59" s="264">
        <f>ROUND(E59*F59,2)</f>
        <v/>
      </c>
      <c r="H59" s="262">
        <f>G59/$G$70</f>
        <v/>
      </c>
      <c r="I59" s="264">
        <f>ROUND(F59*Прил.10!$D$13,2)</f>
        <v/>
      </c>
      <c r="J59" s="264">
        <f>ROUND(I59*E59,2)</f>
        <v/>
      </c>
    </row>
    <row r="60" hidden="1" outlineLevel="1" ht="14.25" customFormat="1" customHeight="1" s="291">
      <c r="A60" s="347" t="n">
        <v>32</v>
      </c>
      <c r="B60" s="347" t="inlineStr">
        <is>
          <t>01.7.02.07-0011</t>
        </is>
      </c>
      <c r="C60" s="356" t="inlineStr">
        <is>
          <t>Прессшпан листовой, марка А</t>
        </is>
      </c>
      <c r="D60" s="347" t="inlineStr">
        <is>
          <t>кг</t>
        </is>
      </c>
      <c r="E60" s="424" t="n">
        <v>0.2034</v>
      </c>
      <c r="F60" s="358" t="n">
        <v>47.57</v>
      </c>
      <c r="G60" s="264">
        <f>ROUND(E60*F60,2)</f>
        <v/>
      </c>
      <c r="H60" s="262">
        <f>G60/$G$70</f>
        <v/>
      </c>
      <c r="I60" s="264">
        <f>ROUND(F60*Прил.10!$D$13,2)</f>
        <v/>
      </c>
      <c r="J60" s="264">
        <f>ROUND(I60*E60,2)</f>
        <v/>
      </c>
    </row>
    <row r="61" hidden="1" outlineLevel="1" ht="25.5" customFormat="1" customHeight="1" s="291">
      <c r="A61" s="347" t="n">
        <v>33</v>
      </c>
      <c r="B61" s="347" t="inlineStr">
        <is>
          <t>01.7.11.07-0034</t>
        </is>
      </c>
      <c r="C61" s="356" t="inlineStr">
        <is>
          <t>Электроды сварочные Э42А, диаметр 4 мм</t>
        </is>
      </c>
      <c r="D61" s="347" t="inlineStr">
        <is>
          <t>кг</t>
        </is>
      </c>
      <c r="E61" s="424" t="n">
        <v>0.91</v>
      </c>
      <c r="F61" s="358" t="n">
        <v>10.57</v>
      </c>
      <c r="G61" s="264">
        <f>ROUND(E61*F61,2)</f>
        <v/>
      </c>
      <c r="H61" s="262">
        <f>G61/$G$70</f>
        <v/>
      </c>
      <c r="I61" s="264">
        <f>ROUND(F61*Прил.10!$D$13,2)</f>
        <v/>
      </c>
      <c r="J61" s="264">
        <f>ROUND(I61*E61,2)</f>
        <v/>
      </c>
    </row>
    <row r="62" hidden="1" outlineLevel="1" ht="14.25" customFormat="1" customHeight="1" s="291">
      <c r="A62" s="347" t="n">
        <v>34</v>
      </c>
      <c r="B62" s="347" t="inlineStr">
        <is>
          <t>14.4.03.17-0011</t>
        </is>
      </c>
      <c r="C62" s="356" t="inlineStr">
        <is>
          <t>Лак электроизоляционный 318</t>
        </is>
      </c>
      <c r="D62" s="347" t="inlineStr">
        <is>
          <t>кг</t>
        </is>
      </c>
      <c r="E62" s="424" t="n">
        <v>0.26</v>
      </c>
      <c r="F62" s="358" t="n">
        <v>35.63</v>
      </c>
      <c r="G62" s="264">
        <f>ROUND(E62*F62,2)</f>
        <v/>
      </c>
      <c r="H62" s="262">
        <f>G62/$G$70</f>
        <v/>
      </c>
      <c r="I62" s="264">
        <f>ROUND(F62*Прил.10!$D$13,2)</f>
        <v/>
      </c>
      <c r="J62" s="264">
        <f>ROUND(I62*E62,2)</f>
        <v/>
      </c>
    </row>
    <row r="63" hidden="1" outlineLevel="1" ht="25.5" customFormat="1" customHeight="1" s="291">
      <c r="A63" s="347" t="n">
        <v>35</v>
      </c>
      <c r="B63" s="347" t="inlineStr">
        <is>
          <t>01.7.07.03-0007</t>
        </is>
      </c>
      <c r="C63" s="356" t="inlineStr">
        <is>
          <t>Воск полиэтиленовый неокисленный ПВ-25, ПВ-100, ПВ-200, ПВ-300, ПВ-500</t>
        </is>
      </c>
      <c r="D63" s="347" t="inlineStr">
        <is>
          <t>т</t>
        </is>
      </c>
      <c r="E63" s="424" t="n">
        <v>0.000339</v>
      </c>
      <c r="F63" s="358" t="n">
        <v>22419</v>
      </c>
      <c r="G63" s="264">
        <f>ROUND(E63*F63,2)</f>
        <v/>
      </c>
      <c r="H63" s="262">
        <f>G63/$G$70</f>
        <v/>
      </c>
      <c r="I63" s="264">
        <f>ROUND(F63*Прил.10!$D$13,2)</f>
        <v/>
      </c>
      <c r="J63" s="264">
        <f>ROUND(I63*E63,2)</f>
        <v/>
      </c>
    </row>
    <row r="64" hidden="1" outlineLevel="1" ht="14.25" customFormat="1" customHeight="1" s="291">
      <c r="A64" s="347" t="n">
        <v>36</v>
      </c>
      <c r="B64" s="347" t="inlineStr">
        <is>
          <t>01.7.15.03-0042</t>
        </is>
      </c>
      <c r="C64" s="356" t="inlineStr">
        <is>
          <t>Болты с гайками и шайбами строительные</t>
        </is>
      </c>
      <c r="D64" s="347" t="inlineStr">
        <is>
          <t>кг</t>
        </is>
      </c>
      <c r="E64" s="424" t="n">
        <v>0.637</v>
      </c>
      <c r="F64" s="358" t="n">
        <v>9.039999999999999</v>
      </c>
      <c r="G64" s="264">
        <f>ROUND(E64*F64,2)</f>
        <v/>
      </c>
      <c r="H64" s="262">
        <f>G64/$G$70</f>
        <v/>
      </c>
      <c r="I64" s="264">
        <f>ROUND(F64*Прил.10!$D$13,2)</f>
        <v/>
      </c>
      <c r="J64" s="264">
        <f>ROUND(I64*E64,2)</f>
        <v/>
      </c>
    </row>
    <row r="65" hidden="1" outlineLevel="1" ht="14.25" customFormat="1" customHeight="1" s="291">
      <c r="A65" s="347" t="n">
        <v>37</v>
      </c>
      <c r="B65" s="347" t="inlineStr">
        <is>
          <t>01.7.20.04-0005</t>
        </is>
      </c>
      <c r="C65" s="356" t="inlineStr">
        <is>
          <t>Нитки швейные</t>
        </is>
      </c>
      <c r="D65" s="347" t="inlineStr">
        <is>
          <t>кг</t>
        </is>
      </c>
      <c r="E65" s="424" t="n">
        <v>0.026</v>
      </c>
      <c r="F65" s="358" t="n">
        <v>133.05</v>
      </c>
      <c r="G65" s="264">
        <f>ROUND(E65*F65,2)</f>
        <v/>
      </c>
      <c r="H65" s="262">
        <f>G65/$G$70</f>
        <v/>
      </c>
      <c r="I65" s="264">
        <f>ROUND(F65*Прил.10!$D$13,2)</f>
        <v/>
      </c>
      <c r="J65" s="264">
        <f>ROUND(I65*E65,2)</f>
        <v/>
      </c>
    </row>
    <row r="66" hidden="1" outlineLevel="1" ht="25.5" customFormat="1" customHeight="1" s="291">
      <c r="A66" s="347" t="n">
        <v>38</v>
      </c>
      <c r="B66" s="347" t="inlineStr">
        <is>
          <t>10.3.02.03-0012</t>
        </is>
      </c>
      <c r="C66" s="356" t="inlineStr">
        <is>
          <t>Припои оловянно-свинцовые бессурьмянистые, марка ПОС40</t>
        </is>
      </c>
      <c r="D66" s="347" t="inlineStr">
        <is>
          <t>т</t>
        </is>
      </c>
      <c r="E66" s="424" t="n">
        <v>2e-05</v>
      </c>
      <c r="F66" s="358" t="n">
        <v>65750</v>
      </c>
      <c r="G66" s="264">
        <f>ROUND(E66*F66,2)</f>
        <v/>
      </c>
      <c r="H66" s="262">
        <f>G66/$G$70</f>
        <v/>
      </c>
      <c r="I66" s="264">
        <f>ROUND(F66*Прил.10!$D$13,2)</f>
        <v/>
      </c>
      <c r="J66" s="264">
        <f>ROUND(I66*E66,2)</f>
        <v/>
      </c>
    </row>
    <row r="67" hidden="1" outlineLevel="1" ht="14.25" customFormat="1" customHeight="1" s="291">
      <c r="A67" s="347" t="n">
        <v>39</v>
      </c>
      <c r="B67" s="347" t="inlineStr">
        <is>
          <t>01.7.20.04-0003</t>
        </is>
      </c>
      <c r="C67" s="356" t="inlineStr">
        <is>
          <t>Нитки суровые</t>
        </is>
      </c>
      <c r="D67" s="347" t="inlineStr">
        <is>
          <t>кг</t>
        </is>
      </c>
      <c r="E67" s="424" t="n">
        <v>0.004</v>
      </c>
      <c r="F67" s="358" t="n">
        <v>155</v>
      </c>
      <c r="G67" s="264">
        <f>ROUND(E67*F67,2)</f>
        <v/>
      </c>
      <c r="H67" s="262">
        <f>G67/$G$70</f>
        <v/>
      </c>
      <c r="I67" s="264">
        <f>ROUND(F67*Прил.10!$D$13,2)</f>
        <v/>
      </c>
      <c r="J67" s="264">
        <f>ROUND(I67*E67,2)</f>
        <v/>
      </c>
    </row>
    <row r="68" hidden="1" outlineLevel="1" ht="14.25" customFormat="1" customHeight="1" s="291">
      <c r="A68" s="347" t="n">
        <v>40</v>
      </c>
      <c r="B68" s="347" t="inlineStr">
        <is>
          <t>01.7.02.09-0002</t>
        </is>
      </c>
      <c r="C68" s="356" t="inlineStr">
        <is>
          <t>Шпагат бумажный</t>
        </is>
      </c>
      <c r="D68" s="347" t="inlineStr">
        <is>
          <t>кг</t>
        </is>
      </c>
      <c r="E68" s="424" t="n">
        <v>0.052</v>
      </c>
      <c r="F68" s="358" t="n">
        <v>11.5</v>
      </c>
      <c r="G68" s="264">
        <f>ROUND(E68*F68,2)</f>
        <v/>
      </c>
      <c r="H68" s="262">
        <f>G68/$G$70</f>
        <v/>
      </c>
      <c r="I68" s="264">
        <f>ROUND(F68*Прил.10!$D$13,2)</f>
        <v/>
      </c>
      <c r="J68" s="264">
        <f>ROUND(I68*E68,2)</f>
        <v/>
      </c>
    </row>
    <row r="69" collapsed="1" ht="14.25" customFormat="1" customHeight="1" s="291">
      <c r="A69" s="347" t="n"/>
      <c r="B69" s="347" t="n"/>
      <c r="C69" s="356" t="inlineStr">
        <is>
          <t>Итого прочие материалы</t>
        </is>
      </c>
      <c r="D69" s="347" t="n"/>
      <c r="E69" s="357" t="n"/>
      <c r="F69" s="358" t="n"/>
      <c r="G69" s="264">
        <f>SUM(G43:G68)</f>
        <v/>
      </c>
      <c r="H69" s="262">
        <f>G69/$G$70</f>
        <v/>
      </c>
      <c r="I69" s="264" t="n"/>
      <c r="J69" s="264">
        <f>SUM(J43:J68)</f>
        <v/>
      </c>
    </row>
    <row r="70" ht="14.25" customFormat="1" customHeight="1" s="291">
      <c r="A70" s="347" t="n"/>
      <c r="B70" s="347" t="n"/>
      <c r="C70" s="355" t="inlineStr">
        <is>
          <t>Итого по разделу «Материалы»</t>
        </is>
      </c>
      <c r="D70" s="347" t="n"/>
      <c r="E70" s="357" t="n"/>
      <c r="F70" s="358" t="n"/>
      <c r="G70" s="264">
        <f>G42+G69</f>
        <v/>
      </c>
      <c r="H70" s="359">
        <f>G70/$G$70</f>
        <v/>
      </c>
      <c r="I70" s="264" t="n"/>
      <c r="J70" s="264">
        <f>J42+J69</f>
        <v/>
      </c>
    </row>
    <row r="71" ht="14.25" customFormat="1" customHeight="1" s="291">
      <c r="A71" s="347" t="n"/>
      <c r="B71" s="347" t="n"/>
      <c r="C71" s="356" t="inlineStr">
        <is>
          <t>ИТОГО ПО РМ</t>
        </is>
      </c>
      <c r="D71" s="347" t="n"/>
      <c r="E71" s="357" t="n"/>
      <c r="F71" s="358" t="n"/>
      <c r="G71" s="264">
        <f>G15+G24+G70</f>
        <v/>
      </c>
      <c r="H71" s="359" t="n"/>
      <c r="I71" s="264" t="n"/>
      <c r="J71" s="264">
        <f>J15+J24+J70</f>
        <v/>
      </c>
    </row>
    <row r="72" ht="14.25" customFormat="1" customHeight="1" s="291">
      <c r="A72" s="347" t="n"/>
      <c r="B72" s="347" t="n"/>
      <c r="C72" s="356" t="inlineStr">
        <is>
          <t>Накладные расходы</t>
        </is>
      </c>
      <c r="D72" s="228" t="n">
        <v>0.91</v>
      </c>
      <c r="E72" s="357" t="n"/>
      <c r="F72" s="358" t="n"/>
      <c r="G72" s="264" t="n">
        <v>8190.96</v>
      </c>
      <c r="H72" s="359" t="n"/>
      <c r="I72" s="264" t="n"/>
      <c r="J72" s="264">
        <f>ROUND(D72*(J15+J17),2)</f>
        <v/>
      </c>
    </row>
    <row r="73" ht="14.25" customFormat="1" customHeight="1" s="291">
      <c r="A73" s="347" t="n"/>
      <c r="B73" s="347" t="n"/>
      <c r="C73" s="356" t="inlineStr">
        <is>
          <t>Сметная прибыль</t>
        </is>
      </c>
      <c r="D73" s="228" t="n">
        <v>0.47</v>
      </c>
      <c r="E73" s="357" t="n"/>
      <c r="F73" s="358" t="n"/>
      <c r="G73" s="264" t="n">
        <v>4239.21</v>
      </c>
      <c r="H73" s="359" t="n"/>
      <c r="I73" s="264" t="n"/>
      <c r="J73" s="264">
        <f>ROUND(D73*(J15+J17),2)</f>
        <v/>
      </c>
    </row>
    <row r="74" ht="14.25" customFormat="1" customHeight="1" s="291">
      <c r="A74" s="347" t="n"/>
      <c r="B74" s="347" t="n"/>
      <c r="C74" s="356" t="inlineStr">
        <is>
          <t>Итого СМР (с НР и СП)</t>
        </is>
      </c>
      <c r="D74" s="347" t="n"/>
      <c r="E74" s="357" t="n"/>
      <c r="F74" s="358" t="n"/>
      <c r="G74" s="264">
        <f>G15+G24+G70+G72+G73</f>
        <v/>
      </c>
      <c r="H74" s="359" t="n"/>
      <c r="I74" s="264" t="n"/>
      <c r="J74" s="264">
        <f>J15+J24+J70+J72+J73</f>
        <v/>
      </c>
    </row>
    <row r="75" ht="14.25" customFormat="1" customHeight="1" s="291">
      <c r="A75" s="347" t="n"/>
      <c r="B75" s="347" t="n"/>
      <c r="C75" s="356" t="inlineStr">
        <is>
          <t>ВСЕГО СМР + ОБОРУДОВАНИЕ</t>
        </is>
      </c>
      <c r="D75" s="347" t="n"/>
      <c r="E75" s="357" t="n"/>
      <c r="F75" s="358" t="n"/>
      <c r="G75" s="264">
        <f>G74+G34</f>
        <v/>
      </c>
      <c r="H75" s="359" t="n"/>
      <c r="I75" s="264" t="n"/>
      <c r="J75" s="264">
        <f>J74+J34</f>
        <v/>
      </c>
    </row>
    <row r="76" ht="34.5" customFormat="1" customHeight="1" s="291">
      <c r="A76" s="347" t="n"/>
      <c r="B76" s="347" t="n"/>
      <c r="C76" s="356" t="inlineStr">
        <is>
          <t>ИТОГО ПОКАЗАТЕЛЬ НА ЕД. ИЗМ.</t>
        </is>
      </c>
      <c r="D76" s="347" t="inlineStr">
        <is>
          <t>объект</t>
        </is>
      </c>
      <c r="E76" s="428" t="n">
        <v>1</v>
      </c>
      <c r="F76" s="358" t="n"/>
      <c r="G76" s="264">
        <f>G75/E76</f>
        <v/>
      </c>
      <c r="H76" s="359" t="n"/>
      <c r="I76" s="264" t="n"/>
      <c r="J76" s="264">
        <f>J75/E76</f>
        <v/>
      </c>
    </row>
    <row r="78" ht="14.25" customFormat="1" customHeight="1" s="291">
      <c r="A78" s="290" t="inlineStr">
        <is>
          <t>Составил ______________________    Д.Ю. Нефедова</t>
        </is>
      </c>
    </row>
    <row r="79" ht="14.25" customFormat="1" customHeight="1" s="291">
      <c r="A79" s="293" t="inlineStr">
        <is>
          <t xml:space="preserve">                         (подпись, инициалы, фамилия)</t>
        </is>
      </c>
    </row>
    <row r="80" ht="14.25" customFormat="1" customHeight="1" s="291">
      <c r="A80" s="290" t="n"/>
    </row>
    <row r="81" ht="14.25" customFormat="1" customHeight="1" s="291">
      <c r="A81" s="290" t="inlineStr">
        <is>
          <t>Проверил ______________________        А.В. Костянецкая</t>
        </is>
      </c>
    </row>
    <row r="82" ht="14.25" customFormat="1" customHeight="1" s="291">
      <c r="A82" s="2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36:H36"/>
    <mergeCell ref="C9:C10"/>
    <mergeCell ref="E9:E10"/>
    <mergeCell ref="B26:H26"/>
    <mergeCell ref="A7:H7"/>
    <mergeCell ref="B16:H16"/>
    <mergeCell ref="B25:H25"/>
    <mergeCell ref="B9:B10"/>
    <mergeCell ref="D9:D10"/>
    <mergeCell ref="B18:H18"/>
    <mergeCell ref="B12:H12"/>
    <mergeCell ref="D6:J6"/>
    <mergeCell ref="A8:H8"/>
    <mergeCell ref="F9:G9"/>
    <mergeCell ref="A9:A10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294" min="1" max="1"/>
    <col width="17.5703125" customWidth="1" style="294" min="2" max="2"/>
    <col width="39.140625" customWidth="1" style="294" min="3" max="3"/>
    <col width="10.7109375" customWidth="1" style="294" min="4" max="4"/>
    <col width="13.85546875" customWidth="1" style="294" min="5" max="5"/>
    <col width="14.5703125" customWidth="1" style="294" min="6" max="6"/>
    <col width="14.140625" customWidth="1" style="294" min="7" max="7"/>
  </cols>
  <sheetData>
    <row r="1">
      <c r="A1" s="364" t="inlineStr">
        <is>
          <t>Приложение №6</t>
        </is>
      </c>
    </row>
    <row r="2" ht="21.75" customHeight="1" s="294">
      <c r="A2" s="364" t="n"/>
      <c r="B2" s="364" t="n"/>
      <c r="C2" s="364" t="n"/>
      <c r="D2" s="364" t="n"/>
      <c r="E2" s="364" t="n"/>
      <c r="F2" s="364" t="n"/>
      <c r="G2" s="364" t="n"/>
    </row>
    <row r="3">
      <c r="A3" s="326" t="inlineStr">
        <is>
          <t>Расчет стоимости оборудования</t>
        </is>
      </c>
    </row>
    <row r="4" ht="25.5" customHeight="1" s="294">
      <c r="A4" s="329" t="inlineStr">
        <is>
          <t>Наименование разрабатываемого показателя УНЦ — Сети связи. Аппаратура громкоговорящей и радиопоисковой связи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294">
      <c r="A6" s="369" t="inlineStr">
        <is>
          <t>№ пп.</t>
        </is>
      </c>
      <c r="B6" s="369" t="inlineStr">
        <is>
          <t>Код ресурса</t>
        </is>
      </c>
      <c r="C6" s="369" t="inlineStr">
        <is>
          <t>Наименование</t>
        </is>
      </c>
      <c r="D6" s="369" t="inlineStr">
        <is>
          <t>Ед. изм.</t>
        </is>
      </c>
      <c r="E6" s="347" t="inlineStr">
        <is>
          <t>Кол-во единиц по проектным данным</t>
        </is>
      </c>
      <c r="F6" s="369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7" t="inlineStr">
        <is>
          <t>на ед. изм.</t>
        </is>
      </c>
      <c r="G7" s="347" t="inlineStr">
        <is>
          <t>общая</t>
        </is>
      </c>
    </row>
    <row r="8">
      <c r="A8" s="347" t="n">
        <v>1</v>
      </c>
      <c r="B8" s="347" t="n">
        <v>2</v>
      </c>
      <c r="C8" s="347" t="n">
        <v>3</v>
      </c>
      <c r="D8" s="347" t="n">
        <v>4</v>
      </c>
      <c r="E8" s="347" t="n">
        <v>5</v>
      </c>
      <c r="F8" s="347" t="n">
        <v>6</v>
      </c>
      <c r="G8" s="347" t="n">
        <v>7</v>
      </c>
    </row>
    <row r="9" ht="15" customHeight="1" s="294">
      <c r="A9" s="193" t="n"/>
      <c r="B9" s="356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4">
      <c r="A10" s="347" t="n"/>
      <c r="B10" s="355" t="n"/>
      <c r="C10" s="356" t="inlineStr">
        <is>
          <t>ИТОГО ИНЖЕНЕРНОЕ ОБОРУДОВАНИЕ</t>
        </is>
      </c>
      <c r="D10" s="355" t="n"/>
      <c r="E10" s="195" t="n"/>
      <c r="F10" s="358" t="n"/>
      <c r="G10" s="264" t="n">
        <v>0</v>
      </c>
    </row>
    <row r="11">
      <c r="A11" s="347" t="n"/>
      <c r="B11" s="356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Format="1" customHeight="1" s="296">
      <c r="A12" s="347" t="n">
        <v>1</v>
      </c>
      <c r="B12" s="356">
        <f>'Прил.5 Расчет СМР и ОБ'!B27</f>
        <v/>
      </c>
      <c r="C12" s="356">
        <f>'Прил.5 Расчет СМР и ОБ'!C27</f>
        <v/>
      </c>
      <c r="D12" s="347">
        <f>'Прил.5 Расчет СМР и ОБ'!D27</f>
        <v/>
      </c>
      <c r="E12" s="424">
        <f>'Прил.5 Расчет СМР и ОБ'!E27</f>
        <v/>
      </c>
      <c r="F12" s="424">
        <f>'Прил.5 Расчет СМР и ОБ'!F27</f>
        <v/>
      </c>
      <c r="G12" s="264">
        <f>ROUND(E12*F12,2)</f>
        <v/>
      </c>
    </row>
    <row r="13" ht="25.5" customFormat="1" customHeight="1" s="296">
      <c r="A13" s="347" t="n">
        <v>2</v>
      </c>
      <c r="B13" s="356">
        <f>'Прил.5 Расчет СМР и ОБ'!B28</f>
        <v/>
      </c>
      <c r="C13" s="356">
        <f>'Прил.5 Расчет СМР и ОБ'!C28</f>
        <v/>
      </c>
      <c r="D13" s="347">
        <f>'Прил.5 Расчет СМР и ОБ'!D28</f>
        <v/>
      </c>
      <c r="E13" s="424">
        <f>'Прил.5 Расчет СМР и ОБ'!E28</f>
        <v/>
      </c>
      <c r="F13" s="424">
        <f>'Прил.5 Расчет СМР и ОБ'!F28</f>
        <v/>
      </c>
      <c r="G13" s="264">
        <f>ROUND(E13*F13,2)</f>
        <v/>
      </c>
    </row>
    <row r="14" ht="25.5" customFormat="1" customHeight="1" s="296">
      <c r="A14" s="347" t="n">
        <v>3</v>
      </c>
      <c r="B14" s="356">
        <f>'Прил.5 Расчет СМР и ОБ'!B29</f>
        <v/>
      </c>
      <c r="C14" s="356">
        <f>'Прил.5 Расчет СМР и ОБ'!C29</f>
        <v/>
      </c>
      <c r="D14" s="347">
        <f>'Прил.5 Расчет СМР и ОБ'!D29</f>
        <v/>
      </c>
      <c r="E14" s="424">
        <f>'Прил.5 Расчет СМР и ОБ'!E29</f>
        <v/>
      </c>
      <c r="F14" s="424">
        <f>'Прил.5 Расчет СМР и ОБ'!F29</f>
        <v/>
      </c>
      <c r="G14" s="264">
        <f>ROUND(E14*F14,2)</f>
        <v/>
      </c>
    </row>
    <row r="15" ht="25.5" customFormat="1" customHeight="1" s="296">
      <c r="A15" s="347" t="n">
        <v>4</v>
      </c>
      <c r="B15" s="356">
        <f>'Прил.5 Расчет СМР и ОБ'!B31</f>
        <v/>
      </c>
      <c r="C15" s="356">
        <f>'Прил.5 Расчет СМР и ОБ'!C31</f>
        <v/>
      </c>
      <c r="D15" s="347">
        <f>'Прил.5 Расчет СМР и ОБ'!D31</f>
        <v/>
      </c>
      <c r="E15" s="424">
        <f>'Прил.5 Расчет СМР и ОБ'!E31</f>
        <v/>
      </c>
      <c r="F15" s="424">
        <f>'Прил.5 Расчет СМР и ОБ'!F31</f>
        <v/>
      </c>
      <c r="G15" s="264">
        <f>ROUND(E15*F15,2)</f>
        <v/>
      </c>
    </row>
    <row r="16" ht="15.75" customFormat="1" customHeight="1" s="296">
      <c r="A16" s="347" t="inlineStr">
        <is>
          <t>Составил ______________________    Д.Ю. Нефедова</t>
        </is>
      </c>
      <c r="B16" s="356">
        <f>'Прил.5 Расчет СМР и ОБ'!B32</f>
        <v/>
      </c>
      <c r="C16" s="356">
        <f>'Прил.5 Расчет СМР и ОБ'!C32</f>
        <v/>
      </c>
      <c r="D16" s="347">
        <f>'Прил.5 Расчет СМР и ОБ'!D32</f>
        <v/>
      </c>
      <c r="E16" s="424">
        <f>'Прил.5 Расчет СМР и ОБ'!E32</f>
        <v/>
      </c>
      <c r="F16" s="424">
        <f>'Прил.5 Расчет СМР и ОБ'!F32</f>
        <v/>
      </c>
      <c r="G16" s="264">
        <f>ROUND(E16*F16,2)</f>
        <v/>
      </c>
    </row>
    <row r="17" ht="25.5" customHeight="1" s="294">
      <c r="A17" s="347" t="n"/>
      <c r="B17" s="356" t="n"/>
      <c r="C17" s="356" t="inlineStr">
        <is>
          <t>ИТОГО ТЕХНОЛОГИЧЕСКОЕ ОБОРУДОВАНИЕ</t>
        </is>
      </c>
      <c r="D17" s="356" t="n"/>
      <c r="E17" s="368" t="n"/>
      <c r="F17" s="358" t="n"/>
      <c r="G17" s="264">
        <f>SUM(G12:G16)</f>
        <v/>
      </c>
    </row>
    <row r="18" ht="19.5" customHeight="1" s="294">
      <c r="A18" s="347" t="n"/>
      <c r="B18" s="356" t="n"/>
      <c r="C18" s="356" t="inlineStr">
        <is>
          <t>Всего по разделу «Оборудование»</t>
        </is>
      </c>
      <c r="D18" s="356" t="n"/>
      <c r="E18" s="368" t="n"/>
      <c r="F18" s="358" t="n"/>
      <c r="G18" s="264">
        <f>G10+G17</f>
        <v/>
      </c>
    </row>
    <row r="19">
      <c r="A19" s="292" t="n"/>
      <c r="B19" s="201" t="n"/>
      <c r="C19" s="292" t="n"/>
      <c r="D19" s="292" t="n"/>
      <c r="E19" s="292" t="n"/>
      <c r="F19" s="292" t="n"/>
      <c r="G19" s="292" t="n"/>
    </row>
    <row r="20">
      <c r="A20" s="290" t="inlineStr">
        <is>
          <t>Составил ______________________    Д.Ю. Нефедова</t>
        </is>
      </c>
      <c r="B20" s="291" t="n"/>
      <c r="C20" s="291" t="n"/>
      <c r="D20" s="292" t="n"/>
      <c r="E20" s="292" t="n"/>
      <c r="F20" s="292" t="n"/>
      <c r="G20" s="292" t="n"/>
    </row>
    <row r="21">
      <c r="A21" s="293" t="inlineStr">
        <is>
          <t xml:space="preserve">                         (подпись, инициалы, фамилия)</t>
        </is>
      </c>
      <c r="B21" s="291" t="n"/>
      <c r="C21" s="291" t="n"/>
      <c r="D21" s="292" t="n"/>
      <c r="E21" s="292" t="n"/>
      <c r="F21" s="292" t="n"/>
      <c r="G21" s="292" t="n"/>
    </row>
    <row r="22">
      <c r="A22" s="290" t="n"/>
      <c r="B22" s="291" t="n"/>
      <c r="C22" s="291" t="n"/>
      <c r="D22" s="292" t="n"/>
      <c r="E22" s="292" t="n"/>
      <c r="F22" s="292" t="n"/>
      <c r="G22" s="292" t="n"/>
    </row>
    <row r="23">
      <c r="A23" s="290" t="inlineStr">
        <is>
          <t>Проверил ______________________        А.В. Костянецкая</t>
        </is>
      </c>
      <c r="B23" s="291" t="n"/>
      <c r="C23" s="291" t="n"/>
      <c r="D23" s="292" t="n"/>
      <c r="E23" s="292" t="n"/>
      <c r="F23" s="292" t="n"/>
      <c r="G23" s="292" t="n"/>
    </row>
    <row r="24">
      <c r="A24" s="293" t="inlineStr">
        <is>
          <t xml:space="preserve">                        (подпись, инициалы, фамилия)</t>
        </is>
      </c>
      <c r="B24" s="291" t="n"/>
      <c r="C24" s="291" t="n"/>
      <c r="D24" s="292" t="n"/>
      <c r="E24" s="292" t="n"/>
      <c r="F24" s="292" t="n"/>
      <c r="G24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4" min="1" max="1"/>
    <col width="16.42578125" customWidth="1" style="294" min="2" max="2"/>
    <col width="37.140625" customWidth="1" style="294" min="3" max="3"/>
    <col width="49" customWidth="1" style="294" min="4" max="4"/>
    <col width="9.140625" customWidth="1" style="294" min="5" max="5"/>
  </cols>
  <sheetData>
    <row r="1" ht="15.75" customHeight="1" s="294">
      <c r="A1" s="296" t="n"/>
      <c r="B1" s="296" t="n"/>
      <c r="C1" s="296" t="n"/>
      <c r="D1" s="296" t="inlineStr">
        <is>
          <t>Приложение №7</t>
        </is>
      </c>
    </row>
    <row r="2" ht="15.75" customHeight="1" s="294">
      <c r="A2" s="296" t="n"/>
      <c r="B2" s="296" t="n"/>
      <c r="C2" s="296" t="n"/>
      <c r="D2" s="296" t="n"/>
    </row>
    <row r="3" ht="15.75" customHeight="1" s="294">
      <c r="A3" s="296" t="n"/>
      <c r="B3" s="285" t="inlineStr">
        <is>
          <t>Расчет показателя УНЦ</t>
        </is>
      </c>
      <c r="C3" s="296" t="n"/>
      <c r="D3" s="296" t="n"/>
    </row>
    <row r="4" ht="15.75" customHeight="1" s="294">
      <c r="A4" s="296" t="n"/>
      <c r="B4" s="296" t="n"/>
      <c r="C4" s="296" t="n"/>
      <c r="D4" s="296" t="n"/>
    </row>
    <row r="5" ht="31.5" customHeight="1" s="294">
      <c r="A5" s="370" t="inlineStr">
        <is>
          <t xml:space="preserve">Наименование разрабатываемого показателя УНЦ - </t>
        </is>
      </c>
      <c r="D5" s="370">
        <f>'Прил.5 Расчет СМР и ОБ'!D6:J6</f>
        <v/>
      </c>
    </row>
    <row r="6" ht="15.75" customHeight="1" s="294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4">
      <c r="A7" s="296" t="n"/>
      <c r="B7" s="296" t="n"/>
      <c r="C7" s="296" t="n"/>
      <c r="D7" s="296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21" t="n"/>
      <c r="B9" s="421" t="n"/>
      <c r="C9" s="421" t="n"/>
      <c r="D9" s="421" t="n"/>
    </row>
    <row r="10" ht="15.75" customHeight="1" s="294">
      <c r="A10" s="338" t="n">
        <v>1</v>
      </c>
      <c r="B10" s="338" t="n">
        <v>2</v>
      </c>
      <c r="C10" s="338" t="n">
        <v>3</v>
      </c>
      <c r="D10" s="338" t="n">
        <v>4</v>
      </c>
    </row>
    <row r="11" ht="47.25" customHeight="1" s="294">
      <c r="A11" s="338" t="inlineStr">
        <is>
          <t>И14-05</t>
        </is>
      </c>
      <c r="B11" s="338" t="inlineStr">
        <is>
          <t xml:space="preserve">УНЦ сети связи </t>
        </is>
      </c>
      <c r="C11" s="288">
        <f>D5</f>
        <v/>
      </c>
      <c r="D11" s="302">
        <f>'Прил.4 РМ'!C41/1000</f>
        <v/>
      </c>
    </row>
    <row r="13">
      <c r="A13" s="290" t="inlineStr">
        <is>
          <t>Составил ______________________      Д.Ю. Нефедова</t>
        </is>
      </c>
      <c r="B13" s="291" t="n"/>
      <c r="C13" s="291" t="n"/>
      <c r="D13" s="292" t="n"/>
    </row>
    <row r="14">
      <c r="A14" s="293" t="inlineStr">
        <is>
          <t xml:space="preserve">                         (подпись, инициалы, фамилия)</t>
        </is>
      </c>
      <c r="B14" s="291" t="n"/>
      <c r="C14" s="291" t="n"/>
      <c r="D14" s="292" t="n"/>
    </row>
    <row r="15" ht="21" customHeight="1" s="294">
      <c r="A15" s="290" t="n"/>
      <c r="B15" s="291" t="n"/>
      <c r="C15" s="291" t="n"/>
      <c r="D15" s="292" t="n"/>
    </row>
    <row r="16">
      <c r="A16" s="290" t="inlineStr">
        <is>
          <t>Проверил ______________________        А.В. Костянецкая</t>
        </is>
      </c>
      <c r="B16" s="291" t="n"/>
      <c r="C16" s="291" t="n"/>
      <c r="D16" s="292" t="n"/>
    </row>
    <row r="17">
      <c r="A17" s="293" t="inlineStr">
        <is>
          <t xml:space="preserve">                        (подпись, инициалы, фамилия)</t>
        </is>
      </c>
      <c r="B17" s="291" t="n"/>
      <c r="C17" s="291" t="n"/>
      <c r="D17" s="2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C24" sqref="C24"/>
    </sheetView>
  </sheetViews>
  <sheetFormatPr baseColWidth="8" defaultRowHeight="15"/>
  <cols>
    <col width="9.140625" customWidth="1" style="294" min="1" max="1"/>
    <col width="40.7109375" customWidth="1" style="294" min="2" max="2"/>
    <col width="37" customWidth="1" style="294" min="3" max="3"/>
    <col width="32" customWidth="1" style="294" min="4" max="4"/>
    <col width="9.140625" customWidth="1" style="294" min="5" max="5"/>
  </cols>
  <sheetData>
    <row r="4" ht="15.75" customHeight="1" s="294">
      <c r="B4" s="333" t="inlineStr">
        <is>
          <t>Приложение № 10</t>
        </is>
      </c>
    </row>
    <row r="5" ht="18.75" customHeight="1" s="294">
      <c r="B5" s="187" t="n"/>
    </row>
    <row r="6" ht="15.75" customHeight="1" s="294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1" t="n"/>
    </row>
    <row r="8">
      <c r="B8" s="371" t="n"/>
      <c r="C8" s="371" t="n"/>
      <c r="D8" s="371" t="n"/>
      <c r="E8" s="371" t="n"/>
    </row>
    <row r="9" ht="47.25" customHeight="1" s="294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94">
      <c r="B10" s="338" t="n">
        <v>1</v>
      </c>
      <c r="C10" s="338" t="n">
        <v>2</v>
      </c>
      <c r="D10" s="338" t="n">
        <v>3</v>
      </c>
    </row>
    <row r="11" ht="45" customHeight="1" s="294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прил.1</t>
        </is>
      </c>
      <c r="D11" s="338" t="n">
        <v>44.29</v>
      </c>
    </row>
    <row r="12" ht="29.25" customHeight="1" s="294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прил.1</t>
        </is>
      </c>
      <c r="D12" s="338" t="n">
        <v>13.47</v>
      </c>
    </row>
    <row r="13" ht="29.25" customHeight="1" s="294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прил.1</t>
        </is>
      </c>
      <c r="D13" s="338" t="n">
        <v>8.039999999999999</v>
      </c>
    </row>
    <row r="14" ht="30.75" customHeight="1" s="294">
      <c r="B14" s="338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294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8" t="n">
        <v>0.039</v>
      </c>
    </row>
    <row r="16" ht="78.75" customHeight="1" s="294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8" t="n">
        <v>0.021</v>
      </c>
    </row>
    <row r="17" ht="34.5" customHeight="1" s="294">
      <c r="B17" s="338" t="inlineStr">
        <is>
          <t>Пусконаладочные работы*</t>
        </is>
      </c>
      <c r="C17" s="338" t="n"/>
      <c r="D17" s="338" t="inlineStr">
        <is>
          <t>Расчет</t>
        </is>
      </c>
    </row>
    <row r="18" ht="31.5" customHeight="1" s="294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88" t="n">
        <v>0.0214</v>
      </c>
    </row>
    <row r="19" ht="31.5" customHeight="1" s="294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88" t="n">
        <v>0.002</v>
      </c>
    </row>
    <row r="20" ht="24" customHeight="1" s="294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88" t="n">
        <v>0.03</v>
      </c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4" ht="18.75" customHeight="1" s="294">
      <c r="B24" s="189" t="n"/>
    </row>
    <row r="27">
      <c r="B27" s="290" t="inlineStr">
        <is>
          <t>Составил ______________________        Д.Ю. Нефедова</t>
        </is>
      </c>
      <c r="C27" s="291" t="n"/>
    </row>
    <row r="28">
      <c r="B28" s="293" t="inlineStr">
        <is>
          <t xml:space="preserve">                         (подпись, инициалы, фамилия)</t>
        </is>
      </c>
      <c r="C28" s="291" t="n"/>
    </row>
    <row r="29">
      <c r="B29" s="290" t="n"/>
      <c r="C29" s="291" t="n"/>
    </row>
    <row r="30">
      <c r="B30" s="290" t="inlineStr">
        <is>
          <t>Проверил ______________________        А.В. Костянецкая</t>
        </is>
      </c>
      <c r="C30" s="291" t="n"/>
    </row>
    <row r="31">
      <c r="B31" s="293" t="inlineStr">
        <is>
          <t xml:space="preserve">                        (подпись, инициалы, фамилия)</t>
        </is>
      </c>
      <c r="C31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C30" sqref="C30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43.85546875" customWidth="1" style="294" min="6" max="6"/>
  </cols>
  <sheetData>
    <row r="1" s="294"/>
    <row r="2" ht="17.25" customHeight="1" s="294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8" t="n"/>
      <c r="D10" s="338" t="n"/>
      <c r="E10" s="429" t="n">
        <v>3.3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30" t="n">
        <v>1.232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08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1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n"/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316" t="n"/>
      <c r="B14" s="317" t="inlineStr">
        <is>
          <t>Инженер I категории</t>
        </is>
      </c>
      <c r="C14" s="317" t="n"/>
      <c r="D14" s="317" t="n"/>
      <c r="E14" s="317" t="n"/>
      <c r="F14" s="318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8" t="inlineStr">
        <is>
          <t>С1ср</t>
        </is>
      </c>
      <c r="D15" s="338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8" t="inlineStr">
        <is>
          <t>tср</t>
        </is>
      </c>
      <c r="D16" s="338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8" t="inlineStr">
        <is>
          <t>Кув</t>
        </is>
      </c>
      <c r="D17" s="338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8" t="n"/>
      <c r="D18" s="338" t="n"/>
      <c r="E18" s="429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5" t="inlineStr">
        <is>
          <t>Тарифный коэффициент среднего разряда работ</t>
        </is>
      </c>
      <c r="C19" s="313" t="inlineStr">
        <is>
          <t>КТ</t>
        </is>
      </c>
      <c r="D19" s="313" t="inlineStr">
        <is>
          <t>-</t>
        </is>
      </c>
      <c r="E19" s="432" t="n">
        <v>2.15</v>
      </c>
      <c r="F19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8" t="inlineStr">
        <is>
          <t>Кинф</t>
        </is>
      </c>
      <c r="D20" s="338" t="inlineStr">
        <is>
          <t>-</t>
        </is>
      </c>
      <c r="E20" s="431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n"/>
    </row>
    <row r="21" ht="63" customHeight="1" s="294">
      <c r="A21" s="298" t="inlineStr">
        <is>
          <t>1.7</t>
        </is>
      </c>
      <c r="B21" s="320" t="inlineStr">
        <is>
          <t>Размер средств на оплату труда рабочих-строителей в текущем уровне цен (ФОТр.тек.), руб/чел.-ч</t>
        </is>
      </c>
      <c r="C21" s="338" t="inlineStr">
        <is>
          <t>ФОТр.тек.</t>
        </is>
      </c>
      <c r="D21" s="338" t="inlineStr">
        <is>
          <t>(С1ср/tср*КТ*Т*Кув)*Кинф</t>
        </is>
      </c>
      <c r="E21" s="321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2025-01-24T12:01:49Z</dcterms:modified>
  <cp:lastModifiedBy>Nikolay Ivanov</cp:lastModifiedBy>
  <cp:lastPrinted>2023-11-27T07:48:10Z</cp:lastPrinted>
</cp:coreProperties>
</file>