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табл'!$A$1:$F$34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ОБ'!$A$1:$J$87</definedName>
    <definedName name="_xlnm.Print_Area" localSheetId="5">'Прил.6 Расчет ОБ'!$A$1:$G$29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0"/>
    <numFmt numFmtId="166" formatCode="#,##0.0000"/>
    <numFmt numFmtId="167" formatCode="0.0000"/>
    <numFmt numFmtId="168" formatCode="0.0"/>
    <numFmt numFmtId="169" formatCode="0.000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00FF99"/>
      <sz val="12"/>
    </font>
    <font>
      <name val="Times New Roman"/>
      <charset val="204"/>
      <family val="1"/>
      <color rgb="FF0000FF"/>
      <sz val="12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0" applyAlignment="1" pivotButton="0" quotePrefix="0" xfId="0">
      <alignment vertical="center"/>
    </xf>
    <xf numFmtId="10" fontId="16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165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/>
    </xf>
    <xf numFmtId="4" fontId="16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right" vertical="center"/>
    </xf>
    <xf numFmtId="10" fontId="16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9" fillId="0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" fontId="17" fillId="0" borderId="1" applyAlignment="1" pivotButton="0" quotePrefix="0" xfId="0">
      <alignment vertical="top"/>
    </xf>
    <xf numFmtId="0" fontId="17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168" fontId="16" fillId="0" borderId="0" pivotButton="0" quotePrefix="0" xfId="0"/>
    <xf numFmtId="10" fontId="16" fillId="0" borderId="0" pivotButton="0" quotePrefix="0" xfId="0"/>
    <xf numFmtId="0" fontId="20" fillId="0" borderId="0" pivotButton="0" quotePrefix="0" xfId="0"/>
    <xf numFmtId="2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" fontId="17" fillId="0" borderId="0" pivotButton="0" quotePrefix="0" xfId="0"/>
    <xf numFmtId="43" fontId="16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169" fontId="1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21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167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43" fontId="16" fillId="0" borderId="0" pivotButton="0" quotePrefix="0" xfId="0"/>
    <xf numFmtId="165" fontId="16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168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N34"/>
  <sheetViews>
    <sheetView view="pageBreakPreview" topLeftCell="A20" zoomScaleNormal="55" zoomScaleSheetLayoutView="100" workbookViewId="0">
      <selection activeCell="C30" sqref="C30"/>
    </sheetView>
  </sheetViews>
  <sheetFormatPr baseColWidth="8" defaultColWidth="9.140625" defaultRowHeight="15.75"/>
  <cols>
    <col width="9.140625" customWidth="1" style="310" min="1" max="2"/>
    <col width="36.85546875" customWidth="1" style="310" min="3" max="3"/>
    <col width="39.42578125" customWidth="1" style="310" min="4" max="4"/>
    <col hidden="1" width="36.5703125" customWidth="1" style="310" min="5" max="6"/>
    <col width="9.140625" customWidth="1" style="310" min="7" max="11"/>
    <col width="14.7109375" customWidth="1" style="310" min="12" max="12"/>
    <col width="17.7109375" customWidth="1" style="310" min="13" max="13"/>
    <col width="9.140625" customWidth="1" style="310" min="14" max="14"/>
  </cols>
  <sheetData>
    <row r="3">
      <c r="B3" s="335" t="inlineStr">
        <is>
          <t>Приложение № 1</t>
        </is>
      </c>
    </row>
    <row r="4">
      <c r="B4" s="336" t="inlineStr">
        <is>
          <t>Сравнительная таблица отбора объекта-представителя</t>
        </is>
      </c>
    </row>
    <row r="5">
      <c r="B5" s="166" t="n"/>
      <c r="C5" s="166" t="n"/>
      <c r="D5" s="166" t="n"/>
      <c r="E5" s="166" t="n"/>
      <c r="F5" s="166" t="n"/>
    </row>
    <row r="6" s="308">
      <c r="A6" s="310" t="n"/>
      <c r="B6" s="166" t="n"/>
      <c r="C6" s="166" t="n"/>
      <c r="D6" s="166" t="n"/>
      <c r="E6" s="166" t="n"/>
      <c r="F6" s="166" t="n"/>
      <c r="G6" s="310" t="n"/>
      <c r="H6" s="310" t="n"/>
      <c r="I6" s="310" t="n"/>
      <c r="J6" s="310" t="n"/>
      <c r="K6" s="310" t="n"/>
      <c r="L6" s="310" t="n"/>
      <c r="M6" s="310" t="n"/>
      <c r="N6" s="310" t="n"/>
    </row>
    <row r="7" s="308">
      <c r="A7" s="310" t="n"/>
      <c r="B7" s="166" t="n"/>
      <c r="C7" s="166" t="n"/>
      <c r="D7" s="166" t="n"/>
      <c r="E7" s="166" t="n"/>
      <c r="F7" s="166" t="n"/>
      <c r="G7" s="310" t="n"/>
      <c r="H7" s="310" t="n"/>
      <c r="I7" s="310" t="n"/>
      <c r="J7" s="310" t="n"/>
      <c r="K7" s="310" t="n"/>
      <c r="L7" s="310" t="n"/>
      <c r="M7" s="310" t="n"/>
      <c r="N7" s="310" t="n"/>
    </row>
    <row r="8">
      <c r="B8" s="166" t="n"/>
      <c r="C8" s="166" t="n"/>
      <c r="D8" s="166" t="n"/>
      <c r="E8" s="166" t="n"/>
      <c r="F8" s="166" t="n"/>
    </row>
    <row r="9" ht="48.75" customHeight="1" s="308">
      <c r="B9" s="337" t="inlineStr">
        <is>
          <t>Наименование разрабатываемого показателя УНЦ — Сети связи. Аппаратура селекторной связи</t>
        </is>
      </c>
    </row>
    <row r="10" ht="31.5" customHeight="1" s="308">
      <c r="B10" s="337" t="inlineStr">
        <is>
          <t>Сопоставимый уровень цен: 3 кв 2021</t>
        </is>
      </c>
    </row>
    <row r="11">
      <c r="B11" s="337" t="inlineStr">
        <is>
          <t>Единица измерения  — 1 объект</t>
        </is>
      </c>
    </row>
    <row r="12">
      <c r="B12" s="337" t="n"/>
    </row>
    <row r="13">
      <c r="B13" s="340" t="inlineStr">
        <is>
          <t>№ п/п</t>
        </is>
      </c>
      <c r="C13" s="340" t="inlineStr">
        <is>
          <t>Параметр</t>
        </is>
      </c>
      <c r="D13" s="322" t="inlineStr">
        <is>
          <t>Объект-представитель 1</t>
        </is>
      </c>
      <c r="E13" s="322" t="n"/>
      <c r="F13" s="322" t="n"/>
    </row>
    <row r="14" ht="31.5" customHeight="1" s="308">
      <c r="B14" s="340" t="n">
        <v>1</v>
      </c>
      <c r="C14" s="322" t="inlineStr">
        <is>
          <t>Наименование объекта-представителя</t>
        </is>
      </c>
      <c r="D14" s="340" t="inlineStr">
        <is>
          <t>Строительство ПС 220 кВ Налдинская с заходами ВЛ 220 кВ</t>
        </is>
      </c>
      <c r="E14" s="322" t="n"/>
      <c r="F14" s="322" t="n"/>
    </row>
    <row r="15" ht="31.5" customHeight="1" s="308">
      <c r="B15" s="340" t="n">
        <v>2</v>
      </c>
      <c r="C15" s="322" t="inlineStr">
        <is>
          <t>Наименование субъекта Российской Федерации</t>
        </is>
      </c>
      <c r="D15" s="340" t="inlineStr">
        <is>
          <t>Республика Саха (Якутия)</t>
        </is>
      </c>
      <c r="E15" s="322" t="n"/>
      <c r="F15" s="322" t="n"/>
    </row>
    <row r="16">
      <c r="B16" s="340" t="n">
        <v>3</v>
      </c>
      <c r="C16" s="322" t="inlineStr">
        <is>
          <t>Климатический район и подрайон</t>
        </is>
      </c>
      <c r="D16" s="340" t="inlineStr">
        <is>
          <t>IД</t>
        </is>
      </c>
      <c r="E16" s="322" t="n"/>
      <c r="F16" s="322" t="n"/>
    </row>
    <row r="17">
      <c r="B17" s="340" t="n">
        <v>4</v>
      </c>
      <c r="C17" s="322" t="inlineStr">
        <is>
          <t>Мощность объекта</t>
        </is>
      </c>
      <c r="D17" s="340" t="n">
        <v>1</v>
      </c>
      <c r="E17" s="317" t="n"/>
      <c r="F17" s="317" t="n"/>
    </row>
    <row r="18" ht="94.5" customHeight="1" s="308">
      <c r="B18" s="340" t="n">
        <v>5</v>
      </c>
      <c r="C18" s="16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8" s="340" t="inlineStr">
        <is>
          <t>IP-телефон - 10 шт;
Аналоговый аппарат - 6 шт;
SIP конференц-телефон - 1 шт;
Видеотелефон - 2 шт;
Радиотрубка - 8 шт;
АРМ для администрирования - 1 шт</t>
        </is>
      </c>
      <c r="E18" s="322" t="n"/>
      <c r="F18" s="322" t="n"/>
    </row>
    <row r="19" ht="78.75" customHeight="1" s="308">
      <c r="B19" s="340" t="n">
        <v>6</v>
      </c>
      <c r="C19" s="16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9" s="170">
        <f>SUM(D20:D23)</f>
        <v/>
      </c>
      <c r="E19" s="170" t="n"/>
      <c r="F19" s="170" t="n"/>
    </row>
    <row r="20">
      <c r="B20" s="171" t="inlineStr">
        <is>
          <t>6.1</t>
        </is>
      </c>
      <c r="C20" s="322" t="inlineStr">
        <is>
          <t>строительно-монтажные работы</t>
        </is>
      </c>
      <c r="D20" s="170" t="n">
        <v>691.8973872</v>
      </c>
      <c r="E20" s="170" t="n"/>
      <c r="F20" s="170" t="n"/>
    </row>
    <row r="21" ht="15.75" customHeight="1" s="308">
      <c r="B21" s="171" t="inlineStr">
        <is>
          <t>6.2</t>
        </is>
      </c>
      <c r="C21" s="322" t="inlineStr">
        <is>
          <t>оборудование и инвентарь</t>
        </is>
      </c>
      <c r="D21" s="170">
        <f>1108.0385</f>
        <v/>
      </c>
      <c r="E21" s="170" t="n"/>
      <c r="F21" s="170" t="n"/>
    </row>
    <row r="22" ht="16.5" customHeight="1" s="308">
      <c r="B22" s="171" t="inlineStr">
        <is>
          <t>6.3</t>
        </is>
      </c>
      <c r="C22" s="322" t="inlineStr">
        <is>
          <t>пусконаладочные работы</t>
        </is>
      </c>
      <c r="D22" s="170" t="n"/>
      <c r="E22" s="170" t="n"/>
      <c r="F22" s="170" t="n"/>
      <c r="L22" s="423" t="n"/>
    </row>
    <row r="23" ht="35.25" customHeight="1" s="308">
      <c r="B23" s="171" t="inlineStr">
        <is>
          <t>6.4</t>
        </is>
      </c>
      <c r="C23" s="172" t="inlineStr">
        <is>
          <t>прочие и лимитированные затраты</t>
        </is>
      </c>
      <c r="D23" s="170">
        <f>D20*3.9%+(D20+D20*3.9%)*7%</f>
        <v/>
      </c>
      <c r="E23" s="170" t="n"/>
      <c r="F23" s="170" t="n"/>
    </row>
    <row r="24">
      <c r="B24" s="340" t="n">
        <v>7</v>
      </c>
      <c r="C24" s="172" t="inlineStr">
        <is>
          <t>Сопоставимый уровень цен</t>
        </is>
      </c>
      <c r="D24" s="340" t="inlineStr">
        <is>
          <t>3 кв 2021</t>
        </is>
      </c>
      <c r="E24" s="340" t="n"/>
      <c r="F24" s="170" t="n"/>
      <c r="G24" s="277" t="n"/>
    </row>
    <row r="25" ht="123" customHeight="1" s="308">
      <c r="B25" s="340" t="n">
        <v>8</v>
      </c>
      <c r="C25" s="17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5" s="170">
        <f>D19</f>
        <v/>
      </c>
      <c r="E25" s="170" t="n"/>
      <c r="F25" s="424" t="n"/>
    </row>
    <row r="26" ht="60.75" customHeight="1" s="308">
      <c r="B26" s="340" t="n">
        <v>9</v>
      </c>
      <c r="C26" s="169" t="inlineStr">
        <is>
          <t>Приведенная сметная стоимость на единицу мощности, тыс. руб. (строка 8/строку 4)</t>
        </is>
      </c>
      <c r="D26" s="170">
        <f>D25/D17</f>
        <v/>
      </c>
      <c r="E26" s="170" t="n"/>
      <c r="F26" s="170" t="n"/>
    </row>
    <row r="27" ht="122.25" customHeight="1" s="308">
      <c r="B27" s="340" t="n">
        <v>10</v>
      </c>
      <c r="C27" s="322" t="inlineStr">
        <is>
          <t>Примечание</t>
        </is>
      </c>
      <c r="D27" s="340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объект</t>
        </is>
      </c>
      <c r="E27" s="322" t="n"/>
      <c r="F27" s="322" t="n"/>
    </row>
    <row r="28">
      <c r="B28" s="175" t="n"/>
      <c r="C28" s="176" t="n"/>
      <c r="D28" s="176" t="n"/>
      <c r="E28" s="176" t="n"/>
      <c r="F28" s="176" t="n"/>
    </row>
    <row r="29" ht="37.5" customHeight="1" s="308">
      <c r="B29" s="177" t="n"/>
    </row>
    <row r="30">
      <c r="B30" s="310" t="inlineStr">
        <is>
          <t>Составил ______________________        Д.Ю. Нефедова</t>
        </is>
      </c>
    </row>
    <row r="31">
      <c r="B31" s="177" t="inlineStr">
        <is>
          <t xml:space="preserve">                         (подпись, инициалы, фамилия)</t>
        </is>
      </c>
    </row>
    <row r="33">
      <c r="B33" s="310" t="inlineStr">
        <is>
          <t>Проверил ______________________        А.В. Костянецкая</t>
        </is>
      </c>
    </row>
    <row r="34">
      <c r="B34" s="177" t="inlineStr">
        <is>
          <t xml:space="preserve">                        (подпись, инициалы, фамилия)</t>
        </is>
      </c>
    </row>
  </sheetData>
  <mergeCells count="5">
    <mergeCell ref="B4:F4"/>
    <mergeCell ref="B10:F10"/>
    <mergeCell ref="B11:F11"/>
    <mergeCell ref="B3:F3"/>
    <mergeCell ref="B9:F9"/>
  </mergeCells>
  <pageMargins left="0.7" right="0.7" top="0.75" bottom="0.75" header="0.3" footer="0.3"/>
  <pageSetup orientation="portrait" paperSize="9" scale="9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41"/>
  <sheetViews>
    <sheetView view="pageBreakPreview" zoomScale="70" zoomScaleNormal="70" workbookViewId="0">
      <selection activeCell="C22" sqref="C22"/>
    </sheetView>
  </sheetViews>
  <sheetFormatPr baseColWidth="8" defaultColWidth="9.140625" defaultRowHeight="15.75"/>
  <cols>
    <col width="5.5703125" customWidth="1" style="310" min="1" max="1"/>
    <col width="9.140625" customWidth="1" style="310" min="2" max="2"/>
    <col width="35.28515625" customWidth="1" style="310" min="3" max="3"/>
    <col width="13.85546875" customWidth="1" style="310" min="4" max="4"/>
    <col width="24.85546875" customWidth="1" style="310" min="5" max="5"/>
    <col width="15.5703125" customWidth="1" style="310" min="6" max="6"/>
    <col width="14.85546875" customWidth="1" style="310" min="7" max="7"/>
    <col width="16.7109375" customWidth="1" style="310" min="8" max="8"/>
    <col width="13" customWidth="1" style="310" min="9" max="10"/>
    <col width="18" customWidth="1" style="310" min="11" max="11"/>
    <col width="15.7109375" customWidth="1" style="310" min="12" max="12"/>
    <col width="9.140625" customWidth="1" style="310" min="13" max="13"/>
  </cols>
  <sheetData>
    <row r="3">
      <c r="B3" s="335" t="inlineStr">
        <is>
          <t>Приложение № 2</t>
        </is>
      </c>
      <c r="K3" s="177" t="n"/>
    </row>
    <row r="4">
      <c r="B4" s="336" t="inlineStr">
        <is>
          <t>Расчет стоимости основных видов работ для выбора объекта-представителя</t>
        </is>
      </c>
    </row>
    <row r="5">
      <c r="B5" s="166" t="n"/>
      <c r="C5" s="166" t="n"/>
      <c r="D5" s="166" t="n"/>
      <c r="E5" s="166" t="n"/>
      <c r="F5" s="166" t="n"/>
      <c r="G5" s="166" t="n"/>
      <c r="H5" s="166" t="n"/>
      <c r="I5" s="166" t="n"/>
      <c r="J5" s="166" t="n"/>
      <c r="K5" s="166" t="n"/>
    </row>
    <row r="6" ht="30" customHeight="1" s="308">
      <c r="B6" s="339" t="inlineStr">
        <is>
          <t>Наименование разрабатываемого показателя УНЦ — Сети связи. Аппаратура селекторной связи</t>
        </is>
      </c>
      <c r="K6" s="177" t="n"/>
      <c r="L6" s="235" t="n"/>
    </row>
    <row r="7">
      <c r="B7" s="337" t="inlineStr">
        <is>
          <t>Единица измерения  — 1 объект</t>
        </is>
      </c>
      <c r="L7" s="235" t="n"/>
    </row>
    <row r="8">
      <c r="B8" s="337" t="n"/>
    </row>
    <row r="9" ht="15.75" customHeight="1" s="308">
      <c r="B9" s="340" t="inlineStr">
        <is>
          <t>№ п/п</t>
        </is>
      </c>
      <c r="C9" s="3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0" t="inlineStr">
        <is>
          <t>Объект-представитель 1</t>
        </is>
      </c>
      <c r="E9" s="425" t="n"/>
      <c r="F9" s="425" t="n"/>
      <c r="G9" s="425" t="n"/>
      <c r="H9" s="425" t="n"/>
      <c r="I9" s="425" t="n"/>
      <c r="J9" s="426" t="n"/>
    </row>
    <row r="10" ht="15.75" customHeight="1" s="308">
      <c r="B10" s="427" t="n"/>
      <c r="C10" s="427" t="n"/>
      <c r="D10" s="340" t="inlineStr">
        <is>
          <t>Номер сметы</t>
        </is>
      </c>
      <c r="E10" s="340" t="inlineStr">
        <is>
          <t>Наименование сметы</t>
        </is>
      </c>
      <c r="F10" s="340" t="inlineStr">
        <is>
          <t>Сметная стоимость в уровне цен 3 кв. 2021 г., тыс. руб.</t>
        </is>
      </c>
      <c r="G10" s="425" t="n"/>
      <c r="H10" s="425" t="n"/>
      <c r="I10" s="425" t="n"/>
      <c r="J10" s="426" t="n"/>
    </row>
    <row r="11" ht="31.5" customHeight="1" s="308">
      <c r="B11" s="428" t="n"/>
      <c r="C11" s="428" t="n"/>
      <c r="D11" s="428" t="n"/>
      <c r="E11" s="428" t="n"/>
      <c r="F11" s="340" t="inlineStr">
        <is>
          <t>Строительные работы</t>
        </is>
      </c>
      <c r="G11" s="340" t="inlineStr">
        <is>
          <t>Монтажные работы</t>
        </is>
      </c>
      <c r="H11" s="340" t="inlineStr">
        <is>
          <t>Оборудование</t>
        </is>
      </c>
      <c r="I11" s="340" t="inlineStr">
        <is>
          <t>Прочее</t>
        </is>
      </c>
      <c r="J11" s="340" t="inlineStr">
        <is>
          <t>Всего</t>
        </is>
      </c>
    </row>
    <row r="12" ht="110.25" customHeight="1" s="308">
      <c r="B12" s="184" t="n">
        <v>1</v>
      </c>
      <c r="C12" s="272" t="inlineStr">
        <is>
          <t>IP-телефон - 10 шт;
Аналоговый аппарат - 6 шт;
SIP конференц-телефон - 1 шт;
Видеотелефон - 2 шт;
Радиотрубка - 8 шт;
АРМ для администрирования - 1 шт</t>
        </is>
      </c>
      <c r="D12" s="178" t="inlineStr">
        <is>
          <t>05-02-03</t>
        </is>
      </c>
      <c r="E12" s="322" t="inlineStr">
        <is>
          <t>Системы связи. Внутриобъектная связь</t>
        </is>
      </c>
      <c r="F12" s="237" t="n"/>
      <c r="G12" s="237" t="n">
        <v>691.8973872</v>
      </c>
      <c r="H12" s="237">
        <f>1108.0385</f>
        <v/>
      </c>
      <c r="I12" s="179" t="n"/>
      <c r="J12" s="180">
        <f>SUM(F12:I12)</f>
        <v/>
      </c>
      <c r="K12" s="423" t="n"/>
    </row>
    <row r="13" ht="15.75" customHeight="1" s="308">
      <c r="B13" s="338" t="inlineStr">
        <is>
          <t>Всего по объекту:</t>
        </is>
      </c>
      <c r="C13" s="425" t="n"/>
      <c r="D13" s="425" t="n"/>
      <c r="E13" s="426" t="n"/>
      <c r="F13" s="181">
        <f>SUM(F12:F12)</f>
        <v/>
      </c>
      <c r="G13" s="181">
        <f>SUM(G12:G12)</f>
        <v/>
      </c>
      <c r="H13" s="181">
        <f>SUM(H12:H12)</f>
        <v/>
      </c>
      <c r="I13" s="182" t="n"/>
      <c r="J13" s="183">
        <f>SUM(F13:I13)</f>
        <v/>
      </c>
    </row>
    <row r="14" ht="28.5" customHeight="1" s="308">
      <c r="B14" s="338" t="inlineStr">
        <is>
          <t>Всего по объекту в сопоставимом уровне цен 3 кв. 2021 г:</t>
        </is>
      </c>
      <c r="C14" s="425" t="n"/>
      <c r="D14" s="425" t="n"/>
      <c r="E14" s="426" t="n"/>
      <c r="F14" s="181">
        <f>F13</f>
        <v/>
      </c>
      <c r="G14" s="181">
        <f>G13</f>
        <v/>
      </c>
      <c r="H14" s="181">
        <f>H13</f>
        <v/>
      </c>
      <c r="I14" s="182" t="n"/>
      <c r="J14" s="183">
        <f>SUM(F14:I14)</f>
        <v/>
      </c>
    </row>
    <row r="15">
      <c r="B15" s="337" t="n"/>
    </row>
    <row r="18">
      <c r="B18" s="361" t="inlineStr">
        <is>
          <t>*</t>
        </is>
      </c>
      <c r="C18" s="310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310" t="inlineStr">
        <is>
          <t>Составил ______________________        Д.Ю. Нефедова</t>
        </is>
      </c>
    </row>
    <row r="23">
      <c r="B23" s="177" t="inlineStr">
        <is>
          <t xml:space="preserve">                         (подпись, инициалы, фамилия)</t>
        </is>
      </c>
    </row>
    <row r="25">
      <c r="B25" s="310" t="inlineStr">
        <is>
          <t>Проверил ______________________        А.В. Костянецкая</t>
        </is>
      </c>
    </row>
    <row r="26">
      <c r="B26" s="177" t="inlineStr">
        <is>
          <t xml:space="preserve">                        (подпись, инициалы, фамилия)</t>
        </is>
      </c>
    </row>
    <row r="41">
      <c r="I41" s="429" t="n"/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8"/>
  <sheetViews>
    <sheetView view="pageBreakPreview" topLeftCell="A51" zoomScale="70" workbookViewId="0">
      <selection activeCell="C64" sqref="C64"/>
    </sheetView>
  </sheetViews>
  <sheetFormatPr baseColWidth="8" defaultColWidth="9.140625" defaultRowHeight="15.75"/>
  <cols>
    <col width="9.140625" customWidth="1" style="310" min="1" max="1"/>
    <col width="12.5703125" customWidth="1" style="310" min="2" max="2"/>
    <col width="22.42578125" customWidth="1" style="310" min="3" max="3"/>
    <col width="49.7109375" customWidth="1" style="310" min="4" max="4"/>
    <col width="10.140625" customWidth="1" style="223" min="5" max="5"/>
    <col width="20.7109375" customWidth="1" style="310" min="6" max="6"/>
    <col width="16.140625" customWidth="1" style="310" min="7" max="7"/>
    <col width="16.7109375" customWidth="1" style="310" min="8" max="8"/>
    <col width="9.140625" customWidth="1" style="310" min="9" max="9"/>
    <col width="10.140625" customWidth="1" style="310" min="10" max="10"/>
    <col width="14" customWidth="1" style="310" min="11" max="11"/>
    <col width="9.140625" customWidth="1" style="310" min="12" max="12"/>
  </cols>
  <sheetData>
    <row r="2">
      <c r="A2" s="335" t="inlineStr">
        <is>
          <t xml:space="preserve">Приложение № 3 </t>
        </is>
      </c>
    </row>
    <row r="3">
      <c r="A3" s="336" t="inlineStr">
        <is>
          <t>Объектная ресурсная ведомость</t>
        </is>
      </c>
    </row>
    <row r="4">
      <c r="A4" s="337" t="n"/>
    </row>
    <row r="5" ht="41.25" customHeight="1" s="308">
      <c r="A5" s="339" t="inlineStr">
        <is>
          <t>Наименование разрабатываемого показателя УНЦ - Сети связи. Аппаратура селекторной связи</t>
        </is>
      </c>
    </row>
    <row r="6" s="308">
      <c r="A6" s="224" t="n"/>
      <c r="B6" s="224" t="n"/>
      <c r="C6" s="224" t="n"/>
      <c r="D6" s="224" t="n"/>
      <c r="E6" s="166" t="n"/>
      <c r="F6" s="224" t="n"/>
      <c r="G6" s="224" t="n"/>
      <c r="H6" s="224" t="n"/>
      <c r="I6" s="310" t="n"/>
      <c r="J6" s="310" t="n"/>
      <c r="K6" s="310" t="n"/>
      <c r="L6" s="310" t="n"/>
    </row>
    <row r="7" s="308">
      <c r="A7" s="224" t="n"/>
      <c r="B7" s="224" t="n"/>
      <c r="C7" s="224" t="n"/>
      <c r="D7" s="224" t="n"/>
      <c r="E7" s="166" t="n"/>
      <c r="F7" s="224" t="n"/>
      <c r="G7" s="224" t="n"/>
      <c r="H7" s="224" t="n"/>
      <c r="I7" s="310" t="n"/>
      <c r="J7" s="310" t="n"/>
      <c r="K7" s="310" t="n"/>
      <c r="L7" s="310" t="n"/>
    </row>
    <row r="8">
      <c r="A8" s="224" t="n"/>
      <c r="B8" s="224" t="n"/>
      <c r="C8" s="224" t="n"/>
      <c r="D8" s="224" t="n"/>
      <c r="E8" s="166" t="n"/>
      <c r="F8" s="224" t="n"/>
      <c r="G8" s="224" t="n"/>
      <c r="H8" s="224" t="n"/>
    </row>
    <row r="9" ht="38.25" customHeight="1" s="308">
      <c r="A9" s="340" t="inlineStr">
        <is>
          <t>п/п</t>
        </is>
      </c>
      <c r="B9" s="340" t="inlineStr">
        <is>
          <t>№ЛСР</t>
        </is>
      </c>
      <c r="C9" s="340" t="inlineStr">
        <is>
          <t>Код ресурса</t>
        </is>
      </c>
      <c r="D9" s="340" t="inlineStr">
        <is>
          <t>Наименование ресурса</t>
        </is>
      </c>
      <c r="E9" s="340" t="inlineStr">
        <is>
          <t>Ед. изм.</t>
        </is>
      </c>
      <c r="F9" s="340" t="inlineStr">
        <is>
          <t>Кол-во единиц по данным объекта-представителя</t>
        </is>
      </c>
      <c r="G9" s="340" t="inlineStr">
        <is>
          <t>Сметная стоимость в ценах на 01.01.2000 (руб.)</t>
        </is>
      </c>
      <c r="H9" s="426" t="n"/>
    </row>
    <row r="10" ht="40.5" customHeight="1" s="308">
      <c r="A10" s="428" t="n"/>
      <c r="B10" s="428" t="n"/>
      <c r="C10" s="428" t="n"/>
      <c r="D10" s="428" t="n"/>
      <c r="E10" s="428" t="n"/>
      <c r="F10" s="428" t="n"/>
      <c r="G10" s="340" t="inlineStr">
        <is>
          <t>на ед.изм.</t>
        </is>
      </c>
      <c r="H10" s="340" t="inlineStr">
        <is>
          <t>общая</t>
        </is>
      </c>
    </row>
    <row r="11">
      <c r="A11" s="272" t="n">
        <v>1</v>
      </c>
      <c r="B11" s="272" t="n"/>
      <c r="C11" s="272" t="n">
        <v>2</v>
      </c>
      <c r="D11" s="272" t="inlineStr">
        <is>
          <t>З</t>
        </is>
      </c>
      <c r="E11" s="272" t="n">
        <v>4</v>
      </c>
      <c r="F11" s="272" t="n">
        <v>5</v>
      </c>
      <c r="G11" s="272" t="n">
        <v>6</v>
      </c>
      <c r="H11" s="272" t="n">
        <v>7</v>
      </c>
    </row>
    <row r="12" customFormat="1" s="299">
      <c r="A12" s="341" t="inlineStr">
        <is>
          <t>Затраты труда рабочих</t>
        </is>
      </c>
      <c r="B12" s="425" t="n"/>
      <c r="C12" s="425" t="n"/>
      <c r="D12" s="425" t="n"/>
      <c r="E12" s="426" t="n"/>
      <c r="F12" s="226" t="n">
        <v>475.2825</v>
      </c>
      <c r="G12" s="226" t="n"/>
      <c r="H12" s="226">
        <f>SUM(H13:H15)</f>
        <v/>
      </c>
    </row>
    <row r="13">
      <c r="A13" s="342" t="n">
        <v>1</v>
      </c>
      <c r="B13" s="229" t="inlineStr">
        <is>
          <t> </t>
        </is>
      </c>
      <c r="C13" s="230" t="inlineStr">
        <is>
          <t>1-3-5</t>
        </is>
      </c>
      <c r="D13" s="343" t="inlineStr">
        <is>
          <t>Затраты труда рабочих (ср 3,5)</t>
        </is>
      </c>
      <c r="E13" s="232" t="inlineStr">
        <is>
          <t>чел.-ч</t>
        </is>
      </c>
      <c r="F13" s="342" t="n">
        <v>263.15</v>
      </c>
      <c r="G13" s="185" t="n">
        <v>9.07</v>
      </c>
      <c r="H13" s="185">
        <f>ROUND(F13*G13,2)</f>
        <v/>
      </c>
      <c r="K13" s="430" t="n"/>
      <c r="L13" s="252" t="n"/>
    </row>
    <row r="14">
      <c r="A14" s="342" t="n">
        <v>2</v>
      </c>
      <c r="B14" s="229" t="inlineStr">
        <is>
          <t> </t>
        </is>
      </c>
      <c r="C14" s="230" t="inlineStr">
        <is>
          <t>1-4-0</t>
        </is>
      </c>
      <c r="D14" s="343" t="inlineStr">
        <is>
          <t>Затраты труда рабочих (ср 4)</t>
        </is>
      </c>
      <c r="E14" s="232" t="inlineStr">
        <is>
          <t>чел.-ч</t>
        </is>
      </c>
      <c r="F14" s="342" t="n">
        <v>171.1325</v>
      </c>
      <c r="G14" s="185" t="n">
        <v>9.619999999999999</v>
      </c>
      <c r="H14" s="185">
        <f>ROUND(F14*G14,2)</f>
        <v/>
      </c>
      <c r="L14" s="299" t="n"/>
    </row>
    <row r="15">
      <c r="A15" s="342" t="n">
        <v>3</v>
      </c>
      <c r="B15" s="229" t="inlineStr">
        <is>
          <t> </t>
        </is>
      </c>
      <c r="C15" s="230" t="inlineStr">
        <is>
          <t>1-3-0</t>
        </is>
      </c>
      <c r="D15" s="343" t="inlineStr">
        <is>
          <t>Затраты труда рабочих (ср 3)</t>
        </is>
      </c>
      <c r="E15" s="232" t="inlineStr">
        <is>
          <t>чел.-ч</t>
        </is>
      </c>
      <c r="F15" s="342" t="n">
        <v>41</v>
      </c>
      <c r="G15" s="185" t="n">
        <v>8.529999999999999</v>
      </c>
      <c r="H15" s="185">
        <f>ROUND(F15*G15,2)</f>
        <v/>
      </c>
      <c r="L15" s="299" t="n"/>
    </row>
    <row r="16">
      <c r="A16" s="341" t="inlineStr">
        <is>
          <t>Затраты труда машинистов</t>
        </is>
      </c>
      <c r="B16" s="425" t="n"/>
      <c r="C16" s="425" t="n"/>
      <c r="D16" s="425" t="n"/>
      <c r="E16" s="426" t="n"/>
      <c r="F16" s="341" t="n">
        <v>9.632999999999999</v>
      </c>
      <c r="G16" s="226" t="n"/>
      <c r="H16" s="226">
        <f>H17</f>
        <v/>
      </c>
    </row>
    <row r="17">
      <c r="A17" s="342" t="n">
        <v>4</v>
      </c>
      <c r="B17" s="342" t="inlineStr">
        <is>
          <t> </t>
        </is>
      </c>
      <c r="C17" s="326" t="n">
        <v>2</v>
      </c>
      <c r="D17" s="343" t="inlineStr">
        <is>
          <t>Затраты труда машинистов</t>
        </is>
      </c>
      <c r="E17" s="232" t="inlineStr">
        <is>
          <t>чел.-ч</t>
        </is>
      </c>
      <c r="F17" s="342" t="n">
        <v>9.632999999999999</v>
      </c>
      <c r="G17" s="185" t="n"/>
      <c r="H17" s="185" t="n">
        <v>96.91</v>
      </c>
    </row>
    <row r="18" customFormat="1" s="299">
      <c r="A18" s="341" t="inlineStr">
        <is>
          <t>Машины и механизмы</t>
        </is>
      </c>
      <c r="B18" s="425" t="n"/>
      <c r="C18" s="425" t="n"/>
      <c r="D18" s="425" t="n"/>
      <c r="E18" s="426" t="n"/>
      <c r="F18" s="341" t="n"/>
      <c r="G18" s="226" t="n"/>
      <c r="H18" s="226">
        <f>SUM(H19:H19)</f>
        <v/>
      </c>
    </row>
    <row r="19">
      <c r="A19" s="342" t="n">
        <v>5</v>
      </c>
      <c r="B19" s="342" t="inlineStr">
        <is>
          <t> </t>
        </is>
      </c>
      <c r="C19" s="326" t="inlineStr">
        <is>
          <t>91.06.05-011</t>
        </is>
      </c>
      <c r="D19" s="343" t="inlineStr">
        <is>
          <t>Погрузчики, грузоподъемность 5 т</t>
        </is>
      </c>
      <c r="E19" s="232" t="inlineStr">
        <is>
          <t>маш.час</t>
        </is>
      </c>
      <c r="F19" s="342" t="n">
        <v>9.632999999999999</v>
      </c>
      <c r="G19" s="185" t="n">
        <v>89.98999999999999</v>
      </c>
      <c r="H19" s="185">
        <f>ROUND(F19*G19,2)</f>
        <v/>
      </c>
      <c r="J19" s="234" t="n"/>
    </row>
    <row r="20">
      <c r="A20" s="341" t="inlineStr">
        <is>
          <t>Оборудование</t>
        </is>
      </c>
      <c r="B20" s="425" t="n"/>
      <c r="C20" s="425" t="n"/>
      <c r="D20" s="425" t="n"/>
      <c r="E20" s="426" t="n"/>
      <c r="F20" s="341" t="n"/>
      <c r="G20" s="226" t="n"/>
      <c r="H20" s="226">
        <f>SUM(H21:H30)</f>
        <v/>
      </c>
    </row>
    <row r="21" ht="47.25" customFormat="1" customHeight="1" s="299">
      <c r="A21" s="342" t="n">
        <v>6</v>
      </c>
      <c r="B21" s="342" t="inlineStr">
        <is>
          <t> </t>
        </is>
      </c>
      <c r="C21" s="326" t="inlineStr">
        <is>
          <t>Прайс из СД ОП</t>
        </is>
      </c>
      <c r="D21" s="343" t="inlineStr">
        <is>
          <t>IP-телефон OpenScape Desk Phone CP600, L30250-F600-C428 ООО «Юнител Инжиниринг»</t>
        </is>
      </c>
      <c r="E21" s="232" t="inlineStr">
        <is>
          <t>шт</t>
        </is>
      </c>
      <c r="F21" s="342" t="n">
        <v>10</v>
      </c>
      <c r="G21" s="185" t="n">
        <v>5065.37</v>
      </c>
      <c r="H21" s="185">
        <f>ROUND(F21*G21,2)</f>
        <v/>
      </c>
      <c r="J21" s="234" t="n"/>
    </row>
    <row r="22" ht="63" customFormat="1" customHeight="1" s="299">
      <c r="A22" s="342" t="n">
        <v>7</v>
      </c>
      <c r="B22" s="342" t="inlineStr">
        <is>
          <t> </t>
        </is>
      </c>
      <c r="C22" s="326" t="inlineStr">
        <is>
          <t>Прайс из СД ОП</t>
        </is>
      </c>
      <c r="D22" s="343" t="inlineStr">
        <is>
          <t>Ноутбук H P ProBook 650 G5 15.6" FHD/ Core i7 8565U/ 16GB/ 512GB SSD/ DVD-RW/ Cam/ BT/ WiFi/ Win 10 Pro, серебристый HP ProBook 650, ООО «Юнител Инжиниринг»</t>
        </is>
      </c>
      <c r="E22" s="232" t="inlineStr">
        <is>
          <t>к-т</t>
        </is>
      </c>
      <c r="F22" s="342" t="n">
        <v>1</v>
      </c>
      <c r="G22" s="185" t="n">
        <v>76198.09</v>
      </c>
      <c r="H22" s="185">
        <f>ROUND(F22*G22,2)</f>
        <v/>
      </c>
      <c r="J22" s="234" t="n"/>
    </row>
    <row r="23" customFormat="1" s="299">
      <c r="A23" s="342" t="n">
        <v>8</v>
      </c>
      <c r="B23" s="342" t="inlineStr">
        <is>
          <t> </t>
        </is>
      </c>
      <c r="C23" s="326" t="inlineStr">
        <is>
          <t>61.1.04.09-0031</t>
        </is>
      </c>
      <c r="D23" s="343" t="inlineStr">
        <is>
          <t>Мини АТС Panasonic марки KX-TES 824RU</t>
        </is>
      </c>
      <c r="E23" s="232" t="inlineStr">
        <is>
          <t>шт</t>
        </is>
      </c>
      <c r="F23" s="342" t="n">
        <v>8</v>
      </c>
      <c r="G23" s="185" t="n">
        <v>2980.98</v>
      </c>
      <c r="H23" s="185">
        <f>ROUND(F23*G23,2)</f>
        <v/>
      </c>
      <c r="J23" s="234" t="n"/>
    </row>
    <row r="24" ht="31.5" customFormat="1" customHeight="1" s="299">
      <c r="A24" s="342" t="n">
        <v>9</v>
      </c>
      <c r="B24" s="342" t="inlineStr">
        <is>
          <t> </t>
        </is>
      </c>
      <c r="C24" s="326" t="inlineStr">
        <is>
          <t>62.4.02.01-0069</t>
        </is>
      </c>
      <c r="D24" s="343" t="inlineStr">
        <is>
          <t>Источник бесперебойного питания: СКАТ-1200М</t>
        </is>
      </c>
      <c r="E24" s="232" t="inlineStr">
        <is>
          <t>шт</t>
        </is>
      </c>
      <c r="F24" s="342" t="n">
        <v>8</v>
      </c>
      <c r="G24" s="185" t="n">
        <v>1818.11</v>
      </c>
      <c r="H24" s="185">
        <f>ROUND(F24*G24,2)</f>
        <v/>
      </c>
      <c r="J24" s="234" t="n"/>
    </row>
    <row r="25" customFormat="1" s="299">
      <c r="A25" s="342" t="n">
        <v>10</v>
      </c>
      <c r="B25" s="342" t="inlineStr">
        <is>
          <t> </t>
        </is>
      </c>
      <c r="C25" s="326" t="inlineStr">
        <is>
          <t>Прайс из СД ОП</t>
        </is>
      </c>
      <c r="D25" s="343" t="inlineStr">
        <is>
          <t>SIP-видеотелефоны</t>
        </is>
      </c>
      <c r="E25" s="232" t="inlineStr">
        <is>
          <t>шт</t>
        </is>
      </c>
      <c r="F25" s="342" t="n">
        <v>2</v>
      </c>
      <c r="G25" s="185" t="n">
        <v>5065.37</v>
      </c>
      <c r="H25" s="185">
        <f>ROUND(F25*G25,2)</f>
        <v/>
      </c>
      <c r="J25" s="234" t="n"/>
      <c r="K25" s="234" t="n"/>
    </row>
    <row r="26" ht="47.25" customFormat="1" customHeight="1" s="299">
      <c r="A26" s="342" t="n">
        <v>11</v>
      </c>
      <c r="B26" s="342" t="inlineStr">
        <is>
          <t> </t>
        </is>
      </c>
      <c r="C26" s="326" t="inlineStr">
        <is>
          <t>Прайс из СД ОП</t>
        </is>
      </c>
      <c r="D26" s="343" t="inlineStr">
        <is>
          <t>Grandstream GAC2500 - SIP конференц-телефон, ЖКД, русифицированное меню, питание PоE, ООО «Юнител Инжиниринг»</t>
        </is>
      </c>
      <c r="E26" s="232" t="inlineStr">
        <is>
          <t>шт</t>
        </is>
      </c>
      <c r="F26" s="342" t="n">
        <v>1</v>
      </c>
      <c r="G26" s="185" t="n">
        <v>8045.01</v>
      </c>
      <c r="H26" s="185">
        <f>ROUND(F26*G26,2)</f>
        <v/>
      </c>
      <c r="J26" s="234" t="n"/>
    </row>
    <row r="27" ht="31.5" customFormat="1" customHeight="1" s="299">
      <c r="A27" s="342" t="n">
        <v>12</v>
      </c>
      <c r="B27" s="342" t="inlineStr">
        <is>
          <t> </t>
        </is>
      </c>
      <c r="C27" s="326" t="inlineStr">
        <is>
          <t>61.2.07.05-0056</t>
        </is>
      </c>
      <c r="D27" s="343" t="inlineStr">
        <is>
          <t>Модуль ресурсов IP-телефонии IPO 500 MC VCM на 64 канала</t>
        </is>
      </c>
      <c r="E27" s="232" t="inlineStr">
        <is>
          <t>шт</t>
        </is>
      </c>
      <c r="F27" s="342" t="n">
        <v>2</v>
      </c>
      <c r="G27" s="185" t="n">
        <v>3850.19</v>
      </c>
      <c r="H27" s="185">
        <f>ROUND(F27*G27,2)</f>
        <v/>
      </c>
      <c r="J27" s="234" t="n"/>
    </row>
    <row r="28" ht="31.5" customFormat="1" customHeight="1" s="299">
      <c r="A28" s="342" t="n">
        <v>13</v>
      </c>
      <c r="B28" s="342" t="inlineStr">
        <is>
          <t> </t>
        </is>
      </c>
      <c r="C28" s="326" t="inlineStr">
        <is>
          <t>Прайс из СД ОП</t>
        </is>
      </c>
      <c r="D28" s="343" t="inlineStr">
        <is>
          <t>Аналоговый аппарат Panasonic KX-TS2350, ООО «Юнител Инжиниринг»</t>
        </is>
      </c>
      <c r="E28" s="232" t="inlineStr">
        <is>
          <t>шт</t>
        </is>
      </c>
      <c r="F28" s="342" t="n">
        <v>6</v>
      </c>
      <c r="G28" s="185" t="n">
        <v>1018.37</v>
      </c>
      <c r="H28" s="185">
        <f>ROUND(F28*G28,2)</f>
        <v/>
      </c>
      <c r="J28" s="234" t="n"/>
    </row>
    <row r="29" customFormat="1" s="299">
      <c r="A29" s="342" t="n">
        <v>14</v>
      </c>
      <c r="B29" s="342" t="inlineStr">
        <is>
          <t> </t>
        </is>
      </c>
      <c r="C29" s="326" t="inlineStr">
        <is>
          <t>62.4.02.04-0003</t>
        </is>
      </c>
      <c r="D29" s="343" t="inlineStr">
        <is>
          <t>Блок питания DR-15-12 220В/12В, 15 Вт</t>
        </is>
      </c>
      <c r="E29" s="232" t="inlineStr">
        <is>
          <t>шт</t>
        </is>
      </c>
      <c r="F29" s="342" t="n">
        <v>10</v>
      </c>
      <c r="G29" s="185" t="n">
        <v>177.38</v>
      </c>
      <c r="H29" s="185">
        <f>ROUND(F29*G29,2)</f>
        <v/>
      </c>
      <c r="J29" s="234" t="n"/>
    </row>
    <row r="30" ht="31.5" customFormat="1" customHeight="1" s="299">
      <c r="A30" s="342" t="n">
        <v>15</v>
      </c>
      <c r="B30" s="342" t="inlineStr">
        <is>
          <t> </t>
        </is>
      </c>
      <c r="C30" s="326" t="inlineStr">
        <is>
          <t>61.1.04.03-1009</t>
        </is>
      </c>
      <c r="D30" s="343" t="inlineStr">
        <is>
          <t>Преобразователь интерфейса USB/RS-485 с гальванической развязкой</t>
        </is>
      </c>
      <c r="E30" s="232" t="inlineStr">
        <is>
          <t>шт</t>
        </is>
      </c>
      <c r="F30" s="342" t="n">
        <v>1</v>
      </c>
      <c r="G30" s="185" t="n">
        <v>282.84</v>
      </c>
      <c r="H30" s="185">
        <f>ROUND(F30*G30,2)</f>
        <v/>
      </c>
      <c r="J30" s="234" t="n"/>
    </row>
    <row r="31">
      <c r="A31" s="341" t="inlineStr">
        <is>
          <t>Материалы</t>
        </is>
      </c>
      <c r="B31" s="425" t="n"/>
      <c r="C31" s="425" t="n"/>
      <c r="D31" s="425" t="n"/>
      <c r="E31" s="426" t="n"/>
      <c r="F31" s="341" t="n"/>
      <c r="G31" s="226" t="n"/>
      <c r="H31" s="226">
        <f>SUM(H32:H61)</f>
        <v/>
      </c>
    </row>
    <row r="32">
      <c r="A32" s="342" t="n">
        <v>16</v>
      </c>
      <c r="B32" s="342" t="inlineStr">
        <is>
          <t> </t>
        </is>
      </c>
      <c r="C32" s="326" t="inlineStr">
        <is>
          <t>21.1.04.08-0018</t>
        </is>
      </c>
      <c r="D32" s="343" t="inlineStr">
        <is>
          <t>Кабель телефонный ТППэп 10х2х0,5</t>
        </is>
      </c>
      <c r="E32" s="232" t="inlineStr">
        <is>
          <t>1000 м</t>
        </is>
      </c>
      <c r="F32" s="342" t="n">
        <v>5.5</v>
      </c>
      <c r="G32" s="185" t="n">
        <v>7910.99</v>
      </c>
      <c r="H32" s="185">
        <f>ROUND(F32*G32,2)</f>
        <v/>
      </c>
      <c r="J32" s="234" t="n"/>
    </row>
    <row r="33">
      <c r="A33" s="342" t="n">
        <v>17</v>
      </c>
      <c r="B33" s="342" t="inlineStr">
        <is>
          <t> </t>
        </is>
      </c>
      <c r="C33" s="326" t="inlineStr">
        <is>
          <t>21.1.04.08-0018</t>
        </is>
      </c>
      <c r="D33" s="343" t="inlineStr">
        <is>
          <t>Кабель телефонный ТППэп 10х2х0,5</t>
        </is>
      </c>
      <c r="E33" s="232" t="inlineStr">
        <is>
          <t>1000 м</t>
        </is>
      </c>
      <c r="F33" s="342" t="n">
        <v>0.80325</v>
      </c>
      <c r="G33" s="185" t="n">
        <v>7910.99</v>
      </c>
      <c r="H33" s="185">
        <f>ROUND(F33*G33,2)</f>
        <v/>
      </c>
      <c r="J33" s="234" t="n"/>
    </row>
    <row r="34" ht="31.5" customHeight="1" s="308">
      <c r="A34" s="342" t="n">
        <v>18</v>
      </c>
      <c r="B34" s="342" t="inlineStr">
        <is>
          <t> </t>
        </is>
      </c>
      <c r="C34" s="326" t="inlineStr">
        <is>
          <t>61.3.05.03-0012</t>
        </is>
      </c>
      <c r="D34" s="343" t="inlineStr">
        <is>
          <t>Патч-панель RJ-45 110, категория 5е, на 12 портов настенная, с подставкой</t>
        </is>
      </c>
      <c r="E34" s="232" t="inlineStr">
        <is>
          <t>шт</t>
        </is>
      </c>
      <c r="F34" s="342" t="n">
        <v>34</v>
      </c>
      <c r="G34" s="185" t="n">
        <v>97.97</v>
      </c>
      <c r="H34" s="185">
        <f>ROUND(F34*G34,2)</f>
        <v/>
      </c>
      <c r="J34" s="234" t="n"/>
      <c r="K34" s="234" t="n"/>
    </row>
    <row r="35">
      <c r="A35" s="342" t="n">
        <v>19</v>
      </c>
      <c r="B35" s="342" t="inlineStr">
        <is>
          <t> </t>
        </is>
      </c>
      <c r="C35" s="326" t="inlineStr">
        <is>
          <t>22.2.02.15-0003</t>
        </is>
      </c>
      <c r="D35" s="343" t="inlineStr">
        <is>
          <t>Скрепы фигурные СкФ-30</t>
        </is>
      </c>
      <c r="E35" s="232" t="inlineStr">
        <is>
          <t>100 шт</t>
        </is>
      </c>
      <c r="F35" s="342" t="n">
        <v>18.252</v>
      </c>
      <c r="G35" s="185" t="n">
        <v>155.74</v>
      </c>
      <c r="H35" s="185">
        <f>ROUND(F35*G35,2)</f>
        <v/>
      </c>
      <c r="J35" s="234" t="n"/>
    </row>
    <row r="36">
      <c r="A36" s="342" t="n">
        <v>20</v>
      </c>
      <c r="B36" s="342" t="inlineStr">
        <is>
          <t> </t>
        </is>
      </c>
      <c r="C36" s="326" t="inlineStr">
        <is>
          <t>20.5.02.06-0030</t>
        </is>
      </c>
      <c r="D36" s="343" t="inlineStr">
        <is>
          <t>Коробка разветвительная У-994</t>
        </is>
      </c>
      <c r="E36" s="232" t="inlineStr">
        <is>
          <t>10 шт</t>
        </is>
      </c>
      <c r="F36" s="342" t="n">
        <v>0.5</v>
      </c>
      <c r="G36" s="185" t="n">
        <v>208.2</v>
      </c>
      <c r="H36" s="185">
        <f>ROUND(F36*G36,2)</f>
        <v/>
      </c>
      <c r="J36" s="234" t="n"/>
    </row>
    <row r="37">
      <c r="A37" s="342" t="n">
        <v>21</v>
      </c>
      <c r="B37" s="342" t="inlineStr">
        <is>
          <t> </t>
        </is>
      </c>
      <c r="C37" s="326" t="inlineStr">
        <is>
          <t>01.7.15.14-0168</t>
        </is>
      </c>
      <c r="D37" s="343" t="inlineStr">
        <is>
          <t>Шурупы с полукруглой головкой 5х70 мм</t>
        </is>
      </c>
      <c r="E37" s="232" t="inlineStr">
        <is>
          <t>т</t>
        </is>
      </c>
      <c r="F37" s="342" t="n">
        <v>0.0081315</v>
      </c>
      <c r="G37" s="185" t="n">
        <v>12430</v>
      </c>
      <c r="H37" s="185">
        <f>ROUND(F37*G37,2)</f>
        <v/>
      </c>
      <c r="J37" s="234" t="n"/>
    </row>
    <row r="38" ht="31.5" customHeight="1" s="308">
      <c r="A38" s="342" t="n">
        <v>22</v>
      </c>
      <c r="B38" s="342" t="inlineStr">
        <is>
          <t> </t>
        </is>
      </c>
      <c r="C38" s="326" t="inlineStr">
        <is>
          <t>999-9950</t>
        </is>
      </c>
      <c r="D38" s="343" t="inlineStr">
        <is>
          <t>Вспомогательные ненормируемые ресурсы (2% от Оплаты труда рабочих)</t>
        </is>
      </c>
      <c r="E38" s="232" t="inlineStr">
        <is>
          <t>руб</t>
        </is>
      </c>
      <c r="F38" s="342" t="n">
        <v>87.64449999999999</v>
      </c>
      <c r="G38" s="185" t="n">
        <v>1</v>
      </c>
      <c r="H38" s="185">
        <f>ROUND(F38*G38,2)</f>
        <v/>
      </c>
      <c r="J38" s="234" t="n"/>
    </row>
    <row r="39" ht="78.75" customHeight="1" s="308">
      <c r="A39" s="342" t="n">
        <v>23</v>
      </c>
      <c r="B39" s="342" t="inlineStr">
        <is>
          <t> </t>
        </is>
      </c>
      <c r="C39" s="326" t="inlineStr">
        <is>
          <t>01.7.15.10-0056</t>
        </is>
      </c>
      <c r="D39" s="343" t="inlineStr">
        <is>
      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      </is>
      </c>
      <c r="E39" s="232" t="inlineStr">
        <is>
          <t>10 шт</t>
        </is>
      </c>
      <c r="F39" s="342" t="n">
        <v>2.8</v>
      </c>
      <c r="G39" s="185" t="n">
        <v>22.61</v>
      </c>
      <c r="H39" s="185">
        <f>ROUND(F39*G39,2)</f>
        <v/>
      </c>
      <c r="J39" s="234" t="n"/>
    </row>
    <row r="40" ht="31.5" customHeight="1" s="308">
      <c r="A40" s="342" t="n">
        <v>24</v>
      </c>
      <c r="B40" s="342" t="inlineStr">
        <is>
          <t> </t>
        </is>
      </c>
      <c r="C40" s="326" t="inlineStr">
        <is>
          <t>01.7.15.07-0012</t>
        </is>
      </c>
      <c r="D40" s="343" t="inlineStr">
        <is>
          <t>Дюбели пластмассовые с шурупами, размер 12х70 мм</t>
        </is>
      </c>
      <c r="E40" s="232" t="inlineStr">
        <is>
          <t>100 шт</t>
        </is>
      </c>
      <c r="F40" s="342" t="n">
        <v>0.74</v>
      </c>
      <c r="G40" s="185" t="n">
        <v>83</v>
      </c>
      <c r="H40" s="185">
        <f>ROUND(F40*G40,2)</f>
        <v/>
      </c>
      <c r="J40" s="234" t="n"/>
    </row>
    <row r="41" ht="31.5" customHeight="1" s="308">
      <c r="A41" s="342" t="n">
        <v>25</v>
      </c>
      <c r="B41" s="342" t="inlineStr">
        <is>
          <t> </t>
        </is>
      </c>
      <c r="C41" s="326" t="inlineStr">
        <is>
          <t>20.4.03.03-0014</t>
        </is>
      </c>
      <c r="D41" s="343" t="inlineStr">
        <is>
          <t>Розетка телефонная для скрытой проводки, РТ-4, белая</t>
        </is>
      </c>
      <c r="E41" s="232" t="inlineStr">
        <is>
          <t>100 шт</t>
        </is>
      </c>
      <c r="F41" s="342" t="n">
        <v>0.07000000000000001</v>
      </c>
      <c r="G41" s="185" t="n">
        <v>769</v>
      </c>
      <c r="H41" s="185">
        <f>ROUND(F41*G41,2)</f>
        <v/>
      </c>
      <c r="J41" s="234" t="n"/>
    </row>
    <row r="42">
      <c r="A42" s="342" t="n">
        <v>26</v>
      </c>
      <c r="B42" s="342" t="inlineStr">
        <is>
          <t> </t>
        </is>
      </c>
      <c r="C42" s="326" t="inlineStr">
        <is>
          <t>11.2.04.03-0001</t>
        </is>
      </c>
      <c r="D42" s="343" t="inlineStr">
        <is>
          <t>Подрозетники деревянные</t>
        </is>
      </c>
      <c r="E42" s="232" t="inlineStr">
        <is>
          <t>100 шт</t>
        </is>
      </c>
      <c r="F42" s="342" t="n">
        <v>0.14</v>
      </c>
      <c r="G42" s="185" t="n">
        <v>216</v>
      </c>
      <c r="H42" s="185">
        <f>ROUND(F42*G42,2)</f>
        <v/>
      </c>
      <c r="J42" s="234" t="n"/>
    </row>
    <row r="43">
      <c r="A43" s="342" t="n">
        <v>27</v>
      </c>
      <c r="B43" s="342" t="inlineStr">
        <is>
          <t> </t>
        </is>
      </c>
      <c r="C43" s="326" t="inlineStr">
        <is>
          <t>01.7.20.04-0002</t>
        </is>
      </c>
      <c r="D43" s="343" t="inlineStr">
        <is>
          <t>Нитки капроновые</t>
        </is>
      </c>
      <c r="E43" s="232" t="inlineStr">
        <is>
          <t>кг</t>
        </is>
      </c>
      <c r="F43" s="342" t="n">
        <v>0.2275</v>
      </c>
      <c r="G43" s="185" t="n">
        <v>112.57</v>
      </c>
      <c r="H43" s="185">
        <f>ROUND(F43*G43,2)</f>
        <v/>
      </c>
      <c r="J43" s="234" t="n"/>
    </row>
    <row r="44" ht="31.5" customHeight="1" s="308">
      <c r="A44" s="342" t="n">
        <v>28</v>
      </c>
      <c r="B44" s="342" t="inlineStr">
        <is>
          <t> </t>
        </is>
      </c>
      <c r="C44" s="326" t="inlineStr">
        <is>
          <t>10.3.02.03-0012</t>
        </is>
      </c>
      <c r="D44" s="343" t="inlineStr">
        <is>
          <t>Припои оловянно-свинцовые бессурьмянистые, марка ПОС40</t>
        </is>
      </c>
      <c r="E44" s="232" t="inlineStr">
        <is>
          <t>т</t>
        </is>
      </c>
      <c r="F44" s="342" t="n">
        <v>0.00034</v>
      </c>
      <c r="G44" s="185" t="n">
        <v>65750</v>
      </c>
      <c r="H44" s="185">
        <f>ROUND(F44*G44,2)</f>
        <v/>
      </c>
      <c r="J44" s="234" t="n"/>
    </row>
    <row r="45">
      <c r="A45" s="342" t="n">
        <v>29</v>
      </c>
      <c r="B45" s="342" t="inlineStr">
        <is>
          <t> </t>
        </is>
      </c>
      <c r="C45" s="326" t="inlineStr">
        <is>
          <t>08.3.03.04-0012</t>
        </is>
      </c>
      <c r="D45" s="343" t="inlineStr">
        <is>
          <t>Проволока светлая, диаметр 1,1 мм</t>
        </is>
      </c>
      <c r="E45" s="232" t="inlineStr">
        <is>
          <t>т</t>
        </is>
      </c>
      <c r="F45" s="342" t="n">
        <v>0.002106</v>
      </c>
      <c r="G45" s="185" t="n">
        <v>10200</v>
      </c>
      <c r="H45" s="185">
        <f>ROUND(F45*G45,2)</f>
        <v/>
      </c>
      <c r="J45" s="234" t="n"/>
    </row>
    <row r="46" ht="47.25" customHeight="1" s="308">
      <c r="A46" s="342" t="n">
        <v>30</v>
      </c>
      <c r="B46" s="342" t="inlineStr">
        <is>
          <t> </t>
        </is>
      </c>
      <c r="C46" s="326" t="inlineStr">
        <is>
          <t>01.7.06.05-0042</t>
        </is>
      </c>
      <c r="D46" s="343" t="inlineStr">
        <is>
          <t>Лента липкая изоляционная на поликасиновом компаунде, ширина 20-30 мм, толщина от 0,14 до 0,19 мм</t>
        </is>
      </c>
      <c r="E46" s="232" t="inlineStr">
        <is>
          <t>кг</t>
        </is>
      </c>
      <c r="F46" s="342" t="n">
        <v>0.201</v>
      </c>
      <c r="G46" s="185" t="n">
        <v>91.29000000000001</v>
      </c>
      <c r="H46" s="185">
        <f>ROUND(F46*G46,2)</f>
        <v/>
      </c>
      <c r="J46" s="234" t="n"/>
    </row>
    <row r="47">
      <c r="A47" s="342" t="n">
        <v>31</v>
      </c>
      <c r="B47" s="342" t="inlineStr">
        <is>
          <t> </t>
        </is>
      </c>
      <c r="C47" s="326" t="inlineStr">
        <is>
          <t>03.1.01.01-0002</t>
        </is>
      </c>
      <c r="D47" s="343" t="inlineStr">
        <is>
          <t>Гипс строительный Г-3</t>
        </is>
      </c>
      <c r="E47" s="232" t="inlineStr">
        <is>
          <t>т</t>
        </is>
      </c>
      <c r="F47" s="342" t="n">
        <v>0.020905</v>
      </c>
      <c r="G47" s="185" t="n">
        <v>729.98</v>
      </c>
      <c r="H47" s="185">
        <f>ROUND(F47*G47,2)</f>
        <v/>
      </c>
      <c r="J47" s="234" t="n"/>
    </row>
    <row r="48">
      <c r="A48" s="342" t="n">
        <v>32</v>
      </c>
      <c r="B48" s="342" t="inlineStr">
        <is>
          <t> </t>
        </is>
      </c>
      <c r="C48" s="326" t="inlineStr">
        <is>
          <t>01.7.20.04-0003</t>
        </is>
      </c>
      <c r="D48" s="343" t="inlineStr">
        <is>
          <t>Нитки суровые</t>
        </is>
      </c>
      <c r="E48" s="232" t="inlineStr">
        <is>
          <t>кг</t>
        </is>
      </c>
      <c r="F48" s="342" t="n">
        <v>0.082</v>
      </c>
      <c r="G48" s="185" t="n">
        <v>155</v>
      </c>
      <c r="H48" s="185">
        <f>ROUND(F48*G48,2)</f>
        <v/>
      </c>
      <c r="J48" s="234" t="n"/>
    </row>
    <row r="49" ht="31.5" customHeight="1" s="308">
      <c r="A49" s="342" t="n">
        <v>33</v>
      </c>
      <c r="B49" s="342" t="inlineStr">
        <is>
          <t> </t>
        </is>
      </c>
      <c r="C49" s="326" t="inlineStr">
        <is>
          <t>11.1.03.05-0081</t>
        </is>
      </c>
      <c r="D49" s="343" t="inlineStr">
        <is>
          <t>Доска необрезная, хвойных пород, длина 4-6,5 м, все ширины, толщина 32-40 мм, сорт III</t>
        </is>
      </c>
      <c r="E49" s="232" t="inlineStr">
        <is>
          <t>м3</t>
        </is>
      </c>
      <c r="F49" s="342" t="n">
        <v>0.014</v>
      </c>
      <c r="G49" s="185" t="n">
        <v>832.7</v>
      </c>
      <c r="H49" s="185">
        <f>ROUND(F49*G49,2)</f>
        <v/>
      </c>
      <c r="J49" s="234" t="n"/>
    </row>
    <row r="50">
      <c r="A50" s="342" t="n">
        <v>34</v>
      </c>
      <c r="B50" s="342" t="inlineStr">
        <is>
          <t> </t>
        </is>
      </c>
      <c r="C50" s="326" t="inlineStr">
        <is>
          <t>01.7.15.03-0042</t>
        </is>
      </c>
      <c r="D50" s="343" t="inlineStr">
        <is>
          <t>Болты с гайками и шайбами строительные</t>
        </is>
      </c>
      <c r="E50" s="232" t="inlineStr">
        <is>
          <t>кг</t>
        </is>
      </c>
      <c r="F50" s="342" t="n">
        <v>1</v>
      </c>
      <c r="G50" s="185" t="n">
        <v>9.039999999999999</v>
      </c>
      <c r="H50" s="185">
        <f>ROUND(F50*G50,2)</f>
        <v/>
      </c>
      <c r="J50" s="234" t="n"/>
    </row>
    <row r="51" ht="31.5" customHeight="1" s="308">
      <c r="A51" s="342" t="n">
        <v>35</v>
      </c>
      <c r="B51" s="342" t="inlineStr">
        <is>
          <t> </t>
        </is>
      </c>
      <c r="C51" s="326" t="inlineStr">
        <is>
          <t>10.3.02.03-0011</t>
        </is>
      </c>
      <c r="D51" s="343" t="inlineStr">
        <is>
          <t>Припои оловянно-свинцовые бессурьмянистые, марка ПОС30</t>
        </is>
      </c>
      <c r="E51" s="232" t="inlineStr">
        <is>
          <t>т</t>
        </is>
      </c>
      <c r="F51" s="342" t="n">
        <v>8.2e-05</v>
      </c>
      <c r="G51" s="185" t="n">
        <v>68050</v>
      </c>
      <c r="H51" s="185">
        <f>ROUND(F51*G51,2)</f>
        <v/>
      </c>
      <c r="J51" s="234" t="n"/>
    </row>
    <row r="52" ht="31.5" customHeight="1" s="308">
      <c r="A52" s="342" t="n">
        <v>36</v>
      </c>
      <c r="B52" s="342" t="inlineStr">
        <is>
          <t> </t>
        </is>
      </c>
      <c r="C52" s="326" t="inlineStr">
        <is>
          <t>01.7.06.03-0023</t>
        </is>
      </c>
      <c r="D52" s="343" t="inlineStr">
        <is>
          <t>Лента полиэтиленовая с липким слоем, марка А</t>
        </is>
      </c>
      <c r="E52" s="232" t="inlineStr">
        <is>
          <t>кг</t>
        </is>
      </c>
      <c r="F52" s="342" t="n">
        <v>0.14</v>
      </c>
      <c r="G52" s="185" t="n">
        <v>39.02</v>
      </c>
      <c r="H52" s="185">
        <f>ROUND(F52*G52,2)</f>
        <v/>
      </c>
      <c r="J52" s="234" t="n"/>
    </row>
    <row r="53">
      <c r="A53" s="342" t="n">
        <v>37</v>
      </c>
      <c r="B53" s="342" t="inlineStr">
        <is>
          <t> </t>
        </is>
      </c>
      <c r="C53" s="326" t="inlineStr">
        <is>
          <t>01.3.05.17-0002</t>
        </is>
      </c>
      <c r="D53" s="343" t="inlineStr">
        <is>
          <t>Канифоль сосновая</t>
        </is>
      </c>
      <c r="E53" s="232" t="inlineStr">
        <is>
          <t>кг</t>
        </is>
      </c>
      <c r="F53" s="342" t="n">
        <v>0.19</v>
      </c>
      <c r="G53" s="185" t="n">
        <v>27.74</v>
      </c>
      <c r="H53" s="185">
        <f>ROUND(F53*G53,2)</f>
        <v/>
      </c>
      <c r="J53" s="234" t="n"/>
    </row>
    <row r="54">
      <c r="A54" s="342" t="n">
        <v>38</v>
      </c>
      <c r="B54" s="342" t="inlineStr">
        <is>
          <t> </t>
        </is>
      </c>
      <c r="C54" s="326" t="inlineStr">
        <is>
          <t>14.4.03.17-0011</t>
        </is>
      </c>
      <c r="D54" s="343" t="inlineStr">
        <is>
          <t>Лак электроизоляционный 318</t>
        </is>
      </c>
      <c r="E54" s="232" t="inlineStr">
        <is>
          <t>кг</t>
        </is>
      </c>
      <c r="F54" s="342" t="n">
        <v>0.132</v>
      </c>
      <c r="G54" s="185" t="n">
        <v>35.63</v>
      </c>
      <c r="H54" s="185">
        <f>ROUND(F54*G54,2)</f>
        <v/>
      </c>
      <c r="J54" s="234" t="n"/>
    </row>
    <row r="55">
      <c r="A55" s="342" t="n">
        <v>39</v>
      </c>
      <c r="B55" s="342" t="inlineStr">
        <is>
          <t> </t>
        </is>
      </c>
      <c r="C55" s="326" t="inlineStr">
        <is>
          <t>01.7.02.07-0011</t>
        </is>
      </c>
      <c r="D55" s="343" t="inlineStr">
        <is>
          <t>Прессшпан листовой, марка А</t>
        </is>
      </c>
      <c r="E55" s="232" t="inlineStr">
        <is>
          <t>кг</t>
        </is>
      </c>
      <c r="F55" s="342" t="n">
        <v>0.06825000000000001</v>
      </c>
      <c r="G55" s="185" t="n">
        <v>47.57</v>
      </c>
      <c r="H55" s="185">
        <f>ROUND(F55*G55,2)</f>
        <v/>
      </c>
      <c r="J55" s="234" t="n"/>
    </row>
    <row r="56" ht="31.5" customHeight="1" s="308">
      <c r="A56" s="342" t="n">
        <v>40</v>
      </c>
      <c r="B56" s="342" t="inlineStr">
        <is>
          <t> </t>
        </is>
      </c>
      <c r="C56" s="326" t="inlineStr">
        <is>
          <t>24.3.01.01-0004</t>
        </is>
      </c>
      <c r="D56" s="343" t="inlineStr">
        <is>
          <t>Трубка электроизоляционная ПВХ-305, диаметр 6-10 мм</t>
        </is>
      </c>
      <c r="E56" s="232" t="inlineStr">
        <is>
          <t>кг</t>
        </is>
      </c>
      <c r="F56" s="342" t="n">
        <v>0.08</v>
      </c>
      <c r="G56" s="185" t="n">
        <v>38.34</v>
      </c>
      <c r="H56" s="185">
        <f>ROUND(F56*G56,2)</f>
        <v/>
      </c>
      <c r="J56" s="234" t="n"/>
    </row>
    <row r="57" ht="31.5" customHeight="1" s="308">
      <c r="A57" s="342" t="n">
        <v>41</v>
      </c>
      <c r="B57" s="342" t="inlineStr">
        <is>
          <t> </t>
        </is>
      </c>
      <c r="C57" s="326" t="inlineStr">
        <is>
          <t>01.7.07.03-0007</t>
        </is>
      </c>
      <c r="D57" s="343" t="inlineStr">
        <is>
          <t>Воск полиэтиленовый неокисленный ПВ-25, ПВ-100, ПВ-200, ПВ-300, ПВ-500</t>
        </is>
      </c>
      <c r="E57" s="232" t="inlineStr">
        <is>
          <t>т</t>
        </is>
      </c>
      <c r="F57" s="342" t="n">
        <v>0.0001138</v>
      </c>
      <c r="G57" s="185" t="n">
        <v>22419</v>
      </c>
      <c r="H57" s="185">
        <f>ROUND(F57*G57,2)</f>
        <v/>
      </c>
      <c r="J57" s="234" t="n"/>
    </row>
    <row r="58" ht="31.5" customHeight="1" s="308">
      <c r="A58" s="342" t="n">
        <v>42</v>
      </c>
      <c r="B58" s="342" t="inlineStr">
        <is>
          <t> </t>
        </is>
      </c>
      <c r="C58" s="326" t="inlineStr">
        <is>
          <t>14.3.02.01-0219</t>
        </is>
      </c>
      <c r="D58" s="343" t="inlineStr">
        <is>
          <t>Краска универсальная, акриловая для внутренних и наружных работ</t>
        </is>
      </c>
      <c r="E58" s="232" t="inlineStr">
        <is>
          <t>т</t>
        </is>
      </c>
      <c r="F58" s="342" t="n">
        <v>5e-05</v>
      </c>
      <c r="G58" s="185" t="n">
        <v>15481</v>
      </c>
      <c r="H58" s="185">
        <f>ROUND(F58*G58,2)</f>
        <v/>
      </c>
      <c r="J58" s="234" t="n"/>
    </row>
    <row r="59" ht="31.5" customHeight="1" s="308">
      <c r="A59" s="342" t="n">
        <v>43</v>
      </c>
      <c r="B59" s="342" t="inlineStr">
        <is>
          <t> </t>
        </is>
      </c>
      <c r="C59" s="326" t="inlineStr">
        <is>
          <t>01.3.01.07-0009</t>
        </is>
      </c>
      <c r="D59" s="343" t="inlineStr">
        <is>
          <t>Спирт этиловый ректификованный технический, сорт I</t>
        </is>
      </c>
      <c r="E59" s="232" t="inlineStr">
        <is>
          <t>кг</t>
        </is>
      </c>
      <c r="F59" s="342" t="n">
        <v>0.008</v>
      </c>
      <c r="G59" s="185" t="n">
        <v>38.89</v>
      </c>
      <c r="H59" s="185">
        <f>ROUND(F59*G59,2)</f>
        <v/>
      </c>
      <c r="J59" s="234" t="n"/>
    </row>
    <row r="60">
      <c r="A60" s="342" t="n">
        <v>44</v>
      </c>
      <c r="B60" s="342" t="inlineStr">
        <is>
          <t> </t>
        </is>
      </c>
      <c r="C60" s="326" t="inlineStr">
        <is>
          <t>01.7.03.04-0001</t>
        </is>
      </c>
      <c r="D60" s="343" t="inlineStr">
        <is>
          <t>Электроэнергия</t>
        </is>
      </c>
      <c r="E60" s="232" t="inlineStr">
        <is>
          <t>кВт-ч</t>
        </is>
      </c>
      <c r="F60" s="342" t="n">
        <v>0.492</v>
      </c>
      <c r="G60" s="185" t="n">
        <v>0.4</v>
      </c>
      <c r="H60" s="185">
        <f>ROUND(F60*G60,2)</f>
        <v/>
      </c>
      <c r="J60" s="234" t="n"/>
    </row>
    <row r="61">
      <c r="A61" s="342" t="n">
        <v>45</v>
      </c>
      <c r="B61" s="342" t="inlineStr">
        <is>
          <t> </t>
        </is>
      </c>
      <c r="C61" s="326" t="inlineStr">
        <is>
          <t>999-0005</t>
        </is>
      </c>
      <c r="D61" s="343" t="inlineStr">
        <is>
          <t>Масса</t>
        </is>
      </c>
      <c r="E61" s="232" t="inlineStr">
        <is>
          <t>т</t>
        </is>
      </c>
      <c r="F61" s="342" t="n">
        <v>0.1001</v>
      </c>
      <c r="G61" s="185" t="n"/>
      <c r="H61" s="185">
        <f>ROUND(F61*G61,2)</f>
        <v/>
      </c>
      <c r="J61" s="234" t="n"/>
    </row>
    <row r="64">
      <c r="B64" s="310" t="inlineStr">
        <is>
          <t>Составил ______________________        Д.Ю. Нефедова</t>
        </is>
      </c>
    </row>
    <row r="65">
      <c r="B65" s="177" t="inlineStr">
        <is>
          <t xml:space="preserve">                         (подпись, инициалы, фамилия)</t>
        </is>
      </c>
    </row>
    <row r="67">
      <c r="B67" s="310" t="inlineStr">
        <is>
          <t>Проверил ______________________        А.В. Костянецкая</t>
        </is>
      </c>
    </row>
    <row r="68">
      <c r="B68" s="177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0:E20"/>
    <mergeCell ref="A2:H2"/>
    <mergeCell ref="A5:H5"/>
    <mergeCell ref="G9:H9"/>
    <mergeCell ref="A31:E31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  <rowBreaks count="1" manualBreakCount="1">
    <brk id="5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7" workbookViewId="0">
      <selection activeCell="B43" sqref="B43"/>
    </sheetView>
  </sheetViews>
  <sheetFormatPr baseColWidth="8" defaultRowHeight="15"/>
  <cols>
    <col width="4.140625" customWidth="1" style="308" min="1" max="1"/>
    <col width="36.28515625" customWidth="1" style="308" min="2" max="2"/>
    <col width="18.85546875" customWidth="1" style="308" min="3" max="3"/>
    <col width="18.28515625" customWidth="1" style="308" min="4" max="4"/>
    <col width="18.85546875" customWidth="1" style="308" min="5" max="5"/>
    <col width="11.42578125" customWidth="1" style="308" min="6" max="6"/>
    <col width="9.140625" customWidth="1" style="308" min="7" max="10"/>
    <col width="13.5703125" customWidth="1" style="308" min="11" max="11"/>
    <col width="9.140625" customWidth="1" style="308" min="12" max="12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66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28" t="inlineStr">
        <is>
          <t>Ресурсная модель</t>
        </is>
      </c>
    </row>
    <row r="6">
      <c r="B6" s="274" t="n"/>
      <c r="C6" s="304" t="n"/>
      <c r="D6" s="304" t="n"/>
      <c r="E6" s="304" t="n"/>
    </row>
    <row r="7" ht="25.5" customHeight="1" s="308">
      <c r="B7" s="344" t="inlineStr">
        <is>
          <t>Наименование разрабатываемого показателя УНЦ — Сети связи. Аппаратура селекторной связи</t>
        </is>
      </c>
    </row>
    <row r="8">
      <c r="B8" s="345" t="inlineStr">
        <is>
          <t>Единица измерения  — 1 объект</t>
        </is>
      </c>
    </row>
    <row r="9">
      <c r="B9" s="274" t="n"/>
      <c r="C9" s="304" t="n"/>
      <c r="D9" s="304" t="n"/>
      <c r="E9" s="304" t="n"/>
    </row>
    <row r="10" ht="51" customHeight="1" s="308">
      <c r="B10" s="353" t="inlineStr">
        <is>
          <t>Наименование</t>
        </is>
      </c>
      <c r="C10" s="353" t="inlineStr">
        <is>
          <t>Сметная стоимость в ценах на 01.01.2023
 (руб.)</t>
        </is>
      </c>
      <c r="D10" s="353" t="inlineStr">
        <is>
          <t>Удельный вес, 
(в СМР)</t>
        </is>
      </c>
      <c r="E10" s="353" t="inlineStr">
        <is>
          <t>Удельный вес, % 
(от всего по РМ)</t>
        </is>
      </c>
    </row>
    <row r="11">
      <c r="B11" s="192" t="inlineStr">
        <is>
          <t>Оплата труда рабочих</t>
        </is>
      </c>
      <c r="C11" s="156">
        <f>'Прил.5 Расчет СМР и ОБ'!J14</f>
        <v/>
      </c>
      <c r="D11" s="157">
        <f>C11/$C$24</f>
        <v/>
      </c>
      <c r="E11" s="157">
        <f>C11/$C$40</f>
        <v/>
      </c>
    </row>
    <row r="12">
      <c r="B12" s="192" t="inlineStr">
        <is>
          <t>Эксплуатация машин основных</t>
        </is>
      </c>
      <c r="C12" s="156">
        <f>'Прил.5 Расчет СМР и ОБ'!J20</f>
        <v/>
      </c>
      <c r="D12" s="157">
        <f>C12/$C$24</f>
        <v/>
      </c>
      <c r="E12" s="157">
        <f>C12/$C$40</f>
        <v/>
      </c>
    </row>
    <row r="13">
      <c r="B13" s="192" t="inlineStr">
        <is>
          <t>Эксплуатация машин прочих</t>
        </is>
      </c>
      <c r="C13" s="156">
        <f>'Прил.5 Расчет СМР и ОБ'!J21</f>
        <v/>
      </c>
      <c r="D13" s="157">
        <f>C13/$C$24</f>
        <v/>
      </c>
      <c r="E13" s="157">
        <f>C13/$C$40</f>
        <v/>
      </c>
    </row>
    <row r="14">
      <c r="B14" s="192" t="inlineStr">
        <is>
          <t>ЭКСПЛУАТАЦИЯ МАШИН, ВСЕГО:</t>
        </is>
      </c>
      <c r="C14" s="156">
        <f>C13+C12</f>
        <v/>
      </c>
      <c r="D14" s="157">
        <f>C14/$C$24</f>
        <v/>
      </c>
      <c r="E14" s="157">
        <f>C14/$C$40</f>
        <v/>
      </c>
    </row>
    <row r="15">
      <c r="B15" s="192" t="inlineStr">
        <is>
          <t>в том числе зарплата машинистов</t>
        </is>
      </c>
      <c r="C15" s="156">
        <f>'Прил.5 Расчет СМР и ОБ'!J16</f>
        <v/>
      </c>
      <c r="D15" s="157">
        <f>C15/$C$24</f>
        <v/>
      </c>
      <c r="E15" s="157">
        <f>C15/$C$40</f>
        <v/>
      </c>
    </row>
    <row r="16">
      <c r="B16" s="192" t="inlineStr">
        <is>
          <t>Материалы основные</t>
        </is>
      </c>
      <c r="C16" s="156">
        <f>'Прил.5 Расчет СМР и ОБ'!J42</f>
        <v/>
      </c>
      <c r="D16" s="157">
        <f>C16/$C$24</f>
        <v/>
      </c>
      <c r="E16" s="157">
        <f>C16/$C$40</f>
        <v/>
      </c>
    </row>
    <row r="17">
      <c r="B17" s="192" t="inlineStr">
        <is>
          <t>Материалы прочие</t>
        </is>
      </c>
      <c r="C17" s="156">
        <f>'Прил.5 Расчет СМР и ОБ'!J72</f>
        <v/>
      </c>
      <c r="D17" s="157">
        <f>C17/$C$24</f>
        <v/>
      </c>
      <c r="E17" s="157">
        <f>C17/$C$40</f>
        <v/>
      </c>
    </row>
    <row r="18">
      <c r="B18" s="192" t="inlineStr">
        <is>
          <t>МАТЕРИАЛЫ, ВСЕГО:</t>
        </is>
      </c>
      <c r="C18" s="156">
        <f>C17+C16</f>
        <v/>
      </c>
      <c r="D18" s="157">
        <f>C18/$C$24</f>
        <v/>
      </c>
      <c r="E18" s="157">
        <f>C18/$C$40</f>
        <v/>
      </c>
    </row>
    <row r="19">
      <c r="B19" s="192" t="inlineStr">
        <is>
          <t>ИТОГО</t>
        </is>
      </c>
      <c r="C19" s="156">
        <f>C18+C14+C11</f>
        <v/>
      </c>
      <c r="D19" s="157" t="n"/>
      <c r="E19" s="192" t="n"/>
    </row>
    <row r="20">
      <c r="B20" s="192" t="inlineStr">
        <is>
          <t>Сметная прибыль, руб.</t>
        </is>
      </c>
      <c r="C20" s="156">
        <f>ROUND(C21*(C11+C15),2)</f>
        <v/>
      </c>
      <c r="D20" s="157">
        <f>C20/$C$24</f>
        <v/>
      </c>
      <c r="E20" s="157">
        <f>C20/$C$40</f>
        <v/>
      </c>
    </row>
    <row r="21">
      <c r="B21" s="192" t="inlineStr">
        <is>
          <t>Сметная прибыль, %</t>
        </is>
      </c>
      <c r="C21" s="160">
        <f>'Прил.5 Расчет СМР и ОБ'!D76</f>
        <v/>
      </c>
      <c r="D21" s="157" t="n"/>
      <c r="E21" s="192" t="n"/>
    </row>
    <row r="22">
      <c r="B22" s="192" t="inlineStr">
        <is>
          <t>Накладные расходы, руб.</t>
        </is>
      </c>
      <c r="C22" s="156">
        <f>ROUND(C23*(C11+C15),2)</f>
        <v/>
      </c>
      <c r="D22" s="157">
        <f>C22/$C$24</f>
        <v/>
      </c>
      <c r="E22" s="157">
        <f>C22/$C$40</f>
        <v/>
      </c>
    </row>
    <row r="23">
      <c r="B23" s="192" t="inlineStr">
        <is>
          <t>Накладные расходы, %</t>
        </is>
      </c>
      <c r="C23" s="160">
        <f>'Прил.5 Расчет СМР и ОБ'!D75</f>
        <v/>
      </c>
      <c r="D23" s="157" t="n"/>
      <c r="E23" s="192" t="n"/>
    </row>
    <row r="24">
      <c r="B24" s="192" t="inlineStr">
        <is>
          <t>ВСЕГО СМР с НР и СП</t>
        </is>
      </c>
      <c r="C24" s="156">
        <f>C19+C20+C22</f>
        <v/>
      </c>
      <c r="D24" s="157">
        <f>C24/$C$24</f>
        <v/>
      </c>
      <c r="E24" s="157">
        <f>C24/$C$40</f>
        <v/>
      </c>
    </row>
    <row r="25" ht="25.5" customHeight="1" s="308">
      <c r="B25" s="192" t="inlineStr">
        <is>
          <t>ВСЕГО стоимость оборудования, в том числе</t>
        </is>
      </c>
      <c r="C25" s="156">
        <f>'Прил.5 Расчет СМР и ОБ'!J37</f>
        <v/>
      </c>
      <c r="D25" s="157" t="n"/>
      <c r="E25" s="157">
        <f>C25/$C$40</f>
        <v/>
      </c>
    </row>
    <row r="26" ht="25.5" customHeight="1" s="308">
      <c r="B26" s="192" t="inlineStr">
        <is>
          <t>стоимость оборудования технологического</t>
        </is>
      </c>
      <c r="C26" s="156">
        <f>'Прил.5 Расчет СМР и ОБ'!J38</f>
        <v/>
      </c>
      <c r="D26" s="157" t="n"/>
      <c r="E26" s="157">
        <f>C26/$C$40</f>
        <v/>
      </c>
    </row>
    <row r="27">
      <c r="B27" s="192" t="inlineStr">
        <is>
          <t>ИТОГО (СМР + ОБОРУДОВАНИЕ)</t>
        </is>
      </c>
      <c r="C27" s="159">
        <f>C24+C25</f>
        <v/>
      </c>
      <c r="D27" s="157" t="n"/>
      <c r="E27" s="157">
        <f>C27/$C$40</f>
        <v/>
      </c>
    </row>
    <row r="28" ht="33" customHeight="1" s="308">
      <c r="B28" s="192" t="inlineStr">
        <is>
          <t>ПРОЧ. ЗАТР., УЧТЕННЫЕ ПОКАЗАТЕЛЕМ,  в том числе</t>
        </is>
      </c>
      <c r="C28" s="192" t="n"/>
      <c r="D28" s="192" t="n"/>
      <c r="E28" s="192" t="n"/>
      <c r="F28" s="158" t="n"/>
    </row>
    <row r="29" ht="25.5" customHeight="1" s="308">
      <c r="B29" s="192" t="inlineStr">
        <is>
          <t>Временные здания и сооружения - 3,9%</t>
        </is>
      </c>
      <c r="C29" s="159">
        <f>ROUND(C24*3.9%,2)</f>
        <v/>
      </c>
      <c r="D29" s="192" t="n"/>
      <c r="E29" s="157">
        <f>C29/$C$40</f>
        <v/>
      </c>
    </row>
    <row r="30" ht="38.25" customHeight="1" s="308">
      <c r="B30" s="192" t="inlineStr">
        <is>
          <t>Дополнительные затраты при производстве строительно-монтажных работ в зимнее время - 2,1%</t>
        </is>
      </c>
      <c r="C30" s="295">
        <f>ROUND((C24+C29)*2.1%,2)</f>
        <v/>
      </c>
      <c r="D30" s="296" t="n"/>
      <c r="E30" s="157">
        <f>C30/$C$40</f>
        <v/>
      </c>
      <c r="F30" s="158" t="n"/>
    </row>
    <row r="31">
      <c r="B31" s="192" t="inlineStr">
        <is>
          <t>Пусконаладочные работы</t>
        </is>
      </c>
      <c r="C31" s="295" t="n">
        <v>57410</v>
      </c>
      <c r="D31" s="296" t="n"/>
      <c r="E31" s="157">
        <f>C31/$C$40</f>
        <v/>
      </c>
    </row>
    <row r="32" ht="25.5" customHeight="1" s="308">
      <c r="B32" s="192" t="inlineStr">
        <is>
          <t>Затраты по перевозке работников к месту работы и обратно</t>
        </is>
      </c>
      <c r="C32" s="295">
        <f>ROUND($C$27*0,2)</f>
        <v/>
      </c>
      <c r="D32" s="296" t="n"/>
      <c r="E32" s="157">
        <f>C32/$C$40</f>
        <v/>
      </c>
      <c r="F32" s="276" t="n"/>
    </row>
    <row r="33" ht="25.5" customHeight="1" s="308">
      <c r="B33" s="192" t="inlineStr">
        <is>
          <t>Затраты, связанные с осуществлением работ вахтовым методом</t>
        </is>
      </c>
      <c r="C33" s="295">
        <f>ROUND($C$27*0,2)</f>
        <v/>
      </c>
      <c r="D33" s="296" t="n"/>
      <c r="E33" s="157">
        <f>C33/$C$40</f>
        <v/>
      </c>
    </row>
    <row r="34" ht="51" customHeight="1" s="308">
      <c r="B34" s="19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5">
        <f>ROUND($C$27*0,2)</f>
        <v/>
      </c>
      <c r="D34" s="192" t="n"/>
      <c r="E34" s="157">
        <f>C34/$C$40</f>
        <v/>
      </c>
      <c r="G34" s="162" t="n"/>
    </row>
    <row r="35" ht="76.5" customHeight="1" s="308">
      <c r="B35" s="19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9" t="n">
        <v>0</v>
      </c>
      <c r="D35" s="192" t="n"/>
      <c r="E35" s="157">
        <f>C35/$C$40</f>
        <v/>
      </c>
    </row>
    <row r="36" ht="25.5" customHeight="1" s="308">
      <c r="B36" s="192" t="inlineStr">
        <is>
          <t>Строительный контроль и содержание службы заказчика - 2,14%</t>
        </is>
      </c>
      <c r="C36" s="159">
        <f>ROUND((C27+C32+C33+C34+C35+C29+C31+C30)*2.14%,2)</f>
        <v/>
      </c>
      <c r="D36" s="192" t="n"/>
      <c r="E36" s="157">
        <f>C36/$C$40</f>
        <v/>
      </c>
      <c r="K36" s="158" t="n"/>
    </row>
    <row r="37">
      <c r="B37" s="192" t="inlineStr">
        <is>
          <t>Авторский надзор - 0,2%</t>
        </is>
      </c>
      <c r="C37" s="159">
        <f>ROUND((C27+C32+C33+C34+C35+C29+C31+C30)*0.2%,2)</f>
        <v/>
      </c>
      <c r="D37" s="192" t="n"/>
      <c r="E37" s="157">
        <f>C37/$C$40</f>
        <v/>
      </c>
      <c r="K37" s="158" t="n"/>
    </row>
    <row r="38" ht="38.25" customHeight="1" s="308">
      <c r="B38" s="192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192" t="n"/>
      <c r="E38" s="157">
        <f>C38/$C$40</f>
        <v/>
      </c>
    </row>
    <row r="39" ht="13.5" customHeight="1" s="308">
      <c r="B39" s="192" t="inlineStr">
        <is>
          <t>Непредвиденные расходы</t>
        </is>
      </c>
      <c r="C39" s="156">
        <f>ROUND(C38*3%,2)</f>
        <v/>
      </c>
      <c r="D39" s="192" t="n"/>
      <c r="E39" s="157">
        <f>C39/$C$38</f>
        <v/>
      </c>
    </row>
    <row r="40">
      <c r="B40" s="192" t="inlineStr">
        <is>
          <t>ВСЕГО:</t>
        </is>
      </c>
      <c r="C40" s="156">
        <f>C39+C38</f>
        <v/>
      </c>
      <c r="D40" s="192" t="n"/>
      <c r="E40" s="157">
        <f>C40/$C$40</f>
        <v/>
      </c>
    </row>
    <row r="41">
      <c r="B41" s="192" t="inlineStr">
        <is>
          <t>ИТОГО ПОКАЗАТЕЛЬ НА ЕД. ИЗМ.</t>
        </is>
      </c>
      <c r="C41" s="156">
        <f>C40/'Прил.5 Расчет СМР и ОБ'!E79</f>
        <v/>
      </c>
      <c r="D41" s="192" t="n"/>
      <c r="E41" s="192" t="n"/>
    </row>
    <row r="42">
      <c r="B42" s="163" t="n"/>
      <c r="C42" s="304" t="n"/>
      <c r="D42" s="304" t="n"/>
      <c r="E42" s="304" t="n"/>
    </row>
    <row r="43">
      <c r="B43" s="163" t="inlineStr">
        <is>
          <t>Составил ____________________________ Д.Ю. Нефедова</t>
        </is>
      </c>
      <c r="C43" s="304" t="n"/>
      <c r="D43" s="304" t="n"/>
      <c r="E43" s="304" t="n"/>
    </row>
    <row r="44">
      <c r="B44" s="163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163" t="n"/>
      <c r="C45" s="304" t="n"/>
      <c r="D45" s="304" t="n"/>
      <c r="E45" s="304" t="n"/>
    </row>
    <row r="46">
      <c r="B46" s="163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45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5"/>
  <sheetViews>
    <sheetView view="pageBreakPreview" topLeftCell="A38" zoomScale="85" workbookViewId="0">
      <selection activeCell="B81" sqref="B81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08" min="13" max="13"/>
  </cols>
  <sheetData>
    <row r="1" s="308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08">
      <c r="A2" s="305" t="n"/>
      <c r="B2" s="305" t="n"/>
      <c r="C2" s="305" t="n"/>
      <c r="D2" s="305" t="n"/>
      <c r="E2" s="305" t="n"/>
      <c r="F2" s="305" t="n"/>
      <c r="G2" s="305" t="n"/>
      <c r="H2" s="361" t="inlineStr">
        <is>
          <t>Приложение №5</t>
        </is>
      </c>
      <c r="K2" s="305" t="n"/>
      <c r="L2" s="305" t="n"/>
      <c r="M2" s="305" t="n"/>
      <c r="N2" s="305" t="n"/>
    </row>
    <row r="3" s="308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28" t="inlineStr">
        <is>
          <t>Расчет стоимости СМР и оборудования</t>
        </is>
      </c>
    </row>
    <row r="5" ht="12.75" customFormat="1" customHeight="1" s="304">
      <c r="A5" s="328" t="n"/>
      <c r="B5" s="328" t="n"/>
      <c r="C5" s="374" t="n"/>
      <c r="D5" s="328" t="n"/>
      <c r="E5" s="328" t="n"/>
      <c r="F5" s="328" t="n"/>
      <c r="G5" s="328" t="n"/>
      <c r="H5" s="328" t="n"/>
      <c r="I5" s="328" t="n"/>
      <c r="J5" s="328" t="n"/>
    </row>
    <row r="6" ht="25.5" customFormat="1" customHeight="1" s="304">
      <c r="A6" s="202" t="inlineStr">
        <is>
          <t>Наименование разрабатываемого показателя УНЦ</t>
        </is>
      </c>
      <c r="B6" s="203" t="n"/>
      <c r="C6" s="203" t="n"/>
      <c r="D6" s="365" t="inlineStr">
        <is>
          <t>Сети связи. Аппаратура селекторной связи</t>
        </is>
      </c>
    </row>
    <row r="7" ht="12.75" customFormat="1" customHeight="1" s="304">
      <c r="A7" s="331" t="inlineStr">
        <is>
          <t>Единица измерения  — 1 объект</t>
        </is>
      </c>
      <c r="I7" s="344" t="n"/>
      <c r="J7" s="344" t="n"/>
    </row>
    <row r="8" ht="13.5" customFormat="1" customHeight="1" s="304">
      <c r="A8" s="331" t="n"/>
    </row>
    <row r="9" ht="27" customHeight="1" s="308">
      <c r="A9" s="353" t="inlineStr">
        <is>
          <t>№ пп.</t>
        </is>
      </c>
      <c r="B9" s="353" t="inlineStr">
        <is>
          <t>Код ресурса</t>
        </is>
      </c>
      <c r="C9" s="353" t="inlineStr">
        <is>
          <t>Наименование</t>
        </is>
      </c>
      <c r="D9" s="353" t="inlineStr">
        <is>
          <t>Ед. изм.</t>
        </is>
      </c>
      <c r="E9" s="353" t="inlineStr">
        <is>
          <t>Кол-во единиц по проектным данным</t>
        </is>
      </c>
      <c r="F9" s="353" t="inlineStr">
        <is>
          <t>Сметная стоимость в ценах на 01.01.2000 (руб.)</t>
        </is>
      </c>
      <c r="G9" s="426" t="n"/>
      <c r="H9" s="353" t="inlineStr">
        <is>
          <t>Удельный вес, %</t>
        </is>
      </c>
      <c r="I9" s="353" t="inlineStr">
        <is>
          <t>Сметная стоимость в ценах на 01.01.2023 (руб.)</t>
        </is>
      </c>
      <c r="J9" s="426" t="n"/>
      <c r="K9" s="305" t="n"/>
      <c r="L9" s="305" t="n"/>
      <c r="M9" s="305" t="n"/>
      <c r="N9" s="305" t="n"/>
    </row>
    <row r="10" ht="28.5" customHeight="1" s="308">
      <c r="A10" s="428" t="n"/>
      <c r="B10" s="428" t="n"/>
      <c r="C10" s="428" t="n"/>
      <c r="D10" s="428" t="n"/>
      <c r="E10" s="428" t="n"/>
      <c r="F10" s="353" t="inlineStr">
        <is>
          <t>на ед. изм.</t>
        </is>
      </c>
      <c r="G10" s="353" t="inlineStr">
        <is>
          <t>общая</t>
        </is>
      </c>
      <c r="H10" s="428" t="n"/>
      <c r="I10" s="353" t="inlineStr">
        <is>
          <t>на ед. изм.</t>
        </is>
      </c>
      <c r="J10" s="353" t="inlineStr">
        <is>
          <t>общая</t>
        </is>
      </c>
      <c r="K10" s="305" t="n"/>
      <c r="L10" s="305" t="n"/>
      <c r="M10" s="305" t="n"/>
      <c r="N10" s="305" t="n"/>
    </row>
    <row r="11" s="308">
      <c r="A11" s="353" t="n">
        <v>1</v>
      </c>
      <c r="B11" s="353" t="n">
        <v>2</v>
      </c>
      <c r="C11" s="353" t="n">
        <v>3</v>
      </c>
      <c r="D11" s="353" t="n">
        <v>4</v>
      </c>
      <c r="E11" s="353" t="n">
        <v>5</v>
      </c>
      <c r="F11" s="353" t="n">
        <v>6</v>
      </c>
      <c r="G11" s="353" t="n">
        <v>7</v>
      </c>
      <c r="H11" s="353" t="n">
        <v>8</v>
      </c>
      <c r="I11" s="347" t="n">
        <v>9</v>
      </c>
      <c r="J11" s="347" t="n">
        <v>10</v>
      </c>
      <c r="K11" s="305" t="n"/>
      <c r="L11" s="305" t="n"/>
      <c r="M11" s="305" t="n"/>
      <c r="N11" s="305" t="n"/>
    </row>
    <row r="12">
      <c r="A12" s="353" t="n"/>
      <c r="B12" s="351" t="inlineStr">
        <is>
          <t>Затраты труда рабочих-строителей</t>
        </is>
      </c>
      <c r="C12" s="425" t="n"/>
      <c r="D12" s="425" t="n"/>
      <c r="E12" s="425" t="n"/>
      <c r="F12" s="425" t="n"/>
      <c r="G12" s="425" t="n"/>
      <c r="H12" s="426" t="n"/>
      <c r="I12" s="266" t="n"/>
      <c r="J12" s="266" t="n"/>
    </row>
    <row r="13" ht="25.5" customHeight="1" s="308">
      <c r="A13" s="353" t="n">
        <v>1</v>
      </c>
      <c r="B13" s="255" t="inlineStr">
        <is>
          <t>1-3-6</t>
        </is>
      </c>
      <c r="C13" s="352" t="inlineStr">
        <is>
          <t>Затраты труда рабочих-строителей среднего разряда (3,6)</t>
        </is>
      </c>
      <c r="D13" s="353" t="inlineStr">
        <is>
          <t>чел.-ч.</t>
        </is>
      </c>
      <c r="E13" s="431">
        <f>G13/F13</f>
        <v/>
      </c>
      <c r="F13" s="261" t="n">
        <v>9.18</v>
      </c>
      <c r="G13" s="261">
        <f>SUM(Прил.3!H13:H15)</f>
        <v/>
      </c>
      <c r="H13" s="259">
        <f>G13/$G$14</f>
        <v/>
      </c>
      <c r="I13" s="261">
        <f>ФОТр.тек.!E13</f>
        <v/>
      </c>
      <c r="J13" s="261">
        <f>ROUND(I13*E13,2)</f>
        <v/>
      </c>
    </row>
    <row r="14" ht="25.5" customFormat="1" customHeight="1" s="305">
      <c r="A14" s="353" t="n"/>
      <c r="B14" s="353" t="n"/>
      <c r="C14" s="351" t="inlineStr">
        <is>
          <t>Итого по разделу "Затраты труда рабочих-строителей"</t>
        </is>
      </c>
      <c r="D14" s="353" t="inlineStr">
        <is>
          <t>чел.-ч.</t>
        </is>
      </c>
      <c r="E14" s="431">
        <f>SUM(E13:E13)</f>
        <v/>
      </c>
      <c r="F14" s="261" t="n"/>
      <c r="G14" s="261">
        <f>SUM(G13:G13)</f>
        <v/>
      </c>
      <c r="H14" s="356" t="n">
        <v>1</v>
      </c>
      <c r="I14" s="266" t="n"/>
      <c r="J14" s="261">
        <f>SUM(J13:J13)</f>
        <v/>
      </c>
    </row>
    <row r="15" ht="14.25" customFormat="1" customHeight="1" s="305">
      <c r="A15" s="353" t="n"/>
      <c r="B15" s="352" t="inlineStr">
        <is>
          <t>Затраты труда машинистов</t>
        </is>
      </c>
      <c r="C15" s="425" t="n"/>
      <c r="D15" s="425" t="n"/>
      <c r="E15" s="425" t="n"/>
      <c r="F15" s="425" t="n"/>
      <c r="G15" s="425" t="n"/>
      <c r="H15" s="426" t="n"/>
      <c r="I15" s="266" t="n"/>
      <c r="J15" s="266" t="n"/>
    </row>
    <row r="16" ht="14.25" customFormat="1" customHeight="1" s="305">
      <c r="A16" s="353" t="n">
        <v>2</v>
      </c>
      <c r="B16" s="353" t="n">
        <v>2</v>
      </c>
      <c r="C16" s="352" t="inlineStr">
        <is>
          <t>Затраты труда машинистов</t>
        </is>
      </c>
      <c r="D16" s="353" t="inlineStr">
        <is>
          <t>чел.-ч.</t>
        </is>
      </c>
      <c r="E16" s="431">
        <f>Прил.3!F17</f>
        <v/>
      </c>
      <c r="F16" s="261">
        <f>G16/E16</f>
        <v/>
      </c>
      <c r="G16" s="261">
        <f>Прил.3!H16</f>
        <v/>
      </c>
      <c r="H16" s="356" t="n">
        <v>1</v>
      </c>
      <c r="I16" s="261">
        <f>ROUND(F16*Прил.10!D11,2)</f>
        <v/>
      </c>
      <c r="J16" s="261">
        <f>ROUND(I16*E16,2)</f>
        <v/>
      </c>
    </row>
    <row r="17" ht="14.25" customFormat="1" customHeight="1" s="305">
      <c r="A17" s="353" t="n"/>
      <c r="B17" s="351" t="inlineStr">
        <is>
          <t>Машины и механизмы</t>
        </is>
      </c>
      <c r="C17" s="425" t="n"/>
      <c r="D17" s="425" t="n"/>
      <c r="E17" s="425" t="n"/>
      <c r="F17" s="425" t="n"/>
      <c r="G17" s="425" t="n"/>
      <c r="H17" s="426" t="n"/>
      <c r="I17" s="266" t="n"/>
      <c r="J17" s="266" t="n"/>
    </row>
    <row r="18" ht="14.25" customFormat="1" customHeight="1" s="305">
      <c r="A18" s="353" t="n"/>
      <c r="B18" s="352" t="inlineStr">
        <is>
          <t>Основные машины и механизмы</t>
        </is>
      </c>
      <c r="C18" s="425" t="n"/>
      <c r="D18" s="425" t="n"/>
      <c r="E18" s="425" t="n"/>
      <c r="F18" s="425" t="n"/>
      <c r="G18" s="425" t="n"/>
      <c r="H18" s="426" t="n"/>
      <c r="I18" s="266" t="n"/>
      <c r="J18" s="266" t="n"/>
    </row>
    <row r="19" ht="14.25" customFormat="1" customHeight="1" s="305">
      <c r="A19" s="353" t="n">
        <v>3</v>
      </c>
      <c r="B19" s="255" t="inlineStr">
        <is>
          <t>91.06.05-011</t>
        </is>
      </c>
      <c r="C19" s="352" t="inlineStr">
        <is>
          <t>Погрузчики, грузоподъемность 5 т</t>
        </is>
      </c>
      <c r="D19" s="353" t="inlineStr">
        <is>
          <t>маш.час</t>
        </is>
      </c>
      <c r="E19" s="431" t="n">
        <v>9.632999999999999</v>
      </c>
      <c r="F19" s="355" t="n">
        <v>89.98999999999999</v>
      </c>
      <c r="G19" s="261">
        <f>ROUND(E19*F19,2)</f>
        <v/>
      </c>
      <c r="H19" s="259">
        <f>G19/$G$22</f>
        <v/>
      </c>
      <c r="I19" s="261">
        <f>ROUND(F19*Прил.10!$D$12,2)</f>
        <v/>
      </c>
      <c r="J19" s="261">
        <f>ROUND(I19*E19,2)</f>
        <v/>
      </c>
    </row>
    <row r="20" ht="14.25" customFormat="1" customHeight="1" s="305">
      <c r="A20" s="353" t="n"/>
      <c r="B20" s="353" t="n"/>
      <c r="C20" s="352" t="inlineStr">
        <is>
          <t>Итого основные машины и механизмы</t>
        </is>
      </c>
      <c r="D20" s="353" t="n"/>
      <c r="E20" s="431" t="n"/>
      <c r="F20" s="261" t="n"/>
      <c r="G20" s="261">
        <f>SUM(G19:G19)</f>
        <v/>
      </c>
      <c r="H20" s="356">
        <f>G20/G22</f>
        <v/>
      </c>
      <c r="I20" s="268" t="n"/>
      <c r="J20" s="261">
        <f>SUM(J19:J19)</f>
        <v/>
      </c>
      <c r="K20" s="26" t="n"/>
    </row>
    <row r="21" ht="14.25" customFormat="1" customHeight="1" s="305">
      <c r="A21" s="353" t="n"/>
      <c r="B21" s="353" t="n"/>
      <c r="C21" s="352" t="inlineStr">
        <is>
          <t>Итого прочие машины и механизмы</t>
        </is>
      </c>
      <c r="D21" s="353" t="n"/>
      <c r="E21" s="354" t="n"/>
      <c r="F21" s="261" t="n"/>
      <c r="G21" s="268" t="n">
        <v>0</v>
      </c>
      <c r="H21" s="259">
        <f>G21/G22</f>
        <v/>
      </c>
      <c r="I21" s="261" t="n"/>
      <c r="J21" s="268" t="n">
        <v>0</v>
      </c>
    </row>
    <row r="22" ht="25.5" customFormat="1" customHeight="1" s="305">
      <c r="A22" s="353" t="n"/>
      <c r="B22" s="353" t="n"/>
      <c r="C22" s="351" t="inlineStr">
        <is>
          <t>Итого по разделу «Машины и механизмы»</t>
        </is>
      </c>
      <c r="D22" s="353" t="n"/>
      <c r="E22" s="354" t="n"/>
      <c r="F22" s="261" t="n"/>
      <c r="G22" s="261">
        <f>G21+G20</f>
        <v/>
      </c>
      <c r="H22" s="262">
        <f>H21+H20</f>
        <v/>
      </c>
      <c r="I22" s="263" t="n"/>
      <c r="J22" s="264">
        <f>J21+J20</f>
        <v/>
      </c>
    </row>
    <row r="23" ht="14.25" customFormat="1" customHeight="1" s="305">
      <c r="A23" s="353" t="n"/>
      <c r="B23" s="351" t="inlineStr">
        <is>
          <t>Оборудование</t>
        </is>
      </c>
      <c r="C23" s="425" t="n"/>
      <c r="D23" s="425" t="n"/>
      <c r="E23" s="425" t="n"/>
      <c r="F23" s="425" t="n"/>
      <c r="G23" s="425" t="n"/>
      <c r="H23" s="426" t="n"/>
      <c r="I23" s="266" t="n"/>
      <c r="J23" s="266" t="n"/>
    </row>
    <row r="24">
      <c r="A24" s="353" t="n"/>
      <c r="B24" s="352" t="inlineStr">
        <is>
          <t>Основное оборудование</t>
        </is>
      </c>
      <c r="C24" s="425" t="n"/>
      <c r="D24" s="425" t="n"/>
      <c r="E24" s="425" t="n"/>
      <c r="F24" s="425" t="n"/>
      <c r="G24" s="425" t="n"/>
      <c r="H24" s="426" t="n"/>
      <c r="I24" s="266" t="n"/>
      <c r="J24" s="266" t="n"/>
      <c r="K24" s="305" t="n"/>
      <c r="L24" s="305" t="n"/>
    </row>
    <row r="25" ht="14.25" customFormat="1" customHeight="1" s="305">
      <c r="A25" s="353" t="n">
        <v>5</v>
      </c>
      <c r="B25" s="286" t="inlineStr">
        <is>
          <t>БЦ.36.28</t>
        </is>
      </c>
      <c r="C25" s="285" t="inlineStr">
        <is>
          <t>IP-телефон</t>
        </is>
      </c>
      <c r="D25" s="286" t="inlineStr">
        <is>
          <t>шт</t>
        </is>
      </c>
      <c r="E25" s="432" t="n">
        <v>10</v>
      </c>
      <c r="F25" s="288">
        <f>ROUND(I25/Прил.10!$D$14,2)</f>
        <v/>
      </c>
      <c r="G25" s="289">
        <f>ROUND(E25*F25,2)</f>
        <v/>
      </c>
      <c r="H25" s="283">
        <f>G25/$G$73</f>
        <v/>
      </c>
      <c r="I25" s="261" t="n">
        <v>35232.5</v>
      </c>
      <c r="J25" s="261">
        <f>ROUND(I25*E25,2)</f>
        <v/>
      </c>
    </row>
    <row r="26" ht="14.25" customFormat="1" customHeight="1" s="305">
      <c r="A26" s="353" t="n">
        <v>6</v>
      </c>
      <c r="B26" s="286" t="inlineStr">
        <is>
          <t>БЦ.33.26</t>
        </is>
      </c>
      <c r="C26" s="285" t="inlineStr">
        <is>
          <t>АРМ персонала АСУТП (РЗА)</t>
        </is>
      </c>
      <c r="D26" s="286" t="inlineStr">
        <is>
          <t>к-т</t>
        </is>
      </c>
      <c r="E26" s="432" t="n">
        <v>1</v>
      </c>
      <c r="F26" s="288">
        <f>ROUND(I26/Прил.10!$D$14,2)</f>
        <v/>
      </c>
      <c r="G26" s="289">
        <f>ROUND(E26*F26,2)</f>
        <v/>
      </c>
      <c r="H26" s="283">
        <f>G26/$G$73</f>
        <v/>
      </c>
      <c r="I26" s="261" t="n">
        <v>229564.8</v>
      </c>
      <c r="J26" s="261">
        <f>ROUND(I26*E26,2)</f>
        <v/>
      </c>
    </row>
    <row r="27" ht="14.25" customFormat="1" customHeight="1" s="305">
      <c r="A27" s="353" t="n">
        <v>7</v>
      </c>
      <c r="B27" s="286" t="inlineStr">
        <is>
          <t>61.1.04.09-0031</t>
        </is>
      </c>
      <c r="C27" s="285" t="inlineStr">
        <is>
          <t>Мини АТС Panasonic марки KX-TES 824RU</t>
        </is>
      </c>
      <c r="D27" s="286" t="inlineStr">
        <is>
          <t>шт</t>
        </is>
      </c>
      <c r="E27" s="432" t="n">
        <v>8</v>
      </c>
      <c r="F27" s="288" t="n">
        <v>2980.98</v>
      </c>
      <c r="G27" s="289">
        <f>ROUND(E27*F27,2)</f>
        <v/>
      </c>
      <c r="H27" s="283">
        <f>G27/$G$73</f>
        <v/>
      </c>
      <c r="I27" s="261">
        <f>ROUND(F27*Прил.10!$D$14,2)</f>
        <v/>
      </c>
      <c r="J27" s="261">
        <f>ROUND(I27*E27,2)</f>
        <v/>
      </c>
    </row>
    <row r="28" ht="25.5" customFormat="1" customHeight="1" s="305">
      <c r="A28" s="353" t="n">
        <v>8</v>
      </c>
      <c r="B28" s="286" t="inlineStr">
        <is>
          <t>62.4.02.01-0069</t>
        </is>
      </c>
      <c r="C28" s="285" t="inlineStr">
        <is>
          <t>Источник бесперебойного питания: СКАТ-1200М</t>
        </is>
      </c>
      <c r="D28" s="286" t="inlineStr">
        <is>
          <t>шт</t>
        </is>
      </c>
      <c r="E28" s="432" t="n">
        <v>8</v>
      </c>
      <c r="F28" s="288" t="n">
        <v>1818.11</v>
      </c>
      <c r="G28" s="289">
        <f>ROUND(E28*F28,2)</f>
        <v/>
      </c>
      <c r="H28" s="283">
        <f>G28/$G$73</f>
        <v/>
      </c>
      <c r="I28" s="261">
        <f>ROUND(F28*Прил.10!$D$14,2)</f>
        <v/>
      </c>
      <c r="J28" s="261">
        <f>ROUND(I28*E28,2)</f>
        <v/>
      </c>
    </row>
    <row r="29" ht="14.25" customFormat="1" customHeight="1" s="305">
      <c r="A29" s="353" t="n">
        <v>9</v>
      </c>
      <c r="B29" s="286" t="inlineStr">
        <is>
          <t>БЦ.36.32</t>
        </is>
      </c>
      <c r="C29" s="285" t="inlineStr">
        <is>
          <t>SIP-видеотелефоны</t>
        </is>
      </c>
      <c r="D29" s="286" t="inlineStr">
        <is>
          <t>шт</t>
        </is>
      </c>
      <c r="E29" s="432" t="n">
        <v>2</v>
      </c>
      <c r="F29" s="288">
        <f>ROUND(I29/Прил.10!$D$14,2)</f>
        <v/>
      </c>
      <c r="G29" s="289">
        <f>ROUND(E29*F29,2)</f>
        <v/>
      </c>
      <c r="H29" s="283">
        <f>G29/$G$73</f>
        <v/>
      </c>
      <c r="I29" s="261" t="n">
        <v>35232.5</v>
      </c>
      <c r="J29" s="261">
        <f>ROUND(I29*E29,2)</f>
        <v/>
      </c>
    </row>
    <row r="30">
      <c r="A30" s="353" t="n"/>
      <c r="B30" s="286" t="n"/>
      <c r="C30" s="285" t="inlineStr">
        <is>
          <t>Итого основное оборудование</t>
        </is>
      </c>
      <c r="D30" s="286" t="n"/>
      <c r="E30" s="433" t="n"/>
      <c r="F30" s="288" t="n"/>
      <c r="G30" s="289">
        <f>SUM(G25:G29)</f>
        <v/>
      </c>
      <c r="H30" s="283">
        <f>G30/$G$37</f>
        <v/>
      </c>
      <c r="I30" s="268" t="n"/>
      <c r="J30" s="261">
        <f>SUM(J25:J29)</f>
        <v/>
      </c>
      <c r="K30" s="305" t="n"/>
      <c r="L30" s="305" t="n"/>
    </row>
    <row r="31" outlineLevel="1" ht="14.25" customFormat="1" customHeight="1" s="305">
      <c r="A31" s="353" t="n">
        <v>10</v>
      </c>
      <c r="B31" s="286" t="inlineStr">
        <is>
          <t>БЦ.36.33</t>
        </is>
      </c>
      <c r="C31" s="285" t="inlineStr">
        <is>
          <t>SIP-конференцтелефоны</t>
        </is>
      </c>
      <c r="D31" s="286" t="inlineStr">
        <is>
          <t>шт</t>
        </is>
      </c>
      <c r="E31" s="432" t="n">
        <v>1</v>
      </c>
      <c r="F31" s="288">
        <f>ROUND(I31/Прил.10!$D$14,2)</f>
        <v/>
      </c>
      <c r="G31" s="289">
        <f>ROUND(E31*F31,2)</f>
        <v/>
      </c>
      <c r="H31" s="283">
        <f>G31/$G$73</f>
        <v/>
      </c>
      <c r="I31" s="261" t="n">
        <v>55957.5</v>
      </c>
      <c r="J31" s="261">
        <f>ROUND(I31*E31,2)</f>
        <v/>
      </c>
    </row>
    <row r="32" outlineLevel="1" ht="25.5" customFormat="1" customHeight="1" s="305">
      <c r="A32" s="353" t="n">
        <v>11</v>
      </c>
      <c r="B32" s="286" t="inlineStr">
        <is>
          <t>61.2.07.05-0056</t>
        </is>
      </c>
      <c r="C32" s="285" t="inlineStr">
        <is>
          <t>Модуль ресурсов IP-телефонии IPO 500 MC VCM на 64 канала</t>
        </is>
      </c>
      <c r="D32" s="286" t="inlineStr">
        <is>
          <t>шт</t>
        </is>
      </c>
      <c r="E32" s="432" t="n">
        <v>2</v>
      </c>
      <c r="F32" s="288" t="n">
        <v>3850.19</v>
      </c>
      <c r="G32" s="289">
        <f>ROUND(E32*F32,2)</f>
        <v/>
      </c>
      <c r="H32" s="283">
        <f>G32/$G$73</f>
        <v/>
      </c>
      <c r="I32" s="261">
        <f>ROUND(F32*Прил.10!$D$14,2)</f>
        <v/>
      </c>
      <c r="J32" s="261">
        <f>ROUND(I32*E32,2)</f>
        <v/>
      </c>
    </row>
    <row r="33" outlineLevel="1" ht="14.25" customFormat="1" customHeight="1" s="305">
      <c r="A33" s="353" t="n">
        <v>12</v>
      </c>
      <c r="B33" s="286" t="inlineStr">
        <is>
          <t>БЦ.36.31</t>
        </is>
      </c>
      <c r="C33" s="285" t="inlineStr">
        <is>
          <t>Аналоговый телефон</t>
        </is>
      </c>
      <c r="D33" s="286" t="inlineStr">
        <is>
          <t>шт</t>
        </is>
      </c>
      <c r="E33" s="432" t="n">
        <v>6</v>
      </c>
      <c r="F33" s="288">
        <f>ROUND(I33/Прил.10!$D$14,2)</f>
        <v/>
      </c>
      <c r="G33" s="289">
        <f>ROUND(E33*F33,2)</f>
        <v/>
      </c>
      <c r="H33" s="283">
        <f>G33/$G$73</f>
        <v/>
      </c>
      <c r="I33" s="261" t="n">
        <v>7083.33</v>
      </c>
      <c r="J33" s="261">
        <f>ROUND(I33*E33,2)</f>
        <v/>
      </c>
    </row>
    <row r="34" outlineLevel="1" ht="14.25" customFormat="1" customHeight="1" s="305">
      <c r="A34" s="353" t="n">
        <v>13</v>
      </c>
      <c r="B34" s="286" t="inlineStr">
        <is>
          <t>62.4.02.04-0003</t>
        </is>
      </c>
      <c r="C34" s="285" t="inlineStr">
        <is>
          <t>Блок питания DR-15-12 220В/12В, 15 Вт</t>
        </is>
      </c>
      <c r="D34" s="286" t="inlineStr">
        <is>
          <t>шт</t>
        </is>
      </c>
      <c r="E34" s="432" t="n">
        <v>10</v>
      </c>
      <c r="F34" s="288" t="n">
        <v>177.38</v>
      </c>
      <c r="G34" s="289">
        <f>ROUND(E34*F34,2)</f>
        <v/>
      </c>
      <c r="H34" s="283">
        <f>G34/$G$73</f>
        <v/>
      </c>
      <c r="I34" s="261">
        <f>ROUND(F34*Прил.10!$D$14,2)</f>
        <v/>
      </c>
      <c r="J34" s="261">
        <f>ROUND(I34*E34,2)</f>
        <v/>
      </c>
    </row>
    <row r="35" outlineLevel="1" ht="25.5" customFormat="1" customHeight="1" s="305">
      <c r="A35" s="353" t="n">
        <v>14</v>
      </c>
      <c r="B35" s="286" t="inlineStr">
        <is>
          <t>61.1.04.03-1009</t>
        </is>
      </c>
      <c r="C35" s="285" t="inlineStr">
        <is>
          <t>Преобразователь интерфейса USB/RS-485 с гальванической развязкой</t>
        </is>
      </c>
      <c r="D35" s="286" t="inlineStr">
        <is>
          <t>шт</t>
        </is>
      </c>
      <c r="E35" s="432" t="n">
        <v>1</v>
      </c>
      <c r="F35" s="288" t="n">
        <v>282.84</v>
      </c>
      <c r="G35" s="289">
        <f>ROUND(E35*F35,2)</f>
        <v/>
      </c>
      <c r="H35" s="283">
        <f>G35/$G$73</f>
        <v/>
      </c>
      <c r="I35" s="261">
        <f>ROUND(F35*Прил.10!$D$14,2)</f>
        <v/>
      </c>
      <c r="J35" s="261">
        <f>ROUND(I35*E35,2)</f>
        <v/>
      </c>
    </row>
    <row r="36">
      <c r="A36" s="353" t="n"/>
      <c r="B36" s="286" t="n"/>
      <c r="C36" s="285" t="inlineStr">
        <is>
          <t>Итого прочее оборудование</t>
        </is>
      </c>
      <c r="D36" s="286" t="n"/>
      <c r="E36" s="433" t="n"/>
      <c r="F36" s="288" t="n"/>
      <c r="G36" s="289">
        <f>SUM(G31:G35)</f>
        <v/>
      </c>
      <c r="H36" s="283">
        <f>G36/$G$37</f>
        <v/>
      </c>
      <c r="I36" s="268" t="n"/>
      <c r="J36" s="261">
        <f>SUM(J31:J35)</f>
        <v/>
      </c>
      <c r="K36" s="305" t="n"/>
      <c r="L36" s="305" t="n"/>
    </row>
    <row r="37">
      <c r="A37" s="353" t="n"/>
      <c r="B37" s="286" t="n"/>
      <c r="C37" s="290" t="inlineStr">
        <is>
          <t>Итого по разделу «Оборудование»</t>
        </is>
      </c>
      <c r="D37" s="286" t="n"/>
      <c r="E37" s="291" t="n"/>
      <c r="F37" s="288" t="n"/>
      <c r="G37" s="289">
        <f>G30+G36</f>
        <v/>
      </c>
      <c r="H37" s="294">
        <f>H36+H30</f>
        <v/>
      </c>
      <c r="I37" s="268" t="n"/>
      <c r="J37" s="261">
        <f>J36+J30</f>
        <v/>
      </c>
      <c r="K37" s="305" t="n"/>
      <c r="L37" s="305" t="n"/>
    </row>
    <row r="38" ht="25.5" customHeight="1" s="308">
      <c r="A38" s="353" t="n"/>
      <c r="B38" s="286" t="n"/>
      <c r="C38" s="285" t="inlineStr">
        <is>
          <t>в том числе технологическое оборудование</t>
        </is>
      </c>
      <c r="D38" s="286" t="n"/>
      <c r="E38" s="432" t="n"/>
      <c r="F38" s="288" t="n"/>
      <c r="G38" s="289">
        <f>'Прил.6 Расчет ОБ'!G22</f>
        <v/>
      </c>
      <c r="H38" s="294" t="n"/>
      <c r="I38" s="268" t="n"/>
      <c r="J38" s="261">
        <f>J37</f>
        <v/>
      </c>
      <c r="K38" s="305" t="n"/>
      <c r="L38" s="305" t="n"/>
    </row>
    <row r="39" ht="14.25" customFormat="1" customHeight="1" s="305">
      <c r="A39" s="353" t="n"/>
      <c r="B39" s="351" t="inlineStr">
        <is>
          <t>Материалы</t>
        </is>
      </c>
      <c r="C39" s="425" t="n"/>
      <c r="D39" s="425" t="n"/>
      <c r="E39" s="425" t="n"/>
      <c r="F39" s="425" t="n"/>
      <c r="G39" s="425" t="n"/>
      <c r="H39" s="426" t="n"/>
      <c r="I39" s="266" t="n"/>
      <c r="J39" s="266" t="n"/>
    </row>
    <row r="40" ht="14.25" customFormat="1" customHeight="1" s="305">
      <c r="A40" s="347" t="n"/>
      <c r="B40" s="346" t="inlineStr">
        <is>
          <t>Основные материалы</t>
        </is>
      </c>
      <c r="C40" s="434" t="n"/>
      <c r="D40" s="434" t="n"/>
      <c r="E40" s="434" t="n"/>
      <c r="F40" s="434" t="n"/>
      <c r="G40" s="434" t="n"/>
      <c r="H40" s="435" t="n"/>
      <c r="I40" s="270" t="n"/>
      <c r="J40" s="270" t="n"/>
    </row>
    <row r="41" ht="14.25" customFormat="1" customHeight="1" s="305">
      <c r="A41" s="353" t="n">
        <v>15</v>
      </c>
      <c r="B41" s="353" t="inlineStr">
        <is>
          <t>21.1.04.08-0018</t>
        </is>
      </c>
      <c r="C41" s="352" t="inlineStr">
        <is>
          <t>Кабель телефонный ТППэп 10х2х0,5</t>
        </is>
      </c>
      <c r="D41" s="353" t="inlineStr">
        <is>
          <t>1000 м</t>
        </is>
      </c>
      <c r="E41" s="436" t="n">
        <v>5.5</v>
      </c>
      <c r="F41" s="355" t="n">
        <v>7910.99</v>
      </c>
      <c r="G41" s="261">
        <f>ROUND(E41*F41,2)</f>
        <v/>
      </c>
      <c r="H41" s="259">
        <f>G41/$G$73</f>
        <v/>
      </c>
      <c r="I41" s="261">
        <f>ROUND(F41*Прил.10!$D$13,2)</f>
        <v/>
      </c>
      <c r="J41" s="261">
        <f>ROUND(I41*E41,2)</f>
        <v/>
      </c>
    </row>
    <row r="42" ht="14.25" customFormat="1" customHeight="1" s="305">
      <c r="A42" s="216" t="n"/>
      <c r="B42" s="216" t="n"/>
      <c r="C42" s="217" t="inlineStr">
        <is>
          <t>Итого основные материалы</t>
        </is>
      </c>
      <c r="D42" s="364" t="n"/>
      <c r="E42" s="437" t="n"/>
      <c r="F42" s="264" t="n"/>
      <c r="G42" s="264">
        <f>SUM(G41:G41)</f>
        <v/>
      </c>
      <c r="H42" s="259">
        <f>G42/$G$73</f>
        <v/>
      </c>
      <c r="I42" s="261" t="n"/>
      <c r="J42" s="264">
        <f>SUM(J41:J41)</f>
        <v/>
      </c>
      <c r="K42" s="26" t="n"/>
      <c r="L42" s="26" t="n"/>
    </row>
    <row r="43" hidden="1" outlineLevel="1" ht="14.25" customFormat="1" customHeight="1" s="305">
      <c r="A43" s="353" t="n">
        <v>16</v>
      </c>
      <c r="B43" s="353" t="inlineStr">
        <is>
          <t>21.1.04.08-0018</t>
        </is>
      </c>
      <c r="C43" s="352" t="inlineStr">
        <is>
          <t>Кабель телефонный ТППэп 10х2х0,5</t>
        </is>
      </c>
      <c r="D43" s="353" t="inlineStr">
        <is>
          <t>1000 м</t>
        </is>
      </c>
      <c r="E43" s="436" t="n">
        <v>0.80325</v>
      </c>
      <c r="F43" s="355" t="n">
        <v>7910.99</v>
      </c>
      <c r="G43" s="261">
        <f>ROUND(E43*F43,2)</f>
        <v/>
      </c>
      <c r="H43" s="259">
        <f>G43/$G$73</f>
        <v/>
      </c>
      <c r="I43" s="261">
        <f>ROUND(F43*Прил.10!$D$13,2)</f>
        <v/>
      </c>
      <c r="J43" s="261">
        <f>ROUND(I43*E43,2)</f>
        <v/>
      </c>
    </row>
    <row r="44" hidden="1" outlineLevel="1" ht="25.5" customFormat="1" customHeight="1" s="305">
      <c r="A44" s="353" t="n">
        <v>17</v>
      </c>
      <c r="B44" s="353" t="inlineStr">
        <is>
          <t>61.3.05.03-0012</t>
        </is>
      </c>
      <c r="C44" s="352" t="inlineStr">
        <is>
          <t>Патч-панель RJ-45 110, категория 5е, на 12 портов настенная, с подставкой</t>
        </is>
      </c>
      <c r="D44" s="353" t="inlineStr">
        <is>
          <t>шт</t>
        </is>
      </c>
      <c r="E44" s="436" t="n">
        <v>34</v>
      </c>
      <c r="F44" s="355" t="n">
        <v>97.97</v>
      </c>
      <c r="G44" s="261">
        <f>ROUND(E44*F44,2)</f>
        <v/>
      </c>
      <c r="H44" s="259">
        <f>G44/$G$73</f>
        <v/>
      </c>
      <c r="I44" s="261">
        <f>ROUND(F44*Прил.10!$D$13,2)</f>
        <v/>
      </c>
      <c r="J44" s="261">
        <f>ROUND(I44*E44,2)</f>
        <v/>
      </c>
    </row>
    <row r="45" hidden="1" outlineLevel="1" ht="14.25" customFormat="1" customHeight="1" s="305">
      <c r="A45" s="353" t="n">
        <v>18</v>
      </c>
      <c r="B45" s="353" t="inlineStr">
        <is>
          <t>22.2.02.15-0003</t>
        </is>
      </c>
      <c r="C45" s="352" t="inlineStr">
        <is>
          <t>Скрепы фигурные СкФ-30</t>
        </is>
      </c>
      <c r="D45" s="353" t="inlineStr">
        <is>
          <t>100 шт</t>
        </is>
      </c>
      <c r="E45" s="436" t="n">
        <v>18.252</v>
      </c>
      <c r="F45" s="355" t="n">
        <v>155.74</v>
      </c>
      <c r="G45" s="261">
        <f>ROUND(E45*F45,2)</f>
        <v/>
      </c>
      <c r="H45" s="259">
        <f>G45/$G$73</f>
        <v/>
      </c>
      <c r="I45" s="261">
        <f>ROUND(F45*Прил.10!$D$13,2)</f>
        <v/>
      </c>
      <c r="J45" s="261">
        <f>ROUND(I45*E45,2)</f>
        <v/>
      </c>
    </row>
    <row r="46" hidden="1" outlineLevel="1" ht="14.25" customFormat="1" customHeight="1" s="305">
      <c r="A46" s="353" t="n">
        <v>19</v>
      </c>
      <c r="B46" s="353" t="inlineStr">
        <is>
          <t>20.5.02.06-0030</t>
        </is>
      </c>
      <c r="C46" s="352" t="inlineStr">
        <is>
          <t>Коробка разветвительная У-994</t>
        </is>
      </c>
      <c r="D46" s="353" t="inlineStr">
        <is>
          <t>10 шт</t>
        </is>
      </c>
      <c r="E46" s="436" t="n">
        <v>0.5</v>
      </c>
      <c r="F46" s="355" t="n">
        <v>208.2</v>
      </c>
      <c r="G46" s="261">
        <f>ROUND(E46*F46,2)</f>
        <v/>
      </c>
      <c r="H46" s="259">
        <f>G46/$G$73</f>
        <v/>
      </c>
      <c r="I46" s="261">
        <f>ROUND(F46*Прил.10!$D$13,2)</f>
        <v/>
      </c>
      <c r="J46" s="261">
        <f>ROUND(I46*E46,2)</f>
        <v/>
      </c>
    </row>
    <row r="47" hidden="1" outlineLevel="1" ht="14.25" customFormat="1" customHeight="1" s="305">
      <c r="A47" s="353" t="n">
        <v>20</v>
      </c>
      <c r="B47" s="353" t="inlineStr">
        <is>
          <t>01.7.15.14-0168</t>
        </is>
      </c>
      <c r="C47" s="352" t="inlineStr">
        <is>
          <t>Шурупы с полукруглой головкой 5х70 мм</t>
        </is>
      </c>
      <c r="D47" s="353" t="inlineStr">
        <is>
          <t>т</t>
        </is>
      </c>
      <c r="E47" s="436" t="n">
        <v>0.0081315</v>
      </c>
      <c r="F47" s="355" t="n">
        <v>12430</v>
      </c>
      <c r="G47" s="261">
        <f>ROUND(E47*F47,2)</f>
        <v/>
      </c>
      <c r="H47" s="259">
        <f>G47/$G$73</f>
        <v/>
      </c>
      <c r="I47" s="261">
        <f>ROUND(F47*Прил.10!$D$13,2)</f>
        <v/>
      </c>
      <c r="J47" s="261">
        <f>ROUND(I47*E47,2)</f>
        <v/>
      </c>
    </row>
    <row r="48" hidden="1" outlineLevel="1" ht="25.5" customFormat="1" customHeight="1" s="305">
      <c r="A48" s="353" t="n">
        <v>21</v>
      </c>
      <c r="B48" s="353" t="inlineStr">
        <is>
          <t>999-9950</t>
        </is>
      </c>
      <c r="C48" s="352" t="inlineStr">
        <is>
          <t>Вспомогательные ненормируемые ресурсы (2% от Оплаты труда рабочих)</t>
        </is>
      </c>
      <c r="D48" s="353" t="inlineStr">
        <is>
          <t>руб</t>
        </is>
      </c>
      <c r="E48" s="436" t="n">
        <v>87.64449999999999</v>
      </c>
      <c r="F48" s="355" t="n">
        <v>1</v>
      </c>
      <c r="G48" s="261">
        <f>ROUND(E48*F48,2)</f>
        <v/>
      </c>
      <c r="H48" s="259">
        <f>G48/$G$73</f>
        <v/>
      </c>
      <c r="I48" s="261">
        <f>ROUND(F48*Прил.10!$D$13,2)</f>
        <v/>
      </c>
      <c r="J48" s="261">
        <f>ROUND(I48*E48,2)</f>
        <v/>
      </c>
    </row>
    <row r="49" hidden="1" outlineLevel="1" ht="63.75" customFormat="1" customHeight="1" s="305">
      <c r="A49" s="353" t="n">
        <v>22</v>
      </c>
      <c r="B49" s="353" t="inlineStr">
        <is>
          <t>01.7.15.10-0056</t>
        </is>
      </c>
      <c r="C49" s="352" t="inlineStr">
        <is>
      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      </is>
      </c>
      <c r="D49" s="353" t="inlineStr">
        <is>
          <t>10 шт</t>
        </is>
      </c>
      <c r="E49" s="436" t="n">
        <v>2.8</v>
      </c>
      <c r="F49" s="355" t="n">
        <v>22.61</v>
      </c>
      <c r="G49" s="261">
        <f>ROUND(E49*F49,2)</f>
        <v/>
      </c>
      <c r="H49" s="259">
        <f>G49/$G$73</f>
        <v/>
      </c>
      <c r="I49" s="261">
        <f>ROUND(F49*Прил.10!$D$13,2)</f>
        <v/>
      </c>
      <c r="J49" s="261">
        <f>ROUND(I49*E49,2)</f>
        <v/>
      </c>
    </row>
    <row r="50" hidden="1" outlineLevel="1" ht="25.5" customFormat="1" customHeight="1" s="305">
      <c r="A50" s="353" t="n">
        <v>23</v>
      </c>
      <c r="B50" s="353" t="inlineStr">
        <is>
          <t>01.7.15.07-0012</t>
        </is>
      </c>
      <c r="C50" s="352" t="inlineStr">
        <is>
          <t>Дюбели пластмассовые с шурупами, размер 12х70 мм</t>
        </is>
      </c>
      <c r="D50" s="353" t="inlineStr">
        <is>
          <t>100 шт</t>
        </is>
      </c>
      <c r="E50" s="436" t="n">
        <v>0.74</v>
      </c>
      <c r="F50" s="355" t="n">
        <v>83</v>
      </c>
      <c r="G50" s="261">
        <f>ROUND(E50*F50,2)</f>
        <v/>
      </c>
      <c r="H50" s="259">
        <f>G50/$G$73</f>
        <v/>
      </c>
      <c r="I50" s="261">
        <f>ROUND(F50*Прил.10!$D$13,2)</f>
        <v/>
      </c>
      <c r="J50" s="261">
        <f>ROUND(I50*E50,2)</f>
        <v/>
      </c>
    </row>
    <row r="51" hidden="1" outlineLevel="1" ht="25.5" customFormat="1" customHeight="1" s="305">
      <c r="A51" s="353" t="n">
        <v>24</v>
      </c>
      <c r="B51" s="353" t="inlineStr">
        <is>
          <t>20.4.03.03-0014</t>
        </is>
      </c>
      <c r="C51" s="352" t="inlineStr">
        <is>
          <t>Розетка телефонная для скрытой проводки, РТ-4, белая</t>
        </is>
      </c>
      <c r="D51" s="353" t="inlineStr">
        <is>
          <t>100 шт</t>
        </is>
      </c>
      <c r="E51" s="436" t="n">
        <v>0.07000000000000001</v>
      </c>
      <c r="F51" s="355" t="n">
        <v>769</v>
      </c>
      <c r="G51" s="261">
        <f>ROUND(E51*F51,2)</f>
        <v/>
      </c>
      <c r="H51" s="259">
        <f>G51/$G$73</f>
        <v/>
      </c>
      <c r="I51" s="261">
        <f>ROUND(F51*Прил.10!$D$13,2)</f>
        <v/>
      </c>
      <c r="J51" s="261">
        <f>ROUND(I51*E51,2)</f>
        <v/>
      </c>
    </row>
    <row r="52" hidden="1" outlineLevel="1" ht="14.25" customFormat="1" customHeight="1" s="305">
      <c r="A52" s="353" t="n">
        <v>25</v>
      </c>
      <c r="B52" s="353" t="inlineStr">
        <is>
          <t>11.2.04.03-0001</t>
        </is>
      </c>
      <c r="C52" s="352" t="inlineStr">
        <is>
          <t>Подрозетники деревянные</t>
        </is>
      </c>
      <c r="D52" s="353" t="inlineStr">
        <is>
          <t>100 шт</t>
        </is>
      </c>
      <c r="E52" s="436" t="n">
        <v>0.14</v>
      </c>
      <c r="F52" s="355" t="n">
        <v>216</v>
      </c>
      <c r="G52" s="261">
        <f>ROUND(E52*F52,2)</f>
        <v/>
      </c>
      <c r="H52" s="259">
        <f>G52/$G$73</f>
        <v/>
      </c>
      <c r="I52" s="261">
        <f>ROUND(F52*Прил.10!$D$13,2)</f>
        <v/>
      </c>
      <c r="J52" s="261">
        <f>ROUND(I52*E52,2)</f>
        <v/>
      </c>
    </row>
    <row r="53" hidden="1" outlineLevel="1" ht="14.25" customFormat="1" customHeight="1" s="305">
      <c r="A53" s="353" t="n">
        <v>26</v>
      </c>
      <c r="B53" s="353" t="inlineStr">
        <is>
          <t>01.7.20.04-0002</t>
        </is>
      </c>
      <c r="C53" s="352" t="inlineStr">
        <is>
          <t>Нитки капроновые</t>
        </is>
      </c>
      <c r="D53" s="353" t="inlineStr">
        <is>
          <t>кг</t>
        </is>
      </c>
      <c r="E53" s="436" t="n">
        <v>0.2275</v>
      </c>
      <c r="F53" s="355" t="n">
        <v>112.57</v>
      </c>
      <c r="G53" s="261">
        <f>ROUND(E53*F53,2)</f>
        <v/>
      </c>
      <c r="H53" s="259">
        <f>G53/$G$73</f>
        <v/>
      </c>
      <c r="I53" s="261">
        <f>ROUND(F53*Прил.10!$D$13,2)</f>
        <v/>
      </c>
      <c r="J53" s="261">
        <f>ROUND(I53*E53,2)</f>
        <v/>
      </c>
    </row>
    <row r="54" hidden="1" outlineLevel="1" ht="25.5" customFormat="1" customHeight="1" s="305">
      <c r="A54" s="353" t="n">
        <v>27</v>
      </c>
      <c r="B54" s="353" t="inlineStr">
        <is>
          <t>10.3.02.03-0012</t>
        </is>
      </c>
      <c r="C54" s="352" t="inlineStr">
        <is>
          <t>Припои оловянно-свинцовые бессурьмянистые, марка ПОС40</t>
        </is>
      </c>
      <c r="D54" s="353" t="inlineStr">
        <is>
          <t>т</t>
        </is>
      </c>
      <c r="E54" s="436" t="n">
        <v>0.00034</v>
      </c>
      <c r="F54" s="355" t="n">
        <v>65750</v>
      </c>
      <c r="G54" s="261">
        <f>ROUND(E54*F54,2)</f>
        <v/>
      </c>
      <c r="H54" s="259">
        <f>G54/$G$73</f>
        <v/>
      </c>
      <c r="I54" s="261">
        <f>ROUND(F54*Прил.10!$D$13,2)</f>
        <v/>
      </c>
      <c r="J54" s="261">
        <f>ROUND(I54*E54,2)</f>
        <v/>
      </c>
    </row>
    <row r="55" hidden="1" outlineLevel="1" ht="14.25" customFormat="1" customHeight="1" s="305">
      <c r="A55" s="353" t="n">
        <v>28</v>
      </c>
      <c r="B55" s="353" t="inlineStr">
        <is>
          <t>08.3.03.04-0012</t>
        </is>
      </c>
      <c r="C55" s="352" t="inlineStr">
        <is>
          <t>Проволока светлая, диаметр 1,1 мм</t>
        </is>
      </c>
      <c r="D55" s="353" t="inlineStr">
        <is>
          <t>т</t>
        </is>
      </c>
      <c r="E55" s="436" t="n">
        <v>0.002106</v>
      </c>
      <c r="F55" s="355" t="n">
        <v>10200</v>
      </c>
      <c r="G55" s="261">
        <f>ROUND(E55*F55,2)</f>
        <v/>
      </c>
      <c r="H55" s="259">
        <f>G55/$G$73</f>
        <v/>
      </c>
      <c r="I55" s="261">
        <f>ROUND(F55*Прил.10!$D$13,2)</f>
        <v/>
      </c>
      <c r="J55" s="261">
        <f>ROUND(I55*E55,2)</f>
        <v/>
      </c>
    </row>
    <row r="56" hidden="1" outlineLevel="1" ht="38.25" customFormat="1" customHeight="1" s="305">
      <c r="A56" s="353" t="n">
        <v>29</v>
      </c>
      <c r="B56" s="353" t="inlineStr">
        <is>
          <t>01.7.06.05-0042</t>
        </is>
      </c>
      <c r="C56" s="352" t="inlineStr">
        <is>
          <t>Лента липкая изоляционная на поликасиновом компаунде, ширина 20-30 мм, толщина от 0,14 до 0,19 мм</t>
        </is>
      </c>
      <c r="D56" s="353" t="inlineStr">
        <is>
          <t>кг</t>
        </is>
      </c>
      <c r="E56" s="436" t="n">
        <v>0.201</v>
      </c>
      <c r="F56" s="355" t="n">
        <v>91.29000000000001</v>
      </c>
      <c r="G56" s="261">
        <f>ROUND(E56*F56,2)</f>
        <v/>
      </c>
      <c r="H56" s="259">
        <f>G56/$G$73</f>
        <v/>
      </c>
      <c r="I56" s="261">
        <f>ROUND(F56*Прил.10!$D$13,2)</f>
        <v/>
      </c>
      <c r="J56" s="261">
        <f>ROUND(I56*E56,2)</f>
        <v/>
      </c>
    </row>
    <row r="57" hidden="1" outlineLevel="1" ht="14.25" customFormat="1" customHeight="1" s="305">
      <c r="A57" s="353" t="n">
        <v>30</v>
      </c>
      <c r="B57" s="353" t="inlineStr">
        <is>
          <t>03.1.01.01-0002</t>
        </is>
      </c>
      <c r="C57" s="352" t="inlineStr">
        <is>
          <t>Гипс строительный Г-3</t>
        </is>
      </c>
      <c r="D57" s="353" t="inlineStr">
        <is>
          <t>т</t>
        </is>
      </c>
      <c r="E57" s="436" t="n">
        <v>0.020905</v>
      </c>
      <c r="F57" s="355" t="n">
        <v>729.98</v>
      </c>
      <c r="G57" s="261">
        <f>ROUND(E57*F57,2)</f>
        <v/>
      </c>
      <c r="H57" s="259">
        <f>G57/$G$73</f>
        <v/>
      </c>
      <c r="I57" s="261">
        <f>ROUND(F57*Прил.10!$D$13,2)</f>
        <v/>
      </c>
      <c r="J57" s="261">
        <f>ROUND(I57*E57,2)</f>
        <v/>
      </c>
    </row>
    <row r="58" hidden="1" outlineLevel="1" ht="14.25" customFormat="1" customHeight="1" s="305">
      <c r="A58" s="353" t="n">
        <v>31</v>
      </c>
      <c r="B58" s="353" t="inlineStr">
        <is>
          <t>01.7.20.04-0003</t>
        </is>
      </c>
      <c r="C58" s="352" t="inlineStr">
        <is>
          <t>Нитки суровые</t>
        </is>
      </c>
      <c r="D58" s="353" t="inlineStr">
        <is>
          <t>кг</t>
        </is>
      </c>
      <c r="E58" s="436" t="n">
        <v>0.082</v>
      </c>
      <c r="F58" s="355" t="n">
        <v>155</v>
      </c>
      <c r="G58" s="261">
        <f>ROUND(E58*F58,2)</f>
        <v/>
      </c>
      <c r="H58" s="259">
        <f>G58/$G$73</f>
        <v/>
      </c>
      <c r="I58" s="261">
        <f>ROUND(F58*Прил.10!$D$13,2)</f>
        <v/>
      </c>
      <c r="J58" s="261">
        <f>ROUND(I58*E58,2)</f>
        <v/>
      </c>
    </row>
    <row r="59" hidden="1" outlineLevel="1" ht="38.25" customFormat="1" customHeight="1" s="305">
      <c r="A59" s="353" t="n">
        <v>32</v>
      </c>
      <c r="B59" s="353" t="inlineStr">
        <is>
          <t>11.1.03.05-0081</t>
        </is>
      </c>
      <c r="C59" s="352" t="inlineStr">
        <is>
          <t>Доска необрезная, хвойных пород, длина 4-6,5 м, все ширины, толщина 32-40 мм, сорт III</t>
        </is>
      </c>
      <c r="D59" s="353" t="inlineStr">
        <is>
          <t>м3</t>
        </is>
      </c>
      <c r="E59" s="436" t="n">
        <v>0.014</v>
      </c>
      <c r="F59" s="355" t="n">
        <v>832.7</v>
      </c>
      <c r="G59" s="261">
        <f>ROUND(E59*F59,2)</f>
        <v/>
      </c>
      <c r="H59" s="259">
        <f>G59/$G$73</f>
        <v/>
      </c>
      <c r="I59" s="261">
        <f>ROUND(F59*Прил.10!$D$13,2)</f>
        <v/>
      </c>
      <c r="J59" s="261">
        <f>ROUND(I59*E59,2)</f>
        <v/>
      </c>
    </row>
    <row r="60" hidden="1" outlineLevel="1" ht="14.25" customFormat="1" customHeight="1" s="305">
      <c r="A60" s="353" t="n">
        <v>33</v>
      </c>
      <c r="B60" s="353" t="inlineStr">
        <is>
          <t>01.7.15.03-0042</t>
        </is>
      </c>
      <c r="C60" s="352" t="inlineStr">
        <is>
          <t>Болты с гайками и шайбами строительные</t>
        </is>
      </c>
      <c r="D60" s="353" t="inlineStr">
        <is>
          <t>кг</t>
        </is>
      </c>
      <c r="E60" s="436" t="n">
        <v>1</v>
      </c>
      <c r="F60" s="355" t="n">
        <v>9.039999999999999</v>
      </c>
      <c r="G60" s="261">
        <f>ROUND(E60*F60,2)</f>
        <v/>
      </c>
      <c r="H60" s="259">
        <f>G60/$G$73</f>
        <v/>
      </c>
      <c r="I60" s="261">
        <f>ROUND(F60*Прил.10!$D$13,2)</f>
        <v/>
      </c>
      <c r="J60" s="261">
        <f>ROUND(I60*E60,2)</f>
        <v/>
      </c>
    </row>
    <row r="61" hidden="1" outlineLevel="1" ht="25.5" customFormat="1" customHeight="1" s="305">
      <c r="A61" s="353" t="n">
        <v>34</v>
      </c>
      <c r="B61" s="353" t="inlineStr">
        <is>
          <t>10.3.02.03-0011</t>
        </is>
      </c>
      <c r="C61" s="352" t="inlineStr">
        <is>
          <t>Припои оловянно-свинцовые бессурьмянистые, марка ПОС30</t>
        </is>
      </c>
      <c r="D61" s="353" t="inlineStr">
        <is>
          <t>т</t>
        </is>
      </c>
      <c r="E61" s="436" t="n">
        <v>8.2e-05</v>
      </c>
      <c r="F61" s="355" t="n">
        <v>68050</v>
      </c>
      <c r="G61" s="261">
        <f>ROUND(E61*F61,2)</f>
        <v/>
      </c>
      <c r="H61" s="259">
        <f>G61/$G$73</f>
        <v/>
      </c>
      <c r="I61" s="261">
        <f>ROUND(F61*Прил.10!$D$13,2)</f>
        <v/>
      </c>
      <c r="J61" s="261">
        <f>ROUND(I61*E61,2)</f>
        <v/>
      </c>
    </row>
    <row r="62" hidden="1" outlineLevel="1" ht="25.5" customFormat="1" customHeight="1" s="305">
      <c r="A62" s="353" t="n">
        <v>35</v>
      </c>
      <c r="B62" s="353" t="inlineStr">
        <is>
          <t>01.7.06.03-0023</t>
        </is>
      </c>
      <c r="C62" s="352" t="inlineStr">
        <is>
          <t>Лента полиэтиленовая с липким слоем, марка А</t>
        </is>
      </c>
      <c r="D62" s="353" t="inlineStr">
        <is>
          <t>кг</t>
        </is>
      </c>
      <c r="E62" s="436" t="n">
        <v>0.14</v>
      </c>
      <c r="F62" s="355" t="n">
        <v>39.02</v>
      </c>
      <c r="G62" s="261">
        <f>ROUND(E62*F62,2)</f>
        <v/>
      </c>
      <c r="H62" s="259">
        <f>G62/$G$73</f>
        <v/>
      </c>
      <c r="I62" s="261">
        <f>ROUND(F62*Прил.10!$D$13,2)</f>
        <v/>
      </c>
      <c r="J62" s="261">
        <f>ROUND(I62*E62,2)</f>
        <v/>
      </c>
    </row>
    <row r="63" hidden="1" outlineLevel="1" ht="14.25" customFormat="1" customHeight="1" s="305">
      <c r="A63" s="353" t="n">
        <v>36</v>
      </c>
      <c r="B63" s="353" t="inlineStr">
        <is>
          <t>01.3.05.17-0002</t>
        </is>
      </c>
      <c r="C63" s="352" t="inlineStr">
        <is>
          <t>Канифоль сосновая</t>
        </is>
      </c>
      <c r="D63" s="353" t="inlineStr">
        <is>
          <t>кг</t>
        </is>
      </c>
      <c r="E63" s="436" t="n">
        <v>0.19</v>
      </c>
      <c r="F63" s="355" t="n">
        <v>27.74</v>
      </c>
      <c r="G63" s="261">
        <f>ROUND(E63*F63,2)</f>
        <v/>
      </c>
      <c r="H63" s="259">
        <f>G63/$G$73</f>
        <v/>
      </c>
      <c r="I63" s="261">
        <f>ROUND(F63*Прил.10!$D$13,2)</f>
        <v/>
      </c>
      <c r="J63" s="261">
        <f>ROUND(I63*E63,2)</f>
        <v/>
      </c>
    </row>
    <row r="64" hidden="1" outlineLevel="1" ht="14.25" customFormat="1" customHeight="1" s="305">
      <c r="A64" s="353" t="n">
        <v>37</v>
      </c>
      <c r="B64" s="353" t="inlineStr">
        <is>
          <t>14.4.03.17-0011</t>
        </is>
      </c>
      <c r="C64" s="352" t="inlineStr">
        <is>
          <t>Лак электроизоляционный 318</t>
        </is>
      </c>
      <c r="D64" s="353" t="inlineStr">
        <is>
          <t>кг</t>
        </is>
      </c>
      <c r="E64" s="436" t="n">
        <v>0.132</v>
      </c>
      <c r="F64" s="355" t="n">
        <v>35.63</v>
      </c>
      <c r="G64" s="261">
        <f>ROUND(E64*F64,2)</f>
        <v/>
      </c>
      <c r="H64" s="259">
        <f>G64/$G$73</f>
        <v/>
      </c>
      <c r="I64" s="261">
        <f>ROUND(F64*Прил.10!$D$13,2)</f>
        <v/>
      </c>
      <c r="J64" s="261">
        <f>ROUND(I64*E64,2)</f>
        <v/>
      </c>
    </row>
    <row r="65" hidden="1" outlineLevel="1" ht="14.25" customFormat="1" customHeight="1" s="305">
      <c r="A65" s="353" t="n">
        <v>38</v>
      </c>
      <c r="B65" s="353" t="inlineStr">
        <is>
          <t>01.7.02.07-0011</t>
        </is>
      </c>
      <c r="C65" s="352" t="inlineStr">
        <is>
          <t>Прессшпан листовой, марка А</t>
        </is>
      </c>
      <c r="D65" s="353" t="inlineStr">
        <is>
          <t>кг</t>
        </is>
      </c>
      <c r="E65" s="436" t="n">
        <v>0.06825000000000001</v>
      </c>
      <c r="F65" s="355" t="n">
        <v>47.57</v>
      </c>
      <c r="G65" s="261">
        <f>ROUND(E65*F65,2)</f>
        <v/>
      </c>
      <c r="H65" s="259">
        <f>G65/$G$73</f>
        <v/>
      </c>
      <c r="I65" s="261">
        <f>ROUND(F65*Прил.10!$D$13,2)</f>
        <v/>
      </c>
      <c r="J65" s="261">
        <f>ROUND(I65*E65,2)</f>
        <v/>
      </c>
    </row>
    <row r="66" hidden="1" outlineLevel="1" ht="25.5" customFormat="1" customHeight="1" s="305">
      <c r="A66" s="353" t="n">
        <v>39</v>
      </c>
      <c r="B66" s="353" t="inlineStr">
        <is>
          <t>24.3.01.01-0004</t>
        </is>
      </c>
      <c r="C66" s="352" t="inlineStr">
        <is>
          <t>Трубка электроизоляционная ПВХ-305, диаметр 6-10 мм</t>
        </is>
      </c>
      <c r="D66" s="353" t="inlineStr">
        <is>
          <t>кг</t>
        </is>
      </c>
      <c r="E66" s="436" t="n">
        <v>0.08</v>
      </c>
      <c r="F66" s="355" t="n">
        <v>38.34</v>
      </c>
      <c r="G66" s="261">
        <f>ROUND(E66*F66,2)</f>
        <v/>
      </c>
      <c r="H66" s="259">
        <f>G66/$G$73</f>
        <v/>
      </c>
      <c r="I66" s="261">
        <f>ROUND(F66*Прил.10!$D$13,2)</f>
        <v/>
      </c>
      <c r="J66" s="261">
        <f>ROUND(I66*E66,2)</f>
        <v/>
      </c>
    </row>
    <row r="67" hidden="1" outlineLevel="1" ht="25.5" customFormat="1" customHeight="1" s="305">
      <c r="A67" s="353" t="n">
        <v>40</v>
      </c>
      <c r="B67" s="353" t="inlineStr">
        <is>
          <t>01.7.07.03-0007</t>
        </is>
      </c>
      <c r="C67" s="352" t="inlineStr">
        <is>
          <t>Воск полиэтиленовый неокисленный ПВ-25, ПВ-100, ПВ-200, ПВ-300, ПВ-500</t>
        </is>
      </c>
      <c r="D67" s="353" t="inlineStr">
        <is>
          <t>т</t>
        </is>
      </c>
      <c r="E67" s="436" t="n">
        <v>0.0001138</v>
      </c>
      <c r="F67" s="355" t="n">
        <v>22419</v>
      </c>
      <c r="G67" s="261">
        <f>ROUND(E67*F67,2)</f>
        <v/>
      </c>
      <c r="H67" s="259">
        <f>G67/$G$73</f>
        <v/>
      </c>
      <c r="I67" s="261">
        <f>ROUND(F67*Прил.10!$D$13,2)</f>
        <v/>
      </c>
      <c r="J67" s="261">
        <f>ROUND(I67*E67,2)</f>
        <v/>
      </c>
    </row>
    <row r="68" hidden="1" outlineLevel="1" ht="25.5" customFormat="1" customHeight="1" s="305">
      <c r="A68" s="353" t="n">
        <v>41</v>
      </c>
      <c r="B68" s="353" t="inlineStr">
        <is>
          <t>14.3.02.01-0219</t>
        </is>
      </c>
      <c r="C68" s="352" t="inlineStr">
        <is>
          <t>Краска универсальная, акриловая для внутренних и наружных работ</t>
        </is>
      </c>
      <c r="D68" s="353" t="inlineStr">
        <is>
          <t>т</t>
        </is>
      </c>
      <c r="E68" s="436" t="n">
        <v>5e-05</v>
      </c>
      <c r="F68" s="355" t="n">
        <v>15481</v>
      </c>
      <c r="G68" s="261">
        <f>ROUND(E68*F68,2)</f>
        <v/>
      </c>
      <c r="H68" s="259">
        <f>G68/$G$73</f>
        <v/>
      </c>
      <c r="I68" s="261">
        <f>ROUND(F68*Прил.10!$D$13,2)</f>
        <v/>
      </c>
      <c r="J68" s="261">
        <f>ROUND(I68*E68,2)</f>
        <v/>
      </c>
    </row>
    <row r="69" hidden="1" outlineLevel="1" ht="25.5" customFormat="1" customHeight="1" s="305">
      <c r="A69" s="353" t="n">
        <v>42</v>
      </c>
      <c r="B69" s="353" t="inlineStr">
        <is>
          <t>01.3.01.07-0009</t>
        </is>
      </c>
      <c r="C69" s="352" t="inlineStr">
        <is>
          <t>Спирт этиловый ректификованный технический, сорт I</t>
        </is>
      </c>
      <c r="D69" s="353" t="inlineStr">
        <is>
          <t>кг</t>
        </is>
      </c>
      <c r="E69" s="436" t="n">
        <v>0.008</v>
      </c>
      <c r="F69" s="355" t="n">
        <v>38.89</v>
      </c>
      <c r="G69" s="261">
        <f>ROUND(E69*F69,2)</f>
        <v/>
      </c>
      <c r="H69" s="259">
        <f>G69/$G$73</f>
        <v/>
      </c>
      <c r="I69" s="261">
        <f>ROUND(F69*Прил.10!$D$13,2)</f>
        <v/>
      </c>
      <c r="J69" s="261">
        <f>ROUND(I69*E69,2)</f>
        <v/>
      </c>
    </row>
    <row r="70" hidden="1" outlineLevel="1" ht="14.25" customFormat="1" customHeight="1" s="305">
      <c r="A70" s="353" t="n">
        <v>43</v>
      </c>
      <c r="B70" s="353" t="inlineStr">
        <is>
          <t>01.7.03.04-0001</t>
        </is>
      </c>
      <c r="C70" s="352" t="inlineStr">
        <is>
          <t>Электроэнергия</t>
        </is>
      </c>
      <c r="D70" s="353" t="inlineStr">
        <is>
          <t>кВт-ч</t>
        </is>
      </c>
      <c r="E70" s="436" t="n">
        <v>0.492</v>
      </c>
      <c r="F70" s="355" t="n">
        <v>0.4</v>
      </c>
      <c r="G70" s="261">
        <f>ROUND(E70*F70,2)</f>
        <v/>
      </c>
      <c r="H70" s="259">
        <f>G70/$G$73</f>
        <v/>
      </c>
      <c r="I70" s="261">
        <f>ROUND(F70*Прил.10!$D$13,2)</f>
        <v/>
      </c>
      <c r="J70" s="261">
        <f>ROUND(I70*E70,2)</f>
        <v/>
      </c>
    </row>
    <row r="71" hidden="1" outlineLevel="1" ht="14.25" customFormat="1" customHeight="1" s="305">
      <c r="A71" s="353" t="n">
        <v>44</v>
      </c>
      <c r="B71" s="353" t="inlineStr">
        <is>
          <t>999-0005</t>
        </is>
      </c>
      <c r="C71" s="352" t="inlineStr">
        <is>
          <t>Масса</t>
        </is>
      </c>
      <c r="D71" s="353" t="inlineStr">
        <is>
          <t>т</t>
        </is>
      </c>
      <c r="E71" s="436" t="n">
        <v>0.1001</v>
      </c>
      <c r="F71" s="355" t="n"/>
      <c r="G71" s="261">
        <f>ROUND(E71*F71,2)</f>
        <v/>
      </c>
      <c r="H71" s="259">
        <f>G71/$G$73</f>
        <v/>
      </c>
      <c r="I71" s="261">
        <f>ROUND(F71*Прил.10!$D$13,2)</f>
        <v/>
      </c>
      <c r="J71" s="261">
        <f>ROUND(I71*E71,2)</f>
        <v/>
      </c>
    </row>
    <row r="72" collapsed="1" ht="14.25" customFormat="1" customHeight="1" s="305">
      <c r="A72" s="353" t="n"/>
      <c r="B72" s="353" t="n"/>
      <c r="C72" s="352" t="inlineStr">
        <is>
          <t>Итого прочие материалы</t>
        </is>
      </c>
      <c r="D72" s="353" t="n"/>
      <c r="E72" s="354" t="n"/>
      <c r="F72" s="355" t="n"/>
      <c r="G72" s="261">
        <f>SUM(G43:G71)</f>
        <v/>
      </c>
      <c r="H72" s="259">
        <f>G72/$G$73</f>
        <v/>
      </c>
      <c r="I72" s="261" t="n"/>
      <c r="J72" s="261">
        <f>SUM(J43:J71)</f>
        <v/>
      </c>
    </row>
    <row r="73" ht="14.25" customFormat="1" customHeight="1" s="305">
      <c r="A73" s="353" t="n"/>
      <c r="B73" s="353" t="n"/>
      <c r="C73" s="351" t="inlineStr">
        <is>
          <t>Итого по разделу «Материалы»</t>
        </is>
      </c>
      <c r="D73" s="353" t="n"/>
      <c r="E73" s="354" t="n"/>
      <c r="F73" s="355" t="n"/>
      <c r="G73" s="261">
        <f>G42+G72</f>
        <v/>
      </c>
      <c r="H73" s="356">
        <f>G73/$G$73</f>
        <v/>
      </c>
      <c r="I73" s="261" t="n"/>
      <c r="J73" s="261">
        <f>J42+J72</f>
        <v/>
      </c>
    </row>
    <row r="74" ht="14.25" customFormat="1" customHeight="1" s="305">
      <c r="A74" s="353" t="n"/>
      <c r="B74" s="353" t="n"/>
      <c r="C74" s="352" t="inlineStr">
        <is>
          <t>ИТОГО ПО РМ</t>
        </is>
      </c>
      <c r="D74" s="353" t="n"/>
      <c r="E74" s="354" t="n"/>
      <c r="F74" s="355" t="n"/>
      <c r="G74" s="261">
        <f>G14+G22+G73</f>
        <v/>
      </c>
      <c r="H74" s="356" t="n"/>
      <c r="I74" s="261" t="n"/>
      <c r="J74" s="261">
        <f>J14+J22+J73</f>
        <v/>
      </c>
    </row>
    <row r="75" ht="14.25" customFormat="1" customHeight="1" s="305">
      <c r="A75" s="353" t="n"/>
      <c r="B75" s="353" t="n"/>
      <c r="C75" s="352" t="inlineStr">
        <is>
          <t>Накладные расходы</t>
        </is>
      </c>
      <c r="D75" s="222" t="n">
        <v>0.91</v>
      </c>
      <c r="E75" s="354" t="n"/>
      <c r="F75" s="355" t="n"/>
      <c r="G75" s="261" t="n">
        <v>4065.16</v>
      </c>
      <c r="H75" s="356" t="n"/>
      <c r="I75" s="261" t="n"/>
      <c r="J75" s="261">
        <f>ROUND(D75*(J14+J16),2)</f>
        <v/>
      </c>
    </row>
    <row r="76" ht="14.25" customFormat="1" customHeight="1" s="305">
      <c r="A76" s="353" t="n"/>
      <c r="B76" s="353" t="n"/>
      <c r="C76" s="352" t="inlineStr">
        <is>
          <t>Сметная прибыль</t>
        </is>
      </c>
      <c r="D76" s="222" t="n">
        <v>0.47</v>
      </c>
      <c r="E76" s="354" t="n"/>
      <c r="F76" s="355" t="n"/>
      <c r="G76" s="261" t="n">
        <v>2107.4</v>
      </c>
      <c r="H76" s="356" t="n"/>
      <c r="I76" s="261" t="n"/>
      <c r="J76" s="261">
        <f>ROUND(D76*(J14+J16),2)</f>
        <v/>
      </c>
    </row>
    <row r="77" ht="14.25" customFormat="1" customHeight="1" s="305">
      <c r="A77" s="353" t="n"/>
      <c r="B77" s="353" t="n"/>
      <c r="C77" s="352" t="inlineStr">
        <is>
          <t>Итого СМР (с НР и СП)</t>
        </is>
      </c>
      <c r="D77" s="353" t="n"/>
      <c r="E77" s="354" t="n"/>
      <c r="F77" s="355" t="n"/>
      <c r="G77" s="261">
        <f>G14+G22+G73+G75+G76</f>
        <v/>
      </c>
      <c r="H77" s="356" t="n"/>
      <c r="I77" s="261" t="n"/>
      <c r="J77" s="261">
        <f>J14+J22+J73+J75+J76</f>
        <v/>
      </c>
    </row>
    <row r="78" ht="14.25" customFormat="1" customHeight="1" s="305">
      <c r="A78" s="353" t="n"/>
      <c r="B78" s="353" t="n"/>
      <c r="C78" s="352" t="inlineStr">
        <is>
          <t>ВСЕГО СМР + ОБОРУДОВАНИЕ</t>
        </is>
      </c>
      <c r="D78" s="353" t="n"/>
      <c r="E78" s="354" t="n"/>
      <c r="F78" s="355" t="n"/>
      <c r="G78" s="261">
        <f>G77+G37</f>
        <v/>
      </c>
      <c r="H78" s="356" t="n"/>
      <c r="I78" s="261" t="n"/>
      <c r="J78" s="261">
        <f>J77+J37</f>
        <v/>
      </c>
    </row>
    <row r="79" ht="34.5" customFormat="1" customHeight="1" s="305">
      <c r="A79" s="353" t="n"/>
      <c r="B79" s="353" t="n"/>
      <c r="C79" s="352" t="inlineStr">
        <is>
          <t>ИТОГО ПОКАЗАТЕЛЬ НА ЕД. ИЗМ.</t>
        </is>
      </c>
      <c r="D79" s="353" t="inlineStr">
        <is>
          <t>объект</t>
        </is>
      </c>
      <c r="E79" s="438" t="n">
        <v>1</v>
      </c>
      <c r="F79" s="355" t="n"/>
      <c r="G79" s="261">
        <f>G78/E79</f>
        <v/>
      </c>
      <c r="H79" s="356" t="n"/>
      <c r="I79" s="261" t="n"/>
      <c r="J79" s="261">
        <f>J78/E79</f>
        <v/>
      </c>
    </row>
    <row r="81" ht="14.25" customFormat="1" customHeight="1" s="305">
      <c r="A81" s="304" t="inlineStr">
        <is>
          <t>Составил ______________________    Д.Ю. Нефедова</t>
        </is>
      </c>
    </row>
    <row r="82" ht="14.25" customFormat="1" customHeight="1" s="305">
      <c r="A82" s="307" t="inlineStr">
        <is>
          <t xml:space="preserve">                         (подпись, инициалы, фамилия)</t>
        </is>
      </c>
    </row>
    <row r="83" ht="14.25" customFormat="1" customHeight="1" s="305">
      <c r="A83" s="304" t="n"/>
    </row>
    <row r="84" ht="14.25" customFormat="1" customHeight="1" s="305">
      <c r="A84" s="304" t="inlineStr">
        <is>
          <t>Проверил ______________________        А.В. Костянецкая</t>
        </is>
      </c>
    </row>
    <row r="85" ht="14.25" customFormat="1" customHeight="1" s="305">
      <c r="A85" s="307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B24:H24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23:H23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9"/>
  <sheetViews>
    <sheetView view="pageBreakPreview" workbookViewId="0">
      <selection activeCell="B25" sqref="B25"/>
    </sheetView>
  </sheetViews>
  <sheetFormatPr baseColWidth="8" defaultRowHeight="15"/>
  <cols>
    <col width="5.7109375" customWidth="1" style="308" min="1" max="1"/>
    <col width="17.5703125" customWidth="1" style="308" min="2" max="2"/>
    <col width="39.140625" customWidth="1" style="308" min="3" max="3"/>
    <col width="10.7109375" customWidth="1" style="308" min="4" max="4"/>
    <col width="13.85546875" customWidth="1" style="308" min="5" max="5"/>
    <col width="14.5703125" customWidth="1" style="308" min="6" max="6"/>
    <col width="14.140625" customWidth="1" style="308" min="7" max="7"/>
  </cols>
  <sheetData>
    <row r="1">
      <c r="A1" s="366" t="inlineStr">
        <is>
          <t>Приложение №6</t>
        </is>
      </c>
    </row>
    <row r="2" ht="21.75" customHeight="1" s="308">
      <c r="A2" s="366" t="n"/>
      <c r="B2" s="366" t="n"/>
      <c r="C2" s="366" t="n"/>
      <c r="D2" s="366" t="n"/>
      <c r="E2" s="366" t="n"/>
      <c r="F2" s="366" t="n"/>
      <c r="G2" s="366" t="n"/>
    </row>
    <row r="3">
      <c r="A3" s="328" t="inlineStr">
        <is>
          <t>Расчет стоимости оборудования</t>
        </is>
      </c>
    </row>
    <row r="4" ht="25.5" customHeight="1" s="308">
      <c r="A4" s="331" t="inlineStr">
        <is>
          <t>Наименование разрабатываемого показателя УНЦ — Сети связи. Аппаратура селекторной связи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08">
      <c r="A6" s="371" t="inlineStr">
        <is>
          <t>№ пп.</t>
        </is>
      </c>
      <c r="B6" s="371" t="inlineStr">
        <is>
          <t>Код ресурса</t>
        </is>
      </c>
      <c r="C6" s="371" t="inlineStr">
        <is>
          <t>Наименование</t>
        </is>
      </c>
      <c r="D6" s="371" t="inlineStr">
        <is>
          <t>Ед. изм.</t>
        </is>
      </c>
      <c r="E6" s="353" t="inlineStr">
        <is>
          <t>Кол-во единиц по проектным данным</t>
        </is>
      </c>
      <c r="F6" s="371" t="inlineStr">
        <is>
          <t>Сметная стоимость в ценах на 01.01.2000 (руб.)</t>
        </is>
      </c>
      <c r="G6" s="426" t="n"/>
    </row>
    <row r="7">
      <c r="A7" s="428" t="n"/>
      <c r="B7" s="428" t="n"/>
      <c r="C7" s="428" t="n"/>
      <c r="D7" s="428" t="n"/>
      <c r="E7" s="428" t="n"/>
      <c r="F7" s="353" t="inlineStr">
        <is>
          <t>на ед. изм.</t>
        </is>
      </c>
      <c r="G7" s="353" t="inlineStr">
        <is>
          <t>общая</t>
        </is>
      </c>
    </row>
    <row r="8">
      <c r="A8" s="353" t="n">
        <v>1</v>
      </c>
      <c r="B8" s="353" t="n">
        <v>2</v>
      </c>
      <c r="C8" s="353" t="n">
        <v>3</v>
      </c>
      <c r="D8" s="353" t="n">
        <v>4</v>
      </c>
      <c r="E8" s="353" t="n">
        <v>5</v>
      </c>
      <c r="F8" s="353" t="n">
        <v>6</v>
      </c>
      <c r="G8" s="353" t="n">
        <v>7</v>
      </c>
    </row>
    <row r="9" ht="15" customHeight="1" s="308">
      <c r="A9" s="192" t="n"/>
      <c r="B9" s="352" t="inlineStr">
        <is>
          <t>ИНЖЕНЕРНОЕ ОБОРУДОВАНИЕ</t>
        </is>
      </c>
      <c r="C9" s="425" t="n"/>
      <c r="D9" s="425" t="n"/>
      <c r="E9" s="425" t="n"/>
      <c r="F9" s="425" t="n"/>
      <c r="G9" s="426" t="n"/>
    </row>
    <row r="10" ht="27" customHeight="1" s="308">
      <c r="A10" s="353" t="n"/>
      <c r="B10" s="351" t="n"/>
      <c r="C10" s="352" t="inlineStr">
        <is>
          <t>ИТОГО ИНЖЕНЕРНОЕ ОБОРУДОВАНИЕ</t>
        </is>
      </c>
      <c r="D10" s="351" t="n"/>
      <c r="E10" s="194" t="n"/>
      <c r="F10" s="355" t="n"/>
      <c r="G10" s="261" t="n">
        <v>0</v>
      </c>
    </row>
    <row r="11">
      <c r="A11" s="353" t="n"/>
      <c r="B11" s="352" t="inlineStr">
        <is>
          <t>ТЕХНОЛОГИЧЕСКОЕ ОБОРУДОВАНИЕ</t>
        </is>
      </c>
      <c r="C11" s="425" t="n"/>
      <c r="D11" s="425" t="n"/>
      <c r="E11" s="425" t="n"/>
      <c r="F11" s="425" t="n"/>
      <c r="G11" s="426" t="n"/>
    </row>
    <row r="12" ht="15.75" customFormat="1" customHeight="1" s="310">
      <c r="A12" s="353" t="n">
        <v>1</v>
      </c>
      <c r="B12" s="352">
        <f>'Прил.5 Расчет СМР и ОБ'!B25</f>
        <v/>
      </c>
      <c r="C12" s="352">
        <f>'Прил.5 Расчет СМР и ОБ'!C25</f>
        <v/>
      </c>
      <c r="D12" s="192">
        <f>'Прил.5 Расчет СМР и ОБ'!D25</f>
        <v/>
      </c>
      <c r="E12" s="192">
        <f>'Прил.5 Расчет СМР и ОБ'!E25</f>
        <v/>
      </c>
      <c r="F12" s="192">
        <f>'Прил.5 Расчет СМР и ОБ'!F25</f>
        <v/>
      </c>
      <c r="G12" s="261">
        <f>ROUND(E12*F12,2)</f>
        <v/>
      </c>
    </row>
    <row r="13" ht="15.75" customFormat="1" customHeight="1" s="310">
      <c r="A13" s="353" t="n">
        <v>2</v>
      </c>
      <c r="B13" s="352">
        <f>'Прил.5 Расчет СМР и ОБ'!B26</f>
        <v/>
      </c>
      <c r="C13" s="352">
        <f>'Прил.5 Расчет СМР и ОБ'!C26</f>
        <v/>
      </c>
      <c r="D13" s="192">
        <f>'Прил.5 Расчет СМР и ОБ'!D26</f>
        <v/>
      </c>
      <c r="E13" s="192">
        <f>'Прил.5 Расчет СМР и ОБ'!E26</f>
        <v/>
      </c>
      <c r="F13" s="192">
        <f>'Прил.5 Расчет СМР и ОБ'!F26</f>
        <v/>
      </c>
      <c r="G13" s="261">
        <f>ROUND(E13*F13,2)</f>
        <v/>
      </c>
    </row>
    <row r="14" ht="15.75" customFormat="1" customHeight="1" s="310">
      <c r="A14" s="353" t="n">
        <v>3</v>
      </c>
      <c r="B14" s="352">
        <f>'Прил.5 Расчет СМР и ОБ'!B27</f>
        <v/>
      </c>
      <c r="C14" s="352">
        <f>'Прил.5 Расчет СМР и ОБ'!C27</f>
        <v/>
      </c>
      <c r="D14" s="192">
        <f>'Прил.5 Расчет СМР и ОБ'!D27</f>
        <v/>
      </c>
      <c r="E14" s="192">
        <f>'Прил.5 Расчет СМР и ОБ'!E27</f>
        <v/>
      </c>
      <c r="F14" s="192">
        <f>'Прил.5 Расчет СМР и ОБ'!F27</f>
        <v/>
      </c>
      <c r="G14" s="261">
        <f>ROUND(E14*F14,2)</f>
        <v/>
      </c>
    </row>
    <row r="15" ht="25.5" customFormat="1" customHeight="1" s="310">
      <c r="A15" s="353" t="n">
        <v>4</v>
      </c>
      <c r="B15" s="352">
        <f>'Прил.5 Расчет СМР и ОБ'!B28</f>
        <v/>
      </c>
      <c r="C15" s="352">
        <f>'Прил.5 Расчет СМР и ОБ'!C28</f>
        <v/>
      </c>
      <c r="D15" s="192">
        <f>'Прил.5 Расчет СМР и ОБ'!D28</f>
        <v/>
      </c>
      <c r="E15" s="192">
        <f>'Прил.5 Расчет СМР и ОБ'!E28</f>
        <v/>
      </c>
      <c r="F15" s="192">
        <f>'Прил.5 Расчет СМР и ОБ'!F28</f>
        <v/>
      </c>
      <c r="G15" s="261">
        <f>ROUND(E15*F15,2)</f>
        <v/>
      </c>
    </row>
    <row r="16" ht="15.75" customFormat="1" customHeight="1" s="310">
      <c r="A16" s="353" t="inlineStr">
        <is>
          <t>Составил ______________________    Д.Ю. Нефедова</t>
        </is>
      </c>
      <c r="B16" s="352">
        <f>'Прил.5 Расчет СМР и ОБ'!B29</f>
        <v/>
      </c>
      <c r="C16" s="352">
        <f>'Прил.5 Расчет СМР и ОБ'!C29</f>
        <v/>
      </c>
      <c r="D16" s="192">
        <f>'Прил.5 Расчет СМР и ОБ'!D29</f>
        <v/>
      </c>
      <c r="E16" s="192">
        <f>'Прил.5 Расчет СМР и ОБ'!E29</f>
        <v/>
      </c>
      <c r="F16" s="192">
        <f>'Прил.5 Расчет СМР и ОБ'!F29</f>
        <v/>
      </c>
      <c r="G16" s="261">
        <f>ROUND(E16*F16,2)</f>
        <v/>
      </c>
    </row>
    <row r="17" ht="15.75" customFormat="1" customHeight="1" s="310">
      <c r="A17" s="353" t="n">
        <v>6</v>
      </c>
      <c r="B17" s="352">
        <f>'Прил.5 Расчет СМР и ОБ'!B31</f>
        <v/>
      </c>
      <c r="C17" s="352">
        <f>'Прил.5 Расчет СМР и ОБ'!C31</f>
        <v/>
      </c>
      <c r="D17" s="192">
        <f>'Прил.5 Расчет СМР и ОБ'!D31</f>
        <v/>
      </c>
      <c r="E17" s="192">
        <f>'Прил.5 Расчет СМР и ОБ'!E31</f>
        <v/>
      </c>
      <c r="F17" s="192">
        <f>'Прил.5 Расчет СМР и ОБ'!F31</f>
        <v/>
      </c>
      <c r="G17" s="261">
        <f>ROUND(E17*F17,2)</f>
        <v/>
      </c>
    </row>
    <row r="18" ht="25.5" customFormat="1" customHeight="1" s="310">
      <c r="A18" s="353" t="n">
        <v>7</v>
      </c>
      <c r="B18" s="352">
        <f>'Прил.5 Расчет СМР и ОБ'!B32</f>
        <v/>
      </c>
      <c r="C18" s="352">
        <f>'Прил.5 Расчет СМР и ОБ'!C32</f>
        <v/>
      </c>
      <c r="D18" s="192">
        <f>'Прил.5 Расчет СМР и ОБ'!D32</f>
        <v/>
      </c>
      <c r="E18" s="192">
        <f>'Прил.5 Расчет СМР и ОБ'!E32</f>
        <v/>
      </c>
      <c r="F18" s="192">
        <f>'Прил.5 Расчет СМР и ОБ'!F32</f>
        <v/>
      </c>
      <c r="G18" s="261">
        <f>ROUND(E18*F18,2)</f>
        <v/>
      </c>
    </row>
    <row r="19" ht="15.75" customFormat="1" customHeight="1" s="310">
      <c r="A19" s="353" t="n">
        <v>8</v>
      </c>
      <c r="B19" s="352">
        <f>'Прил.5 Расчет СМР и ОБ'!B33</f>
        <v/>
      </c>
      <c r="C19" s="352">
        <f>'Прил.5 Расчет СМР и ОБ'!C33</f>
        <v/>
      </c>
      <c r="D19" s="192">
        <f>'Прил.5 Расчет СМР и ОБ'!D33</f>
        <v/>
      </c>
      <c r="E19" s="192">
        <f>'Прил.5 Расчет СМР и ОБ'!E33</f>
        <v/>
      </c>
      <c r="F19" s="192">
        <f>'Прил.5 Расчет СМР и ОБ'!F33</f>
        <v/>
      </c>
      <c r="G19" s="261">
        <f>ROUND(E19*F19,2)</f>
        <v/>
      </c>
    </row>
    <row r="20" ht="15.75" customFormat="1" customHeight="1" s="310">
      <c r="A20" s="353" t="n">
        <v>9</v>
      </c>
      <c r="B20" s="352">
        <f>'Прил.5 Расчет СМР и ОБ'!B34</f>
        <v/>
      </c>
      <c r="C20" s="352">
        <f>'Прил.5 Расчет СМР и ОБ'!C34</f>
        <v/>
      </c>
      <c r="D20" s="192">
        <f>'Прил.5 Расчет СМР и ОБ'!D34</f>
        <v/>
      </c>
      <c r="E20" s="192">
        <f>'Прил.5 Расчет СМР и ОБ'!E34</f>
        <v/>
      </c>
      <c r="F20" s="192">
        <f>'Прил.5 Расчет СМР и ОБ'!F34</f>
        <v/>
      </c>
      <c r="G20" s="261">
        <f>ROUND(E20*F20,2)</f>
        <v/>
      </c>
    </row>
    <row r="21" ht="25.5" customFormat="1" customHeight="1" s="310">
      <c r="A21" s="353" t="n">
        <v>10</v>
      </c>
      <c r="B21" s="352">
        <f>'Прил.5 Расчет СМР и ОБ'!B35</f>
        <v/>
      </c>
      <c r="C21" s="352">
        <f>'Прил.5 Расчет СМР и ОБ'!C35</f>
        <v/>
      </c>
      <c r="D21" s="192">
        <f>'Прил.5 Расчет СМР и ОБ'!D35</f>
        <v/>
      </c>
      <c r="E21" s="192">
        <f>'Прил.5 Расчет СМР и ОБ'!E35</f>
        <v/>
      </c>
      <c r="F21" s="192">
        <f>'Прил.5 Расчет СМР и ОБ'!F35</f>
        <v/>
      </c>
      <c r="G21" s="261">
        <f>ROUND(E21*F21,2)</f>
        <v/>
      </c>
    </row>
    <row r="22" ht="25.5" customHeight="1" s="308">
      <c r="A22" s="353" t="n"/>
      <c r="B22" s="352" t="n"/>
      <c r="C22" s="352" t="inlineStr">
        <is>
          <t>ИТОГО ТЕХНОЛОГИЧЕСКОЕ ОБОРУДОВАНИЕ</t>
        </is>
      </c>
      <c r="D22" s="352" t="n"/>
      <c r="E22" s="370" t="n"/>
      <c r="F22" s="355" t="n"/>
      <c r="G22" s="261">
        <f>SUM(G12:G21)</f>
        <v/>
      </c>
    </row>
    <row r="23" ht="19.5" customHeight="1" s="308">
      <c r="A23" s="353" t="n"/>
      <c r="B23" s="352" t="n"/>
      <c r="C23" s="352" t="inlineStr">
        <is>
          <t>Всего по разделу «Оборудование»</t>
        </is>
      </c>
      <c r="D23" s="352" t="n"/>
      <c r="E23" s="370" t="n"/>
      <c r="F23" s="355" t="n"/>
      <c r="G23" s="261">
        <f>G10+G22</f>
        <v/>
      </c>
    </row>
    <row r="24">
      <c r="A24" s="306" t="n"/>
      <c r="B24" s="197" t="n"/>
      <c r="C24" s="306" t="n"/>
      <c r="D24" s="306" t="n"/>
      <c r="E24" s="306" t="n"/>
      <c r="F24" s="306" t="n"/>
      <c r="G24" s="306" t="n"/>
    </row>
    <row r="25">
      <c r="A25" s="304" t="inlineStr">
        <is>
          <t>Составил ______________________    Д.Ю. Нефедова</t>
        </is>
      </c>
      <c r="B25" s="305" t="n"/>
      <c r="C25" s="305" t="n"/>
      <c r="D25" s="306" t="n"/>
      <c r="E25" s="306" t="n"/>
      <c r="F25" s="306" t="n"/>
      <c r="G25" s="306" t="n"/>
    </row>
    <row r="26">
      <c r="A26" s="307" t="inlineStr">
        <is>
          <t xml:space="preserve">                         (подпись, инициалы, фамилия)</t>
        </is>
      </c>
      <c r="B26" s="305" t="n"/>
      <c r="C26" s="305" t="n"/>
      <c r="D26" s="306" t="n"/>
      <c r="E26" s="306" t="n"/>
      <c r="F26" s="306" t="n"/>
      <c r="G26" s="306" t="n"/>
    </row>
    <row r="27">
      <c r="A27" s="304" t="n"/>
      <c r="B27" s="305" t="n"/>
      <c r="C27" s="305" t="n"/>
      <c r="D27" s="306" t="n"/>
      <c r="E27" s="306" t="n"/>
      <c r="F27" s="306" t="n"/>
      <c r="G27" s="306" t="n"/>
    </row>
    <row r="28">
      <c r="A28" s="304" t="inlineStr">
        <is>
          <t>Проверил ______________________        А.В. Костянецкая</t>
        </is>
      </c>
      <c r="B28" s="305" t="n"/>
      <c r="C28" s="305" t="n"/>
      <c r="D28" s="306" t="n"/>
      <c r="E28" s="306" t="n"/>
      <c r="F28" s="306" t="n"/>
      <c r="G28" s="306" t="n"/>
    </row>
    <row r="29">
      <c r="A29" s="307" t="inlineStr">
        <is>
          <t xml:space="preserve">                        (подпись, инициалы, фамилия)</t>
        </is>
      </c>
      <c r="B29" s="305" t="n"/>
      <c r="C29" s="305" t="n"/>
      <c r="D29" s="306" t="n"/>
      <c r="E29" s="306" t="n"/>
      <c r="F29" s="306" t="n"/>
      <c r="G2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H37" sqref="H37"/>
    </sheetView>
  </sheetViews>
  <sheetFormatPr baseColWidth="8" defaultRowHeight="15"/>
  <cols>
    <col width="12.7109375" customWidth="1" style="308" min="1" max="1"/>
    <col width="16.42578125" customWidth="1" style="308" min="2" max="2"/>
    <col width="37.140625" customWidth="1" style="308" min="3" max="3"/>
    <col width="49" customWidth="1" style="308" min="4" max="4"/>
    <col width="9.140625" customWidth="1" style="308" min="5" max="5"/>
  </cols>
  <sheetData>
    <row r="1" ht="15.75" customHeight="1" s="308">
      <c r="A1" s="310" t="n"/>
      <c r="B1" s="310" t="n"/>
      <c r="C1" s="310" t="n"/>
      <c r="D1" s="310" t="inlineStr">
        <is>
          <t>Приложение №7</t>
        </is>
      </c>
    </row>
    <row r="2" ht="15.75" customHeight="1" s="308">
      <c r="A2" s="310" t="n"/>
      <c r="B2" s="310" t="n"/>
      <c r="C2" s="310" t="n"/>
      <c r="D2" s="310" t="n"/>
    </row>
    <row r="3" ht="15.75" customHeight="1" s="308">
      <c r="A3" s="310" t="n"/>
      <c r="B3" s="299" t="inlineStr">
        <is>
          <t>Расчет показателя УНЦ</t>
        </is>
      </c>
      <c r="C3" s="310" t="n"/>
      <c r="D3" s="310" t="n"/>
    </row>
    <row r="4" ht="15.75" customHeight="1" s="308">
      <c r="A4" s="310" t="n"/>
      <c r="B4" s="310" t="n"/>
      <c r="C4" s="310" t="n"/>
      <c r="D4" s="310" t="n"/>
    </row>
    <row r="5" ht="15.75" customHeight="1" s="308">
      <c r="A5" s="372" t="inlineStr">
        <is>
          <t xml:space="preserve">Наименование разрабатываемого показателя УНЦ - </t>
        </is>
      </c>
      <c r="D5" s="372">
        <f>'Прил.5 Расчет СМР и ОБ'!D6:J6</f>
        <v/>
      </c>
    </row>
    <row r="6" ht="15.75" customHeight="1" s="308">
      <c r="A6" s="310" t="inlineStr">
        <is>
          <t>Единица измерения  — 1 ед</t>
        </is>
      </c>
      <c r="B6" s="310" t="n"/>
      <c r="C6" s="310" t="n"/>
      <c r="D6" s="310" t="n"/>
    </row>
    <row r="7" ht="15.75" customHeight="1" s="308">
      <c r="A7" s="310" t="n"/>
      <c r="B7" s="310" t="n"/>
      <c r="C7" s="310" t="n"/>
      <c r="D7" s="310" t="n"/>
    </row>
    <row r="8">
      <c r="A8" s="340" t="inlineStr">
        <is>
          <t>Код показателя</t>
        </is>
      </c>
      <c r="B8" s="340" t="inlineStr">
        <is>
          <t>Наименование показателя</t>
        </is>
      </c>
      <c r="C8" s="340" t="inlineStr">
        <is>
          <t>Наименование РМ, входящих в состав показателя</t>
        </is>
      </c>
      <c r="D8" s="340" t="inlineStr">
        <is>
          <t>Норматив цены на 01.01.2023, тыс.руб.</t>
        </is>
      </c>
    </row>
    <row r="9">
      <c r="A9" s="428" t="n"/>
      <c r="B9" s="428" t="n"/>
      <c r="C9" s="428" t="n"/>
      <c r="D9" s="428" t="n"/>
    </row>
    <row r="10" ht="15.75" customHeight="1" s="308">
      <c r="A10" s="340" t="n">
        <v>1</v>
      </c>
      <c r="B10" s="340" t="n">
        <v>2</v>
      </c>
      <c r="C10" s="340" t="n">
        <v>3</v>
      </c>
      <c r="D10" s="340" t="n">
        <v>4</v>
      </c>
    </row>
    <row r="11" ht="31.5" customHeight="1" s="308">
      <c r="A11" s="340" t="inlineStr">
        <is>
          <t>И14-06</t>
        </is>
      </c>
      <c r="B11" s="340" t="inlineStr">
        <is>
          <t xml:space="preserve">УНЦ сети связи </t>
        </is>
      </c>
      <c r="C11" s="302">
        <f>D5</f>
        <v/>
      </c>
      <c r="D11" s="316">
        <f>'Прил.4 РМ'!C41/1000</f>
        <v/>
      </c>
    </row>
    <row r="13">
      <c r="A13" s="304" t="inlineStr">
        <is>
          <t>Составил ______________________      Д.Ю. Нефедова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 ht="21" customHeight="1" s="308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7" zoomScale="60" zoomScaleNormal="85" workbookViewId="0">
      <selection activeCell="C28" sqref="C28"/>
    </sheetView>
  </sheetViews>
  <sheetFormatPr baseColWidth="8" defaultRowHeight="15"/>
  <cols>
    <col width="9.140625" customWidth="1" style="308" min="1" max="1"/>
    <col width="40.7109375" customWidth="1" style="308" min="2" max="2"/>
    <col width="37" customWidth="1" style="308" min="3" max="3"/>
    <col width="32" customWidth="1" style="308" min="4" max="4"/>
    <col width="9.140625" customWidth="1" style="308" min="5" max="5"/>
  </cols>
  <sheetData>
    <row r="4" ht="15.75" customHeight="1" s="308">
      <c r="B4" s="335" t="inlineStr">
        <is>
          <t>Приложение № 10</t>
        </is>
      </c>
    </row>
    <row r="5" ht="18.75" customHeight="1" s="308">
      <c r="B5" s="187" t="n"/>
    </row>
    <row r="6" ht="15.75" customHeight="1" s="308">
      <c r="B6" s="336" t="inlineStr">
        <is>
          <t>Используемые индексы изменений сметной стоимости и нормы сопутствующих затрат</t>
        </is>
      </c>
    </row>
    <row r="7">
      <c r="B7" s="373" t="n"/>
    </row>
    <row r="8">
      <c r="B8" s="373" t="n"/>
      <c r="C8" s="373" t="n"/>
      <c r="D8" s="373" t="n"/>
      <c r="E8" s="373" t="n"/>
    </row>
    <row r="9" ht="47.25" customHeight="1" s="308">
      <c r="B9" s="340" t="inlineStr">
        <is>
          <t>Наименование индекса / норм сопутствующих затрат</t>
        </is>
      </c>
      <c r="C9" s="340" t="inlineStr">
        <is>
          <t>Дата применения и обоснование индекса / норм сопутствующих затрат</t>
        </is>
      </c>
      <c r="D9" s="340" t="inlineStr">
        <is>
          <t>Размер индекса / норма сопутствующих затрат</t>
        </is>
      </c>
    </row>
    <row r="10" ht="15.75" customHeight="1" s="308">
      <c r="B10" s="340" t="n">
        <v>1</v>
      </c>
      <c r="C10" s="340" t="n">
        <v>2</v>
      </c>
      <c r="D10" s="340" t="n">
        <v>3</v>
      </c>
    </row>
    <row r="11" ht="45" customHeight="1" s="308">
      <c r="B11" s="340" t="inlineStr">
        <is>
          <t xml:space="preserve">Индекс изменения сметной стоимости на 1 квартал 2023 года. ОЗП </t>
        </is>
      </c>
      <c r="C11" s="340" t="inlineStr">
        <is>
          <t>Письмо Минстроя России от 30.03.2023г. №17106-ИФ/09 прил.1</t>
        </is>
      </c>
      <c r="D11" s="340" t="n">
        <v>44.29</v>
      </c>
    </row>
    <row r="12" ht="29.25" customHeight="1" s="308">
      <c r="B12" s="340" t="inlineStr">
        <is>
          <t>Индекс изменения сметной стоимости на 1 квартал 2023 года. ЭМ</t>
        </is>
      </c>
      <c r="C12" s="340" t="inlineStr">
        <is>
          <t>Письмо Минстроя России от 30.03.2023г. №17106-ИФ/09 прил.1</t>
        </is>
      </c>
      <c r="D12" s="340" t="n">
        <v>13.47</v>
      </c>
    </row>
    <row r="13" ht="29.25" customHeight="1" s="308">
      <c r="B13" s="340" t="inlineStr">
        <is>
          <t>Индекс изменения сметной стоимости на 1 квартал 2023 года. МАТ</t>
        </is>
      </c>
      <c r="C13" s="340" t="inlineStr">
        <is>
          <t>Письмо Минстроя России от 30.03.2023г. №17106-ИФ/09 прил.1</t>
        </is>
      </c>
      <c r="D13" s="340" t="n">
        <v>8.039999999999999</v>
      </c>
    </row>
    <row r="14" ht="30.75" customHeight="1" s="308">
      <c r="B14" s="340" t="inlineStr">
        <is>
          <t>Индекс изменения сметной стоимости на 1 квартал 2023 года. ОБ</t>
        </is>
      </c>
      <c r="C14" s="169" t="inlineStr">
        <is>
          <t>Письмо Минстроя России от 23.02.2023г. №9791-ИФ/09 прил.6</t>
        </is>
      </c>
      <c r="D14" s="340" t="n">
        <v>6.26</v>
      </c>
    </row>
    <row r="15" ht="89.25" customHeight="1" s="308">
      <c r="B15" s="340" t="inlineStr">
        <is>
          <t>Временные здания и сооружения</t>
        </is>
      </c>
      <c r="C15" s="3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8" t="n">
        <v>0.039</v>
      </c>
    </row>
    <row r="16" ht="78.75" customHeight="1" s="308">
      <c r="B16" s="340" t="inlineStr">
        <is>
          <t>Дополнительные затраты при производстве строительно-монтажных работ в зимнее время</t>
        </is>
      </c>
      <c r="C16" s="3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8" t="n">
        <v>0.021</v>
      </c>
    </row>
    <row r="17" ht="34.5" customHeight="1" s="308">
      <c r="B17" s="340" t="inlineStr">
        <is>
          <t>Пусконаладочные работы*</t>
        </is>
      </c>
      <c r="C17" s="340" t="n"/>
      <c r="D17" s="340" t="inlineStr">
        <is>
          <t>Расчет</t>
        </is>
      </c>
    </row>
    <row r="18" ht="31.5" customHeight="1" s="308">
      <c r="B18" s="340" t="inlineStr">
        <is>
          <t>Строительный контроль</t>
        </is>
      </c>
      <c r="C18" s="340" t="inlineStr">
        <is>
          <t>Постановление Правительства РФ от 21.06.10 г. № 468</t>
        </is>
      </c>
      <c r="D18" s="188" t="n">
        <v>0.0214</v>
      </c>
    </row>
    <row r="19" ht="31.5" customHeight="1" s="308">
      <c r="B19" s="340" t="inlineStr">
        <is>
          <t>Авторский надзор - 0,2%</t>
        </is>
      </c>
      <c r="C19" s="340" t="inlineStr">
        <is>
          <t>Приказ от 4.08.2020 № 421/пр п.173</t>
        </is>
      </c>
      <c r="D19" s="188" t="n">
        <v>0.002</v>
      </c>
    </row>
    <row r="20" ht="24" customHeight="1" s="308">
      <c r="B20" s="340" t="inlineStr">
        <is>
          <t>Непредвиденные расходы</t>
        </is>
      </c>
      <c r="C20" s="340" t="inlineStr">
        <is>
          <t>Приказ от 4.08.2020 № 421/пр п.179</t>
        </is>
      </c>
      <c r="D20" s="188" t="n">
        <v>0.03</v>
      </c>
    </row>
    <row r="21" ht="18.75" customHeight="1" s="308">
      <c r="B21" s="189" t="n"/>
    </row>
    <row r="22" ht="18.75" customHeight="1" s="308">
      <c r="B22" s="189" t="n"/>
    </row>
    <row r="23" ht="18.75" customHeight="1" s="308">
      <c r="B23" s="189" t="n"/>
    </row>
    <row r="24" ht="18.75" customHeight="1" s="308">
      <c r="B24" s="189" t="n"/>
    </row>
    <row r="27">
      <c r="B27" s="304" t="inlineStr">
        <is>
          <t>Составил ______________________        Д.Ю. Нефедова</t>
        </is>
      </c>
      <c r="C27" s="305" t="n"/>
    </row>
    <row r="28">
      <c r="B28" s="307" t="inlineStr">
        <is>
          <t xml:space="preserve">                         (подпись, инициалы, фамилия)</t>
        </is>
      </c>
      <c r="C28" s="305" t="n"/>
    </row>
    <row r="29">
      <c r="B29" s="304" t="n"/>
      <c r="C29" s="305" t="n"/>
    </row>
    <row r="30">
      <c r="B30" s="304" t="inlineStr">
        <is>
          <t>Проверил ______________________        А.В. Костянецкая</t>
        </is>
      </c>
      <c r="C30" s="305" t="n"/>
    </row>
    <row r="31">
      <c r="B31" s="307" t="inlineStr">
        <is>
          <t xml:space="preserve">                        (подпись, инициалы, фамилия)</t>
        </is>
      </c>
      <c r="C31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zoomScale="60" zoomScaleNormal="100" workbookViewId="0">
      <selection activeCell="C45" sqref="B45:C47"/>
    </sheetView>
  </sheetViews>
  <sheetFormatPr baseColWidth="8" defaultColWidth="9.140625" defaultRowHeight="15"/>
  <cols>
    <col width="44.85546875" customWidth="1" style="308" min="2" max="2"/>
    <col width="13" customWidth="1" style="308" min="3" max="3"/>
    <col width="22.85546875" customWidth="1" style="308" min="4" max="4"/>
    <col width="21.5703125" customWidth="1" style="308" min="5" max="5"/>
    <col width="43.85546875" customWidth="1" style="308" min="6" max="6"/>
  </cols>
  <sheetData>
    <row r="1" s="308"/>
    <row r="2" ht="17.25" customHeight="1" s="308">
      <c r="A2" s="336" t="inlineStr">
        <is>
          <t>Расчет размера средств на оплату труда рабочих-строителей в текущем уровне цен (ФОТр.тек.)</t>
        </is>
      </c>
    </row>
    <row r="3" s="308"/>
    <row r="4" ht="18" customHeight="1" s="308">
      <c r="A4" s="309" t="inlineStr">
        <is>
          <t>Составлен в уровне цен на 01.01.2023 г.</t>
        </is>
      </c>
      <c r="B4" s="310" t="n"/>
      <c r="C4" s="310" t="n"/>
      <c r="D4" s="310" t="n"/>
      <c r="E4" s="310" t="n"/>
      <c r="F4" s="310" t="n"/>
      <c r="G4" s="310" t="n"/>
    </row>
    <row r="5" ht="15.75" customHeight="1" s="308">
      <c r="A5" s="311" t="inlineStr">
        <is>
          <t>№ пп.</t>
        </is>
      </c>
      <c r="B5" s="311" t="inlineStr">
        <is>
          <t>Наименование элемента</t>
        </is>
      </c>
      <c r="C5" s="311" t="inlineStr">
        <is>
          <t>Обозначение</t>
        </is>
      </c>
      <c r="D5" s="311" t="inlineStr">
        <is>
          <t>Формула</t>
        </is>
      </c>
      <c r="E5" s="311" t="inlineStr">
        <is>
          <t>Величина элемента</t>
        </is>
      </c>
      <c r="F5" s="311" t="inlineStr">
        <is>
          <t>Наименования обосновывающих документов</t>
        </is>
      </c>
      <c r="G5" s="310" t="n"/>
    </row>
    <row r="6" ht="15.75" customHeight="1" s="308">
      <c r="A6" s="311" t="n">
        <v>1</v>
      </c>
      <c r="B6" s="311" t="n">
        <v>2</v>
      </c>
      <c r="C6" s="311" t="n">
        <v>3</v>
      </c>
      <c r="D6" s="311" t="n">
        <v>4</v>
      </c>
      <c r="E6" s="311" t="n">
        <v>5</v>
      </c>
      <c r="F6" s="311" t="n">
        <v>6</v>
      </c>
      <c r="G6" s="310" t="n"/>
    </row>
    <row r="7" ht="110.25" customHeight="1" s="308">
      <c r="A7" s="312" t="inlineStr">
        <is>
          <t>1.1</t>
        </is>
      </c>
      <c r="B7" s="3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0" t="inlineStr">
        <is>
          <t>С1ср</t>
        </is>
      </c>
      <c r="D7" s="340" t="inlineStr">
        <is>
          <t>-</t>
        </is>
      </c>
      <c r="E7" s="315" t="n">
        <v>47872.94</v>
      </c>
      <c r="F7" s="3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0" t="n"/>
    </row>
    <row r="8" ht="31.5" customHeight="1" s="308">
      <c r="A8" s="312" t="inlineStr">
        <is>
          <t>1.2</t>
        </is>
      </c>
      <c r="B8" s="317" t="inlineStr">
        <is>
          <t>Среднегодовое нормативное число часов работы одного рабочего в месяц, часы (ч.)</t>
        </is>
      </c>
      <c r="C8" s="340" t="inlineStr">
        <is>
          <t>tср</t>
        </is>
      </c>
      <c r="D8" s="340" t="inlineStr">
        <is>
          <t>1973ч/12мес.</t>
        </is>
      </c>
      <c r="E8" s="316">
        <f>1973/12</f>
        <v/>
      </c>
      <c r="F8" s="317" t="inlineStr">
        <is>
          <t>Производственный календарь 2023 год
(40-часов.неделя)</t>
        </is>
      </c>
      <c r="G8" s="319" t="n"/>
    </row>
    <row r="9" ht="15.75" customHeight="1" s="308">
      <c r="A9" s="312" t="inlineStr">
        <is>
          <t>1.3</t>
        </is>
      </c>
      <c r="B9" s="317" t="inlineStr">
        <is>
          <t>Коэффициент увеличения</t>
        </is>
      </c>
      <c r="C9" s="340" t="inlineStr">
        <is>
          <t>Кув</t>
        </is>
      </c>
      <c r="D9" s="340" t="inlineStr">
        <is>
          <t>-</t>
        </is>
      </c>
      <c r="E9" s="316" t="n">
        <v>1</v>
      </c>
      <c r="F9" s="317" t="n"/>
      <c r="G9" s="319" t="n"/>
    </row>
    <row r="10" ht="15.75" customHeight="1" s="308">
      <c r="A10" s="312" t="inlineStr">
        <is>
          <t>1.4</t>
        </is>
      </c>
      <c r="B10" s="317" t="inlineStr">
        <is>
          <t>Средний разряд работ</t>
        </is>
      </c>
      <c r="C10" s="340" t="n"/>
      <c r="D10" s="340" t="n"/>
      <c r="E10" s="439" t="n">
        <v>3.6</v>
      </c>
      <c r="F10" s="317" t="inlineStr">
        <is>
          <t>РТМ</t>
        </is>
      </c>
      <c r="G10" s="319" t="n"/>
    </row>
    <row r="11" ht="78.75" customHeight="1" s="308">
      <c r="A11" s="312" t="inlineStr">
        <is>
          <t>1.5</t>
        </is>
      </c>
      <c r="B11" s="317" t="inlineStr">
        <is>
          <t>Тарифный коэффициент среднего разряда работ</t>
        </is>
      </c>
      <c r="C11" s="340" t="inlineStr">
        <is>
          <t>КТ</t>
        </is>
      </c>
      <c r="D11" s="340" t="inlineStr">
        <is>
          <t>-</t>
        </is>
      </c>
      <c r="E11" s="440" t="n">
        <v>1.278</v>
      </c>
      <c r="F11" s="3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0" t="n"/>
    </row>
    <row r="12" ht="78.75" customHeight="1" s="308">
      <c r="A12" s="312" t="inlineStr">
        <is>
          <t>1.6</t>
        </is>
      </c>
      <c r="B12" s="322" t="inlineStr">
        <is>
          <t>Коэффициент инфляции, определяемый поквартально</t>
        </is>
      </c>
      <c r="C12" s="340" t="inlineStr">
        <is>
          <t>Кинф</t>
        </is>
      </c>
      <c r="D12" s="340" t="inlineStr">
        <is>
          <t>-</t>
        </is>
      </c>
      <c r="E12" s="441" t="n">
        <v>1.139</v>
      </c>
      <c r="F12" s="3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9" t="n"/>
    </row>
    <row r="13" ht="63" customHeight="1" s="308">
      <c r="A13" s="418" t="inlineStr">
        <is>
          <t>1.7</t>
        </is>
      </c>
      <c r="B13" s="419" t="inlineStr">
        <is>
          <t>Размер средств на оплату труда рабочих-строителей в текущем уровне цен (ФОТр.тек.), руб/чел.-ч</t>
        </is>
      </c>
      <c r="C13" s="420" t="inlineStr">
        <is>
          <t>ФОТр.тек.</t>
        </is>
      </c>
      <c r="D13" s="420" t="inlineStr">
        <is>
          <t>(С1ср/tср*КТ*Т*Кув)*Кинф</t>
        </is>
      </c>
      <c r="E13" s="421">
        <f>((E7*E9/E8)*E11)*E12</f>
        <v/>
      </c>
      <c r="F13" s="4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2025-01-24T12:01:50Z</dcterms:modified>
  <cp:lastModifiedBy>Nikolay Ivanov</cp:lastModifiedBy>
  <cp:lastPrinted>2023-11-27T07:51:42Z</cp:lastPrinted>
</cp:coreProperties>
</file>